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defaultThemeVersion="124226"/>
  <mc:AlternateContent xmlns:mc="http://schemas.openxmlformats.org/markup-compatibility/2006">
    <mc:Choice Requires="x15">
      <x15ac:absPath xmlns:x15ac="http://schemas.microsoft.com/office/spreadsheetml/2010/11/ac" url="C:\Users\User\Google Drive\Sow &amp; Reap\Projects\14004 - GBCSA EBP Tool Development\DRAFTS\calculators\"/>
    </mc:Choice>
  </mc:AlternateContent>
  <workbookProtection workbookPassword="AD9B" lockStructure="1"/>
  <bookViews>
    <workbookView xWindow="0" yWindow="0" windowWidth="20490" windowHeight="7755"/>
  </bookViews>
  <sheets>
    <sheet name="Potable Water Calculator" sheetId="1" r:id="rId1"/>
    <sheet name="Change Log" sheetId="4" r:id="rId2"/>
    <sheet name="Rainfall data" sheetId="5" state="hidden" r:id="rId3"/>
  </sheets>
  <externalReferences>
    <externalReference r:id="rId4"/>
    <externalReference r:id="rId5"/>
    <externalReference r:id="rId6"/>
    <externalReference r:id="rId7"/>
  </externalReferences>
  <definedNames>
    <definedName name="_xlnm._FilterDatabase" localSheetId="0" hidden="1">'Potable Water Calculator'!$BE$18:$DF$384</definedName>
    <definedName name="Albany_Alluvial_Vegetation" localSheetId="2">#REF!</definedName>
    <definedName name="Albany_Alluvial_Vegetation">#REF!</definedName>
    <definedName name="Albany_Thicket_Strandveld" localSheetId="2">#REF!</definedName>
    <definedName name="Albany_Thicket_Strandveld">#REF!</definedName>
    <definedName name="Albany_Thickets" localSheetId="2">#REF!</definedName>
    <definedName name="Albany_Thickets">#REF!</definedName>
    <definedName name="Albany_Thickets_Alluvial_Vegetation" localSheetId="2">#REF!</definedName>
    <definedName name="Albany_Thickets_Alluvial_Vegetation">#REF!</definedName>
    <definedName name="Albany_Thickets_Strandveld" localSheetId="2">#REF!</definedName>
    <definedName name="Albany_Thickets_Strandveld">#REF!</definedName>
    <definedName name="AlbanyThickets" localSheetId="2">#REF!</definedName>
    <definedName name="AlbanyThickets">#REF!</definedName>
    <definedName name="Bioregion" localSheetId="2">#REF!</definedName>
    <definedName name="Bioregion">#REF!</definedName>
    <definedName name="Bushmanland_and_West_Griqualand" localSheetId="2">#REF!</definedName>
    <definedName name="Bushmanland_and_West_Griqualand">#REF!</definedName>
    <definedName name="Bushmanland_West_Griqualand" localSheetId="2">#REF!</definedName>
    <definedName name="Bushmanland_West_Griqualand">#REF!</definedName>
    <definedName name="Central_Bushveld" localSheetId="2">#REF!</definedName>
    <definedName name="Central_Bushveld">#REF!</definedName>
    <definedName name="Central_Succulent_Karoo" localSheetId="2">#REF!</definedName>
    <definedName name="Central_Succulent_Karoo">#REF!</definedName>
    <definedName name="cities" localSheetId="2">#REF!</definedName>
    <definedName name="cities">#REF!</definedName>
    <definedName name="cities_list" localSheetId="2">'Rainfall data'!cities</definedName>
    <definedName name="cities_list">cities</definedName>
    <definedName name="cities_rainfall">'[2]Rainfall data'!$B$3:$B$33</definedName>
    <definedName name="Coastal_Grassland" localSheetId="2">#REF!</definedName>
    <definedName name="Coastal_Grassland">#REF!</definedName>
    <definedName name="Current" localSheetId="2">INDIRECT(SUBSTITUTE(#REF!," ","_"))</definedName>
    <definedName name="Current">INDIRECT(SUBSTITUTE(#REF!," ","_"))</definedName>
    <definedName name="DensityFactor" localSheetId="2">#REF!</definedName>
    <definedName name="DensityFactor">#REF!</definedName>
    <definedName name="Desert_Alluvial_Vegetation" localSheetId="2">#REF!</definedName>
    <definedName name="Desert_Alluvial_Vegetation">#REF!</definedName>
    <definedName name="Drakensburg_Grassland" localSheetId="2">#REF!</definedName>
    <definedName name="Drakensburg_Grassland">#REF!</definedName>
    <definedName name="Eastern_Gariep" localSheetId="2">#REF!</definedName>
    <definedName name="Eastern_Gariep">#REF!</definedName>
    <definedName name="energy_calc">'[3]Building Input'!$C$5:$C$9,'[3]Building Input'!$C$12:$C$13,'[3]Building Input'!$C$15,'[3]Building Input'!$C$16:$C$28,'[3]Building Input'!$C$30:$C$36,'[3]Building Input'!$C$39,'[3]Building Input'!$C$41,'[3]Building Input'!$C$43:$C$44</definedName>
    <definedName name="Estuarine_Salt_Marshes" localSheetId="2">#REF!</definedName>
    <definedName name="Estuarine_Salt_Marshes">#REF!</definedName>
    <definedName name="Fields" localSheetId="2">#REF!,#REF!,#REF!,#REF!,#REF!,#REF!,#REF!,#REF!</definedName>
    <definedName name="Fields">#REF!,#REF!,#REF!,#REF!,#REF!,#REF!,#REF!,#REF!</definedName>
    <definedName name="fields2">'[4]Building Input'!$C$7:$C$11,'[4]Building Input'!$C$14:$C$15,'[4]Building Input'!$C$17,'[4]Building Input'!$C$19:$C$28,'[4]Building Input'!$C$35:$C$37,'[4]Building Input'!$C$39,'[4]Building Input'!$C$41,'[4]Building Input'!$C$43:$C$44</definedName>
    <definedName name="Freshwater_Wetlands" localSheetId="2">#REF!</definedName>
    <definedName name="Freshwater_Wetlands">#REF!</definedName>
    <definedName name="fuel" localSheetId="2">#REF!</definedName>
    <definedName name="fuel">#REF!</definedName>
    <definedName name="fuels" localSheetId="2">#REF!</definedName>
    <definedName name="fuels">#REF!</definedName>
    <definedName name="fueltype" localSheetId="2">#REF!</definedName>
    <definedName name="fueltype">#REF!</definedName>
    <definedName name="Fynbos_Alluvial_Vegetation" localSheetId="2">#REF!</definedName>
    <definedName name="Fynbos_Alluvial_Vegetation">#REF!</definedName>
    <definedName name="Fynbos_Kamiesberg_Centre" localSheetId="2">#REF!</definedName>
    <definedName name="Fynbos_Kamiesberg_Centre">#REF!</definedName>
    <definedName name="Fynbos_Karoo_Mountain_Centre" localSheetId="2">#REF!</definedName>
    <definedName name="Fynbos_Karoo_Mountain_Centre">#REF!</definedName>
    <definedName name="Fynbos_Northwest_Centre" localSheetId="2">#REF!</definedName>
    <definedName name="Fynbos_Northwest_Centre">#REF!</definedName>
    <definedName name="Fynbos_South_Coast_Centre" localSheetId="2">#REF!</definedName>
    <definedName name="Fynbos_South_Coast_Centre">#REF!</definedName>
    <definedName name="Fynbos_Southeast_Centre" localSheetId="2">#REF!</definedName>
    <definedName name="Fynbos_Southeast_Centre">#REF!</definedName>
    <definedName name="Fynbos_Southwest_Centre" localSheetId="2">#REF!</definedName>
    <definedName name="Fynbos_Southwest_Centre">#REF!</definedName>
    <definedName name="Fynbos_Strandveld" localSheetId="2">#REF!</definedName>
    <definedName name="Fynbos_Strandveld">#REF!</definedName>
    <definedName name="Grassland_Alluvial_Vegetation" localSheetId="2">#REF!</definedName>
    <definedName name="Grassland_Alluvial_Vegetation">#REF!</definedName>
    <definedName name="Grassland_Biome_Shrublands" localSheetId="2">#REF!</definedName>
    <definedName name="Grassland_Biome_Shrublands">#REF!</definedName>
    <definedName name="Headings" localSheetId="2">#REF!,#REF!,#REF!,#REF!,#REF!</definedName>
    <definedName name="Headings">#REF!,#REF!,#REF!,#REF!,#REF!</definedName>
    <definedName name="HeadingsEC" localSheetId="2">#REF!,#REF!,#REF!,#REF!,#REF!</definedName>
    <definedName name="HeadingsEC">#REF!,#REF!,#REF!,#REF!,#REF!</definedName>
    <definedName name="Highveld_Grassland" localSheetId="2">#REF!</definedName>
    <definedName name="Highveld_Grassland">#REF!</definedName>
    <definedName name="Inland_Saline_Vegetation" localSheetId="2">#REF!</definedName>
    <definedName name="Inland_Saline_Vegetation">#REF!</definedName>
    <definedName name="IrrigationRequirements" localSheetId="2">#REF!</definedName>
    <definedName name="IrrigationRequirements">#REF!</definedName>
    <definedName name="IrrigationSystems" localSheetId="2">#REF!</definedName>
    <definedName name="IrrigationSystems">#REF!</definedName>
    <definedName name="Kalahari_Dry_Savanna" localSheetId="2">#REF!</definedName>
    <definedName name="Kalahari_Dry_Savanna">#REF!</definedName>
    <definedName name="Labels" localSheetId="2">#REF!,#REF!</definedName>
    <definedName name="Labels">#REF!,#REF!</definedName>
    <definedName name="Lower_Karoo" localSheetId="2">#REF!</definedName>
    <definedName name="Lower_Karoo">#REF!</definedName>
    <definedName name="Lowland_Forest" localSheetId="2">#REF!</definedName>
    <definedName name="Lowland_Forest">#REF!</definedName>
    <definedName name="Lowveld" localSheetId="2">#REF!</definedName>
    <definedName name="Lowveld">#REF!</definedName>
    <definedName name="Macroalgal_Sea_Beds" localSheetId="2">#REF!</definedName>
    <definedName name="Macroalgal_Sea_Beds">#REF!</definedName>
    <definedName name="Microclimate" localSheetId="2">#REF!</definedName>
    <definedName name="Microclimate">#REF!</definedName>
    <definedName name="Months" localSheetId="2">#REF!</definedName>
    <definedName name="Months">#REF!</definedName>
    <definedName name="Mountain_Bushveld" localSheetId="2">#REF!</definedName>
    <definedName name="Mountain_Bushveld">#REF!</definedName>
    <definedName name="Nama_Karoo_Alluvial_Vegetation" localSheetId="2">#REF!</definedName>
    <definedName name="Nama_Karoo_Alluvial_Vegetation">#REF!</definedName>
    <definedName name="Rainfall_data" localSheetId="2">#REF!</definedName>
    <definedName name="Rainfall_data">#REF!</definedName>
    <definedName name="Renosterveld_Eastern_Centre" localSheetId="2">#REF!</definedName>
    <definedName name="Renosterveld_Eastern_Centre">#REF!</definedName>
    <definedName name="Renosterveld_Karoo_Centre" localSheetId="2">#REF!</definedName>
    <definedName name="Renosterveld_Karoo_Centre">#REF!</definedName>
    <definedName name="Renosterveld_Mountain_Centre" localSheetId="2">#REF!</definedName>
    <definedName name="Renosterveld_Mountain_Centre">#REF!</definedName>
    <definedName name="Renosterveld_South_Coast_Centre" localSheetId="2">#REF!</definedName>
    <definedName name="Renosterveld_South_Coast_Centre">#REF!</definedName>
    <definedName name="Renosterveld_West_Coast_Centre" localSheetId="2">#REF!</definedName>
    <definedName name="Renosterveld_West_Coast_Centre">#REF!</definedName>
    <definedName name="RunOff" localSheetId="2">#REF!</definedName>
    <definedName name="RunOff">#REF!</definedName>
    <definedName name="SANS_Regions" localSheetId="2">#REF!</definedName>
    <definedName name="SANS_Regions">#REF!</definedName>
    <definedName name="Savanna_Alluvial_Vegetation" localSheetId="2">#REF!</definedName>
    <definedName name="Savanna_Alluvial_Vegetation">#REF!</definedName>
    <definedName name="South_Strandveld" localSheetId="2">#REF!</definedName>
    <definedName name="South_Strandveld">#REF!</definedName>
    <definedName name="Southern_Karoo" localSheetId="2">#REF!</definedName>
    <definedName name="Southern_Karoo">#REF!</definedName>
    <definedName name="Sub_Escarpment_Grassland" localSheetId="2">#REF!</definedName>
    <definedName name="Sub_Escarpment_Grassland">#REF!</definedName>
    <definedName name="Sub_Escarpment_Savanna" localSheetId="2">#REF!</definedName>
    <definedName name="Sub_Escarpment_Savanna">#REF!</definedName>
    <definedName name="Trans_Escarpment_Succulent_Karoo" localSheetId="2">#REF!</definedName>
    <definedName name="Trans_Escarpment_Succulent_Karoo">#REF!</definedName>
    <definedName name="Upland_Forest" localSheetId="2">#REF!</definedName>
    <definedName name="Upland_Forest">#REF!</definedName>
    <definedName name="Upper_Karoo" localSheetId="2">#REF!</definedName>
    <definedName name="Upper_Karoo">#REF!</definedName>
    <definedName name="Urban_Area_and_Unallocated" localSheetId="2">#REF!</definedName>
    <definedName name="Urban_Area_and_Unallocated">#REF!</definedName>
    <definedName name="WaterDischarge" localSheetId="2">#REF!</definedName>
    <definedName name="WaterDischarge">#REF!</definedName>
    <definedName name="West_Coast_Sandveld" localSheetId="2">#REF!</definedName>
    <definedName name="West_Coast_Sandveld">#REF!</definedName>
    <definedName name="West_Strandveld" localSheetId="2">#REF!</definedName>
    <definedName name="West_Strandveld">#REF!</definedName>
    <definedName name="Western_Gariep" localSheetId="2">#REF!</definedName>
    <definedName name="Western_Gariep">#REF!</definedName>
    <definedName name="Western_Lowland_Karoo" localSheetId="2">#REF!</definedName>
    <definedName name="Western_Lowland_Karoo">#REF!</definedName>
    <definedName name="Western_Mountain_Shrubland" localSheetId="2">#REF!</definedName>
    <definedName name="Western_Mountain_Shrubland">#REF!</definedName>
    <definedName name="Western_Upland_Karoo" localSheetId="2">#REF!</definedName>
    <definedName name="Western_Upland_Karoo">#REF!</definedName>
    <definedName name="Wetland_Forest" localSheetId="2">#REF!</definedName>
    <definedName name="Wetland_Forest">#REF!</definedName>
    <definedName name="WhiteSpace" localSheetId="2">#REF!,#REF!</definedName>
    <definedName name="WhiteSpace">#REF!,#REF!</definedName>
  </definedNames>
  <calcPr calcId="152511" concurrentCalc="0"/>
</workbook>
</file>

<file path=xl/calcChain.xml><?xml version="1.0" encoding="utf-8"?>
<calcChain xmlns="http://schemas.openxmlformats.org/spreadsheetml/2006/main">
  <c r="U236" i="1" l="1"/>
  <c r="U235" i="1"/>
  <c r="U234" i="1"/>
  <c r="U233" i="1"/>
  <c r="U232" i="1"/>
  <c r="U231" i="1"/>
  <c r="U230" i="1"/>
  <c r="U229" i="1"/>
  <c r="U228" i="1"/>
  <c r="U227" i="1"/>
  <c r="U226" i="1"/>
  <c r="U225" i="1"/>
  <c r="C218" i="1"/>
  <c r="C217" i="1"/>
  <c r="C216" i="1"/>
  <c r="C215" i="1"/>
  <c r="C214" i="1"/>
  <c r="C213" i="1"/>
  <c r="C212" i="1"/>
  <c r="C211" i="1"/>
  <c r="C210" i="1"/>
  <c r="C209" i="1"/>
  <c r="C208" i="1"/>
  <c r="C207" i="1"/>
  <c r="E47" i="1"/>
  <c r="D47" i="1"/>
  <c r="E46" i="1"/>
  <c r="D46" i="1"/>
  <c r="E45" i="1"/>
  <c r="D45" i="1"/>
  <c r="E44" i="1"/>
  <c r="D44" i="1"/>
  <c r="E43" i="1"/>
  <c r="D43" i="1"/>
  <c r="E42" i="1"/>
  <c r="D42" i="1"/>
  <c r="E41" i="1"/>
  <c r="D41" i="1"/>
  <c r="E40" i="1"/>
  <c r="D40" i="1"/>
  <c r="E39" i="1"/>
  <c r="D39" i="1"/>
  <c r="E38" i="1"/>
  <c r="D38" i="1"/>
  <c r="E37" i="1"/>
  <c r="D37" i="1"/>
  <c r="E36" i="1"/>
  <c r="D36" i="1"/>
  <c r="D32" i="1"/>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P38" i="5"/>
  <c r="D37" i="5"/>
  <c r="E37" i="5"/>
  <c r="F37" i="5"/>
  <c r="G37" i="5"/>
  <c r="H37" i="5"/>
  <c r="I37" i="5"/>
  <c r="J37" i="5"/>
  <c r="K37" i="5"/>
  <c r="L37" i="5"/>
  <c r="M37" i="5"/>
  <c r="N37" i="5"/>
  <c r="O37" i="5"/>
  <c r="P37" i="5"/>
  <c r="Q33" i="5"/>
  <c r="Q32" i="5"/>
  <c r="Q31" i="5"/>
  <c r="Q30" i="5"/>
  <c r="Q29" i="5"/>
  <c r="Q28" i="5"/>
  <c r="Q27" i="5"/>
  <c r="Q26" i="5"/>
  <c r="Q25" i="5"/>
  <c r="Q24" i="5"/>
  <c r="AE23" i="5"/>
  <c r="Q23" i="5"/>
  <c r="Q22" i="5"/>
  <c r="Q21" i="5"/>
  <c r="Q20" i="5"/>
  <c r="Q19" i="5"/>
  <c r="Q18" i="5"/>
  <c r="Q17" i="5"/>
  <c r="Q16" i="5"/>
  <c r="Q15" i="5"/>
  <c r="Q14" i="5"/>
  <c r="Q13" i="5"/>
  <c r="Q12" i="5"/>
  <c r="AE11" i="5"/>
  <c r="Q11" i="5"/>
  <c r="AE10" i="5"/>
  <c r="Q10" i="5"/>
  <c r="AE9" i="5"/>
  <c r="Q9" i="5"/>
  <c r="AE8" i="5"/>
  <c r="Q8" i="5"/>
  <c r="AE7" i="5"/>
  <c r="Q7" i="5"/>
  <c r="AE6" i="5"/>
  <c r="Q6" i="5"/>
  <c r="Q5" i="5"/>
  <c r="Q4" i="5"/>
  <c r="R205" i="1"/>
  <c r="AI205" i="1"/>
  <c r="AJ205" i="1"/>
  <c r="AK205" i="1"/>
  <c r="AL205" i="1"/>
  <c r="AM205" i="1"/>
  <c r="AN205" i="1"/>
  <c r="AN334" i="1"/>
  <c r="O239" i="1"/>
  <c r="DM227" i="1"/>
  <c r="DN227" i="1"/>
  <c r="DM228" i="1"/>
  <c r="DN228" i="1"/>
  <c r="DN229" i="1"/>
  <c r="DO242" i="1"/>
  <c r="E243" i="1"/>
  <c r="AD225" i="1"/>
  <c r="AC225" i="1"/>
  <c r="AE225" i="1"/>
  <c r="AC226" i="1"/>
  <c r="AE226" i="1"/>
  <c r="AC227" i="1"/>
  <c r="AE227" i="1"/>
  <c r="AC228" i="1"/>
  <c r="AE228" i="1"/>
  <c r="AC229" i="1"/>
  <c r="AE229" i="1"/>
  <c r="AC230" i="1"/>
  <c r="AE230" i="1"/>
  <c r="AC231" i="1"/>
  <c r="AE231" i="1"/>
  <c r="AC232" i="1"/>
  <c r="AE232" i="1"/>
  <c r="AC233" i="1"/>
  <c r="AE233" i="1"/>
  <c r="AC234" i="1"/>
  <c r="AE234" i="1"/>
  <c r="AC235" i="1"/>
  <c r="AE235" i="1"/>
  <c r="AC236" i="1"/>
  <c r="AE236" i="1"/>
  <c r="AE237" i="1"/>
  <c r="E244" i="1"/>
  <c r="E245" i="1"/>
  <c r="AO334" i="1"/>
  <c r="AO335" i="1"/>
  <c r="AO336" i="1"/>
  <c r="AO337" i="1"/>
  <c r="AO338" i="1"/>
  <c r="AO339" i="1"/>
  <c r="AO340" i="1"/>
  <c r="AO341" i="1"/>
  <c r="AO342" i="1"/>
  <c r="AO343" i="1"/>
  <c r="AO344" i="1"/>
  <c r="AO345" i="1"/>
  <c r="AO346" i="1"/>
  <c r="D343" i="1"/>
  <c r="R209" i="1"/>
  <c r="AI209" i="1"/>
  <c r="AJ209" i="1"/>
  <c r="AK209" i="1"/>
  <c r="AL209" i="1"/>
  <c r="AM209" i="1"/>
  <c r="AN209" i="1"/>
  <c r="AN338" i="1"/>
  <c r="R210" i="1"/>
  <c r="AI210" i="1"/>
  <c r="AJ210" i="1"/>
  <c r="AK210" i="1"/>
  <c r="AL210" i="1"/>
  <c r="AM210" i="1"/>
  <c r="AN210" i="1"/>
  <c r="AN339" i="1"/>
  <c r="R211" i="1"/>
  <c r="AI211" i="1"/>
  <c r="AJ211" i="1"/>
  <c r="AK211" i="1"/>
  <c r="AL211" i="1"/>
  <c r="AM211" i="1"/>
  <c r="AN211" i="1"/>
  <c r="AN340" i="1"/>
  <c r="R212" i="1"/>
  <c r="AI212" i="1"/>
  <c r="AJ212" i="1"/>
  <c r="AK212" i="1"/>
  <c r="AL212" i="1"/>
  <c r="AM212" i="1"/>
  <c r="AN212" i="1"/>
  <c r="AN341" i="1"/>
  <c r="R213" i="1"/>
  <c r="AI213" i="1"/>
  <c r="AJ213" i="1"/>
  <c r="AK213" i="1"/>
  <c r="AL213" i="1"/>
  <c r="AM213" i="1"/>
  <c r="AN213" i="1"/>
  <c r="AN342" i="1"/>
  <c r="R214" i="1"/>
  <c r="AI214" i="1"/>
  <c r="AJ214" i="1"/>
  <c r="AK214" i="1"/>
  <c r="AL214" i="1"/>
  <c r="AM214" i="1"/>
  <c r="AN214" i="1"/>
  <c r="AN343" i="1"/>
  <c r="R215" i="1"/>
  <c r="AI215" i="1"/>
  <c r="AJ215" i="1"/>
  <c r="AK215" i="1"/>
  <c r="AL215" i="1"/>
  <c r="AM215" i="1"/>
  <c r="AN215" i="1"/>
  <c r="AN344" i="1"/>
  <c r="R216" i="1"/>
  <c r="AI216" i="1"/>
  <c r="AJ216" i="1"/>
  <c r="AK216" i="1"/>
  <c r="AL216" i="1"/>
  <c r="AM216" i="1"/>
  <c r="AN216" i="1"/>
  <c r="AN345" i="1"/>
  <c r="AN346" i="1"/>
  <c r="D342" i="1"/>
  <c r="G256" i="1"/>
  <c r="G258" i="1"/>
  <c r="P254" i="1"/>
  <c r="P258" i="1"/>
  <c r="K259" i="1"/>
  <c r="Z332" i="1"/>
  <c r="AP332" i="1"/>
  <c r="AP334" i="1"/>
  <c r="K260" i="1"/>
  <c r="AP335" i="1"/>
  <c r="K261" i="1"/>
  <c r="AP336" i="1"/>
  <c r="K262" i="1"/>
  <c r="AP337" i="1"/>
  <c r="K263" i="1"/>
  <c r="AP338" i="1"/>
  <c r="K264" i="1"/>
  <c r="AP339" i="1"/>
  <c r="K265" i="1"/>
  <c r="AP340" i="1"/>
  <c r="K266" i="1"/>
  <c r="AP341" i="1"/>
  <c r="K267" i="1"/>
  <c r="AP342" i="1"/>
  <c r="K268" i="1"/>
  <c r="AP343" i="1"/>
  <c r="K269" i="1"/>
  <c r="AP344" i="1"/>
  <c r="K270" i="1"/>
  <c r="AP345" i="1"/>
  <c r="AP346" i="1"/>
  <c r="D344" i="1"/>
  <c r="G292" i="1"/>
  <c r="G294" i="1"/>
  <c r="P283" i="1"/>
  <c r="P286" i="1"/>
  <c r="K287" i="1"/>
  <c r="AA332" i="1"/>
  <c r="AQ332" i="1"/>
  <c r="AQ334" i="1"/>
  <c r="D329" i="1"/>
  <c r="D330" i="1"/>
  <c r="P314" i="1"/>
  <c r="AB332" i="1"/>
  <c r="AR332" i="1"/>
  <c r="AR334" i="1"/>
  <c r="H329" i="1"/>
  <c r="H330" i="1"/>
  <c r="P315" i="1"/>
  <c r="AC332" i="1"/>
  <c r="AS332" i="1"/>
  <c r="AS334" i="1"/>
  <c r="L329" i="1"/>
  <c r="L330" i="1"/>
  <c r="P316" i="1"/>
  <c r="AD332" i="1"/>
  <c r="AT332" i="1"/>
  <c r="AT334" i="1"/>
  <c r="AU334" i="1"/>
  <c r="D351" i="1"/>
  <c r="K288" i="1"/>
  <c r="AQ335" i="1"/>
  <c r="AR335" i="1"/>
  <c r="AS335" i="1"/>
  <c r="AT335" i="1"/>
  <c r="AU335" i="1"/>
  <c r="D352" i="1"/>
  <c r="K289" i="1"/>
  <c r="AQ336" i="1"/>
  <c r="AR336" i="1"/>
  <c r="AS336" i="1"/>
  <c r="AT336" i="1"/>
  <c r="AU336" i="1"/>
  <c r="D353" i="1"/>
  <c r="K290" i="1"/>
  <c r="AQ337" i="1"/>
  <c r="AR337" i="1"/>
  <c r="AS337" i="1"/>
  <c r="AT337" i="1"/>
  <c r="AU337" i="1"/>
  <c r="D354" i="1"/>
  <c r="K291" i="1"/>
  <c r="AQ338" i="1"/>
  <c r="AR338" i="1"/>
  <c r="AS338" i="1"/>
  <c r="AT338" i="1"/>
  <c r="AU338" i="1"/>
  <c r="D355" i="1"/>
  <c r="K292" i="1"/>
  <c r="AQ339" i="1"/>
  <c r="AR339" i="1"/>
  <c r="AS339" i="1"/>
  <c r="AT339" i="1"/>
  <c r="AU339" i="1"/>
  <c r="D356" i="1"/>
  <c r="K293" i="1"/>
  <c r="AQ340" i="1"/>
  <c r="AR340" i="1"/>
  <c r="AS340" i="1"/>
  <c r="AT340" i="1"/>
  <c r="AU340" i="1"/>
  <c r="D357" i="1"/>
  <c r="K294" i="1"/>
  <c r="AQ341" i="1"/>
  <c r="AR341" i="1"/>
  <c r="AS341" i="1"/>
  <c r="AT341" i="1"/>
  <c r="AU341" i="1"/>
  <c r="D358" i="1"/>
  <c r="K295" i="1"/>
  <c r="AQ342" i="1"/>
  <c r="AR342" i="1"/>
  <c r="AS342" i="1"/>
  <c r="AT342" i="1"/>
  <c r="AU342" i="1"/>
  <c r="D359" i="1"/>
  <c r="K296" i="1"/>
  <c r="AQ343" i="1"/>
  <c r="AR343" i="1"/>
  <c r="AS343" i="1"/>
  <c r="AT343" i="1"/>
  <c r="AU343" i="1"/>
  <c r="D360" i="1"/>
  <c r="K297" i="1"/>
  <c r="AQ344" i="1"/>
  <c r="AR344" i="1"/>
  <c r="AS344" i="1"/>
  <c r="AT344" i="1"/>
  <c r="AU344" i="1"/>
  <c r="D361" i="1"/>
  <c r="K298" i="1"/>
  <c r="AQ345" i="1"/>
  <c r="AR345" i="1"/>
  <c r="AS345" i="1"/>
  <c r="AT345" i="1"/>
  <c r="AU345" i="1"/>
  <c r="D362" i="1"/>
  <c r="D363" i="1"/>
  <c r="E468" i="1"/>
  <c r="E473" i="1"/>
  <c r="D475" i="1"/>
  <c r="D477" i="1"/>
  <c r="D473" i="1"/>
  <c r="U16" i="1"/>
  <c r="U17" i="1"/>
  <c r="U18" i="1"/>
  <c r="U19" i="1"/>
  <c r="U20" i="1"/>
  <c r="U21" i="1"/>
  <c r="U22" i="1"/>
  <c r="U23" i="1"/>
  <c r="U24" i="1"/>
  <c r="U25" i="1"/>
  <c r="U26" i="1"/>
  <c r="U27" i="1"/>
  <c r="U28" i="1"/>
  <c r="U29" i="1"/>
  <c r="T16" i="1"/>
  <c r="T17" i="1"/>
  <c r="T18" i="1"/>
  <c r="T19" i="1"/>
  <c r="T20" i="1"/>
  <c r="T21" i="1"/>
  <c r="T22" i="1"/>
  <c r="T23" i="1"/>
  <c r="T24" i="1"/>
  <c r="T25" i="1"/>
  <c r="T26" i="1"/>
  <c r="T27" i="1"/>
  <c r="T28" i="1"/>
  <c r="T29" i="1"/>
  <c r="AM26" i="1"/>
  <c r="AK26" i="1"/>
  <c r="AL26" i="1"/>
  <c r="AJ26" i="1"/>
  <c r="AG26" i="1"/>
  <c r="AM27" i="1"/>
  <c r="AL27" i="1"/>
  <c r="AK27" i="1"/>
  <c r="AJ27" i="1"/>
  <c r="AG27" i="1"/>
  <c r="ET40" i="1"/>
  <c r="ES40" i="1"/>
  <c r="ET39" i="1"/>
  <c r="ES39" i="1"/>
  <c r="Y16" i="1"/>
  <c r="Y17" i="1"/>
  <c r="Y18" i="1"/>
  <c r="Y19" i="1"/>
  <c r="Y20" i="1"/>
  <c r="Y21" i="1"/>
  <c r="Y22" i="1"/>
  <c r="Y23" i="1"/>
  <c r="Y24" i="1"/>
  <c r="Y25" i="1"/>
  <c r="Y26" i="1"/>
  <c r="Y27" i="1"/>
  <c r="Y28" i="1"/>
  <c r="Y29" i="1"/>
  <c r="Y15" i="1"/>
  <c r="H90" i="1"/>
  <c r="K326" i="1"/>
  <c r="G326" i="1"/>
  <c r="C326" i="1"/>
  <c r="Q216" i="1"/>
  <c r="AD236" i="1"/>
  <c r="Q214" i="1"/>
  <c r="Q213" i="1"/>
  <c r="BQ4" i="1"/>
  <c r="BO4" i="1"/>
  <c r="BN4" i="1"/>
  <c r="Q208" i="1"/>
  <c r="Q205" i="1"/>
  <c r="DU40" i="1"/>
  <c r="AL13" i="1"/>
  <c r="DV40" i="1"/>
  <c r="AM13" i="1"/>
  <c r="DU39" i="1"/>
  <c r="AJ13" i="1"/>
  <c r="DV39" i="1"/>
  <c r="AK13" i="1"/>
  <c r="DM59" i="1"/>
  <c r="R59" i="1"/>
  <c r="Q15" i="1"/>
  <c r="AG14" i="1"/>
  <c r="AG15" i="1"/>
  <c r="AG16" i="1"/>
  <c r="AG17" i="1"/>
  <c r="DS39" i="1"/>
  <c r="AJ12" i="1"/>
  <c r="DT39" i="1"/>
  <c r="AK12" i="1"/>
  <c r="DS40" i="1"/>
  <c r="AL12" i="1"/>
  <c r="DT40" i="1"/>
  <c r="AM12" i="1"/>
  <c r="DW39" i="1"/>
  <c r="AJ14" i="1"/>
  <c r="DX39" i="1"/>
  <c r="AK14" i="1"/>
  <c r="DW40" i="1"/>
  <c r="AL14" i="1"/>
  <c r="DX40" i="1"/>
  <c r="AM14" i="1"/>
  <c r="DY39" i="1"/>
  <c r="AJ15" i="1"/>
  <c r="DZ39" i="1"/>
  <c r="AK15" i="1"/>
  <c r="DY40" i="1"/>
  <c r="AL15" i="1"/>
  <c r="DZ40" i="1"/>
  <c r="AM15" i="1"/>
  <c r="EA39" i="1"/>
  <c r="AJ16" i="1"/>
  <c r="EB39" i="1"/>
  <c r="AK16" i="1"/>
  <c r="EA40" i="1"/>
  <c r="AL16" i="1"/>
  <c r="EB40" i="1"/>
  <c r="AM16" i="1"/>
  <c r="EC39" i="1"/>
  <c r="AJ17" i="1"/>
  <c r="ED39" i="1"/>
  <c r="AK17" i="1"/>
  <c r="EC40" i="1"/>
  <c r="AL17" i="1"/>
  <c r="ED40" i="1"/>
  <c r="AM17" i="1"/>
  <c r="AG18" i="1"/>
  <c r="EE39" i="1"/>
  <c r="AJ18" i="1"/>
  <c r="EF39" i="1"/>
  <c r="AK18" i="1"/>
  <c r="EE40" i="1"/>
  <c r="AL18" i="1"/>
  <c r="EF40" i="1"/>
  <c r="AM18" i="1"/>
  <c r="AG19" i="1"/>
  <c r="EG39" i="1"/>
  <c r="AJ19" i="1"/>
  <c r="EH39" i="1"/>
  <c r="AK19" i="1"/>
  <c r="EG40" i="1"/>
  <c r="AL19" i="1"/>
  <c r="EH40" i="1"/>
  <c r="AM19" i="1"/>
  <c r="AG20" i="1"/>
  <c r="EI39" i="1"/>
  <c r="AJ20" i="1"/>
  <c r="EJ39" i="1"/>
  <c r="AK20" i="1"/>
  <c r="AM20" i="1"/>
  <c r="AG21" i="1"/>
  <c r="EK39" i="1"/>
  <c r="AJ21" i="1"/>
  <c r="EL39" i="1"/>
  <c r="AK21" i="1"/>
  <c r="EK40" i="1"/>
  <c r="AL21" i="1"/>
  <c r="EL40" i="1"/>
  <c r="AM21" i="1"/>
  <c r="AG22" i="1"/>
  <c r="EM39" i="1"/>
  <c r="AJ22" i="1"/>
  <c r="EN39" i="1"/>
  <c r="AK22" i="1"/>
  <c r="EM40" i="1"/>
  <c r="AL22" i="1"/>
  <c r="EN40" i="1"/>
  <c r="AM22" i="1"/>
  <c r="AG23" i="1"/>
  <c r="EO39" i="1"/>
  <c r="AJ23" i="1"/>
  <c r="EP39" i="1"/>
  <c r="AK23" i="1"/>
  <c r="EO40" i="1"/>
  <c r="AL23" i="1"/>
  <c r="EP40" i="1"/>
  <c r="AM23" i="1"/>
  <c r="AG24" i="1"/>
  <c r="EQ39" i="1"/>
  <c r="AJ24" i="1"/>
  <c r="ER39" i="1"/>
  <c r="AK24" i="1"/>
  <c r="EQ40" i="1"/>
  <c r="AL24" i="1"/>
  <c r="ER40" i="1"/>
  <c r="AM24" i="1"/>
  <c r="AG25" i="1"/>
  <c r="EU39" i="1"/>
  <c r="AJ25" i="1"/>
  <c r="EV39" i="1"/>
  <c r="AK25" i="1"/>
  <c r="EU40" i="1"/>
  <c r="AL25" i="1"/>
  <c r="EV40" i="1"/>
  <c r="AM25" i="1"/>
  <c r="EW39" i="1"/>
  <c r="EX39" i="1"/>
  <c r="EW40" i="1"/>
  <c r="EX40" i="1"/>
  <c r="Q16" i="1"/>
  <c r="R16" i="1"/>
  <c r="Q17" i="1"/>
  <c r="R17" i="1"/>
  <c r="Q18" i="1"/>
  <c r="R18" i="1"/>
  <c r="S18" i="1"/>
  <c r="Q19" i="1"/>
  <c r="R19" i="1"/>
  <c r="S19" i="1"/>
  <c r="Q20" i="1"/>
  <c r="R20" i="1"/>
  <c r="S20" i="1"/>
  <c r="Q21" i="1"/>
  <c r="R21" i="1"/>
  <c r="S21" i="1"/>
  <c r="Q22" i="1"/>
  <c r="R22" i="1"/>
  <c r="S22" i="1"/>
  <c r="Q23" i="1"/>
  <c r="R23" i="1"/>
  <c r="S23" i="1"/>
  <c r="Q24" i="1"/>
  <c r="R24" i="1"/>
  <c r="S24" i="1"/>
  <c r="Q25" i="1"/>
  <c r="R25" i="1"/>
  <c r="Q26" i="1"/>
  <c r="R26" i="1"/>
  <c r="S26" i="1"/>
  <c r="Q27" i="1"/>
  <c r="R27" i="1"/>
  <c r="S27" i="1"/>
  <c r="Q28" i="1"/>
  <c r="R28" i="1"/>
  <c r="S28" i="1"/>
  <c r="Q29" i="1"/>
  <c r="R29" i="1"/>
  <c r="S29" i="1"/>
  <c r="Z59" i="1"/>
  <c r="P334" i="1"/>
  <c r="P335" i="1"/>
  <c r="P336" i="1"/>
  <c r="P337" i="1"/>
  <c r="P338" i="1"/>
  <c r="P339" i="1"/>
  <c r="P340" i="1"/>
  <c r="P341" i="1"/>
  <c r="P342" i="1"/>
  <c r="P343" i="1"/>
  <c r="P344" i="1"/>
  <c r="P345" i="1"/>
  <c r="DM60" i="1"/>
  <c r="R60" i="1"/>
  <c r="Z60" i="1"/>
  <c r="DM63" i="1"/>
  <c r="R62" i="1"/>
  <c r="X62" i="1"/>
  <c r="Y62" i="1"/>
  <c r="X63" i="1"/>
  <c r="Y63" i="1"/>
  <c r="I136" i="1"/>
  <c r="O143" i="1"/>
  <c r="W144" i="1"/>
  <c r="X144" i="1"/>
  <c r="I139" i="1"/>
  <c r="I138" i="1"/>
  <c r="I137" i="1"/>
  <c r="DL199" i="1"/>
  <c r="AJ195" i="1"/>
  <c r="AK195" i="1"/>
  <c r="P195" i="1"/>
  <c r="AM195" i="1"/>
  <c r="P196" i="1"/>
  <c r="P197" i="1"/>
  <c r="P198" i="1"/>
  <c r="P199" i="1"/>
  <c r="DO240" i="1"/>
  <c r="DM226" i="1"/>
  <c r="DN226" i="1"/>
  <c r="Q207" i="1"/>
  <c r="Q209" i="1"/>
  <c r="AD229" i="1"/>
  <c r="Q215" i="1"/>
  <c r="G257" i="1"/>
  <c r="P255" i="1"/>
  <c r="N251" i="1"/>
  <c r="DN293" i="1"/>
  <c r="P290" i="1"/>
  <c r="DN297" i="1"/>
  <c r="P291" i="1"/>
  <c r="DN298" i="1"/>
  <c r="P292" i="1"/>
  <c r="DN299" i="1"/>
  <c r="C297" i="1"/>
  <c r="P284" i="1"/>
  <c r="N280" i="1"/>
  <c r="O304" i="1"/>
  <c r="E467" i="1"/>
  <c r="P466" i="1"/>
  <c r="P467" i="1"/>
  <c r="P468" i="1"/>
  <c r="P469" i="1"/>
  <c r="O137" i="1"/>
  <c r="Q146" i="1"/>
  <c r="R146" i="1"/>
  <c r="P471" i="1"/>
  <c r="AH399" i="1"/>
  <c r="AH411" i="1"/>
  <c r="AJ399" i="1"/>
  <c r="AH400" i="1"/>
  <c r="AJ400" i="1"/>
  <c r="AH401" i="1"/>
  <c r="AJ401" i="1"/>
  <c r="AH402" i="1"/>
  <c r="AJ402" i="1"/>
  <c r="AH403" i="1"/>
  <c r="AJ403" i="1"/>
  <c r="AH404" i="1"/>
  <c r="AJ404" i="1"/>
  <c r="AH405" i="1"/>
  <c r="AJ405" i="1"/>
  <c r="AH406" i="1"/>
  <c r="AJ406" i="1"/>
  <c r="AH407" i="1"/>
  <c r="AJ407" i="1"/>
  <c r="AH408" i="1"/>
  <c r="AJ408" i="1"/>
  <c r="AH409" i="1"/>
  <c r="AJ409" i="1"/>
  <c r="AH410" i="1"/>
  <c r="AJ410" i="1"/>
  <c r="AI399" i="1"/>
  <c r="AI400" i="1"/>
  <c r="AI401" i="1"/>
  <c r="AI402" i="1"/>
  <c r="AI403" i="1"/>
  <c r="AI404" i="1"/>
  <c r="AI405" i="1"/>
  <c r="AI406" i="1"/>
  <c r="AI407" i="1"/>
  <c r="AI408" i="1"/>
  <c r="AI409" i="1"/>
  <c r="AI410" i="1"/>
  <c r="B348" i="1"/>
  <c r="AG410" i="1"/>
  <c r="B347" i="1"/>
  <c r="AG409" i="1"/>
  <c r="B346" i="1"/>
  <c r="AG408" i="1"/>
  <c r="Q199" i="1"/>
  <c r="S199" i="1"/>
  <c r="R199" i="1"/>
  <c r="U199" i="1"/>
  <c r="V199" i="1"/>
  <c r="W199" i="1"/>
  <c r="AF202" i="1"/>
  <c r="T199" i="1"/>
  <c r="Q198" i="1"/>
  <c r="R198" i="1"/>
  <c r="U198" i="1"/>
  <c r="V198" i="1"/>
  <c r="W198" i="1"/>
  <c r="AC202" i="1"/>
  <c r="T198" i="1"/>
  <c r="R197" i="1"/>
  <c r="U197" i="1"/>
  <c r="V197" i="1"/>
  <c r="W197" i="1"/>
  <c r="Z202" i="1"/>
  <c r="T197" i="1"/>
  <c r="Q196" i="1"/>
  <c r="R196" i="1"/>
  <c r="U196" i="1"/>
  <c r="V196" i="1"/>
  <c r="W196" i="1"/>
  <c r="W202" i="1"/>
  <c r="T196" i="1"/>
  <c r="R195" i="1"/>
  <c r="U195" i="1"/>
  <c r="V195" i="1"/>
  <c r="W195" i="1"/>
  <c r="T195" i="1"/>
  <c r="Z240" i="1"/>
  <c r="Z236" i="1"/>
  <c r="Z239" i="1"/>
  <c r="O242" i="1"/>
  <c r="X240" i="1"/>
  <c r="W236" i="1"/>
  <c r="X239" i="1"/>
  <c r="X241" i="1"/>
  <c r="X242" i="1"/>
  <c r="X243" i="1"/>
  <c r="O243" i="1"/>
  <c r="O244" i="1"/>
  <c r="DM232" i="1"/>
  <c r="DN232" i="1"/>
  <c r="O241" i="1"/>
  <c r="O240" i="1"/>
  <c r="N391" i="1"/>
  <c r="DM233" i="1"/>
  <c r="DN233" i="1"/>
  <c r="DM234" i="1"/>
  <c r="DN234" i="1"/>
  <c r="AG407" i="1"/>
  <c r="AG406" i="1"/>
  <c r="AG405" i="1"/>
  <c r="AG404" i="1"/>
  <c r="AG403" i="1"/>
  <c r="B340" i="1"/>
  <c r="AG402" i="1"/>
  <c r="N402" i="1"/>
  <c r="B339" i="1"/>
  <c r="AG401" i="1"/>
  <c r="B338" i="1"/>
  <c r="AG400" i="1"/>
  <c r="N400" i="1"/>
  <c r="BJ11" i="1"/>
  <c r="BJ13" i="1"/>
  <c r="B105" i="1"/>
  <c r="B337" i="1"/>
  <c r="AG399" i="1"/>
  <c r="AI392" i="1"/>
  <c r="AB392" i="1"/>
  <c r="AA392" i="1"/>
  <c r="Z392" i="1"/>
  <c r="Y392" i="1"/>
  <c r="X392" i="1"/>
  <c r="W392" i="1"/>
  <c r="N389" i="1"/>
  <c r="BR16" i="1"/>
  <c r="BI365" i="1"/>
  <c r="BT365" i="1"/>
  <c r="BR17" i="1"/>
  <c r="BU16" i="1"/>
  <c r="BU17" i="1"/>
  <c r="BX16" i="1"/>
  <c r="BW365" i="1"/>
  <c r="BX17" i="1"/>
  <c r="CA16" i="1"/>
  <c r="BZ365" i="1"/>
  <c r="CA17" i="1"/>
  <c r="CD17" i="1"/>
  <c r="CF365" i="1"/>
  <c r="CG17" i="1"/>
  <c r="CI365" i="1"/>
  <c r="CJ17" i="1"/>
  <c r="CM16" i="1"/>
  <c r="CL365" i="1"/>
  <c r="CM17" i="1"/>
  <c r="CP16" i="1"/>
  <c r="CO365" i="1"/>
  <c r="CP17" i="1"/>
  <c r="CS16" i="1"/>
  <c r="CS17" i="1"/>
  <c r="CV16" i="1"/>
  <c r="CU365" i="1"/>
  <c r="CV17" i="1"/>
  <c r="CY16" i="1"/>
  <c r="CX365" i="1"/>
  <c r="CY17" i="1"/>
  <c r="BJ10" i="1"/>
  <c r="BJ14" i="1"/>
  <c r="BI20" i="1"/>
  <c r="BQ20" i="1"/>
  <c r="BW20" i="1"/>
  <c r="CD16" i="1"/>
  <c r="CG16" i="1"/>
  <c r="CF20" i="1"/>
  <c r="CJ16" i="1"/>
  <c r="CO20" i="1"/>
  <c r="CR20" i="1"/>
  <c r="BI21" i="1"/>
  <c r="BT21" i="1"/>
  <c r="BW21" i="1"/>
  <c r="CI21" i="1"/>
  <c r="CL21" i="1"/>
  <c r="BI22" i="1"/>
  <c r="BT22" i="1"/>
  <c r="CF22" i="1"/>
  <c r="CO22" i="1"/>
  <c r="BI23" i="1"/>
  <c r="CC23" i="1"/>
  <c r="BQ23" i="1"/>
  <c r="BZ23" i="1"/>
  <c r="CL23" i="1"/>
  <c r="CO23" i="1"/>
  <c r="CX23" i="1"/>
  <c r="BI24" i="1"/>
  <c r="BQ24" i="1"/>
  <c r="BW24" i="1"/>
  <c r="CO24" i="1"/>
  <c r="CX24" i="1"/>
  <c r="BI25" i="1"/>
  <c r="BT25" i="1"/>
  <c r="BW25" i="1"/>
  <c r="BZ25" i="1"/>
  <c r="CI25" i="1"/>
  <c r="CL25" i="1"/>
  <c r="CU25" i="1"/>
  <c r="CX25" i="1"/>
  <c r="BI26" i="1"/>
  <c r="CO26" i="1"/>
  <c r="BI27" i="1"/>
  <c r="BQ27" i="1"/>
  <c r="BW27" i="1"/>
  <c r="BZ27" i="1"/>
  <c r="CI27" i="1"/>
  <c r="CL27" i="1"/>
  <c r="CU27" i="1"/>
  <c r="CX27" i="1"/>
  <c r="BI28" i="1"/>
  <c r="BQ28" i="1"/>
  <c r="CC28" i="1"/>
  <c r="CL28" i="1"/>
  <c r="CO28" i="1"/>
  <c r="BI29" i="1"/>
  <c r="BT29" i="1"/>
  <c r="BW29" i="1"/>
  <c r="CL29" i="1"/>
  <c r="BI30" i="1"/>
  <c r="BZ30" i="1"/>
  <c r="BQ30" i="1"/>
  <c r="BT30" i="1"/>
  <c r="BW30" i="1"/>
  <c r="CC30" i="1"/>
  <c r="CF30" i="1"/>
  <c r="CI30" i="1"/>
  <c r="CL30" i="1"/>
  <c r="CO30" i="1"/>
  <c r="CR30" i="1"/>
  <c r="CU30" i="1"/>
  <c r="CX30" i="1"/>
  <c r="BI31" i="1"/>
  <c r="BQ31" i="1"/>
  <c r="BZ31" i="1"/>
  <c r="CC31" i="1"/>
  <c r="CL31" i="1"/>
  <c r="CX31" i="1"/>
  <c r="BI32" i="1"/>
  <c r="BI33" i="1"/>
  <c r="BW33" i="1"/>
  <c r="CL33" i="1"/>
  <c r="CU33" i="1"/>
  <c r="BI34" i="1"/>
  <c r="BQ34" i="1"/>
  <c r="BW34" i="1"/>
  <c r="BZ34" i="1"/>
  <c r="CC34" i="1"/>
  <c r="CI34" i="1"/>
  <c r="CL34" i="1"/>
  <c r="CO34" i="1"/>
  <c r="CU34" i="1"/>
  <c r="CX34" i="1"/>
  <c r="BI35" i="1"/>
  <c r="BT35" i="1"/>
  <c r="CL35" i="1"/>
  <c r="CX35" i="1"/>
  <c r="BI36" i="1"/>
  <c r="BQ36" i="1"/>
  <c r="BW36" i="1"/>
  <c r="BZ36" i="1"/>
  <c r="CC36" i="1"/>
  <c r="CI36" i="1"/>
  <c r="CL36" i="1"/>
  <c r="CO36" i="1"/>
  <c r="CU36" i="1"/>
  <c r="CX36" i="1"/>
  <c r="BI37" i="1"/>
  <c r="BT37" i="1"/>
  <c r="BW37" i="1"/>
  <c r="BZ37" i="1"/>
  <c r="CC37" i="1"/>
  <c r="CI37" i="1"/>
  <c r="CL37" i="1"/>
  <c r="CO37" i="1"/>
  <c r="CU37" i="1"/>
  <c r="CX37" i="1"/>
  <c r="BI38" i="1"/>
  <c r="CC38" i="1"/>
  <c r="BT38" i="1"/>
  <c r="BW38" i="1"/>
  <c r="BZ38" i="1"/>
  <c r="CF38" i="1"/>
  <c r="CI38" i="1"/>
  <c r="CL38" i="1"/>
  <c r="CR38" i="1"/>
  <c r="CU38" i="1"/>
  <c r="CX38" i="1"/>
  <c r="BI39" i="1"/>
  <c r="BT39" i="1"/>
  <c r="BW39" i="1"/>
  <c r="CL39" i="1"/>
  <c r="CX39" i="1"/>
  <c r="BI40" i="1"/>
  <c r="BQ40" i="1"/>
  <c r="BT40" i="1"/>
  <c r="BW40" i="1"/>
  <c r="BZ40" i="1"/>
  <c r="CF40" i="1"/>
  <c r="CI40" i="1"/>
  <c r="CL40" i="1"/>
  <c r="CO40" i="1"/>
  <c r="CR40" i="1"/>
  <c r="CU40" i="1"/>
  <c r="CX40" i="1"/>
  <c r="BI41" i="1"/>
  <c r="BT41" i="1"/>
  <c r="BQ41" i="1"/>
  <c r="BW41" i="1"/>
  <c r="BZ41" i="1"/>
  <c r="CC41" i="1"/>
  <c r="CF41" i="1"/>
  <c r="CI41" i="1"/>
  <c r="CL41" i="1"/>
  <c r="CO41" i="1"/>
  <c r="CR41" i="1"/>
  <c r="CU41" i="1"/>
  <c r="CX41" i="1"/>
  <c r="BI42" i="1"/>
  <c r="BQ42" i="1"/>
  <c r="BT42" i="1"/>
  <c r="BW42" i="1"/>
  <c r="BZ42" i="1"/>
  <c r="CC42" i="1"/>
  <c r="CF42" i="1"/>
  <c r="CI42" i="1"/>
  <c r="CL42" i="1"/>
  <c r="CO42" i="1"/>
  <c r="CR42" i="1"/>
  <c r="CU42" i="1"/>
  <c r="CX42" i="1"/>
  <c r="BI43" i="1"/>
  <c r="BT43" i="1"/>
  <c r="BW43" i="1"/>
  <c r="BI44" i="1"/>
  <c r="BT44" i="1"/>
  <c r="CF44" i="1"/>
  <c r="CI44" i="1"/>
  <c r="CR44" i="1"/>
  <c r="BI45" i="1"/>
  <c r="BT45" i="1"/>
  <c r="BQ45" i="1"/>
  <c r="BW45" i="1"/>
  <c r="BZ45" i="1"/>
  <c r="CC45" i="1"/>
  <c r="CF45" i="1"/>
  <c r="CI45" i="1"/>
  <c r="CL45" i="1"/>
  <c r="CO45" i="1"/>
  <c r="CR45" i="1"/>
  <c r="CU45" i="1"/>
  <c r="CX45" i="1"/>
  <c r="BI46" i="1"/>
  <c r="BQ46" i="1"/>
  <c r="BT46" i="1"/>
  <c r="BW46" i="1"/>
  <c r="BZ46" i="1"/>
  <c r="CC46" i="1"/>
  <c r="CF46" i="1"/>
  <c r="CI46" i="1"/>
  <c r="CL46" i="1"/>
  <c r="CO46" i="1"/>
  <c r="CR46" i="1"/>
  <c r="CU46" i="1"/>
  <c r="CX46" i="1"/>
  <c r="BI47" i="1"/>
  <c r="BT47" i="1"/>
  <c r="BW47" i="1"/>
  <c r="BI48" i="1"/>
  <c r="BQ48" i="1"/>
  <c r="CC48" i="1"/>
  <c r="CF48" i="1"/>
  <c r="CO48" i="1"/>
  <c r="BI49" i="1"/>
  <c r="BT49" i="1"/>
  <c r="BQ49" i="1"/>
  <c r="CO49" i="1"/>
  <c r="CR49" i="1"/>
  <c r="BI50" i="1"/>
  <c r="BQ50" i="1"/>
  <c r="BZ50" i="1"/>
  <c r="CC50" i="1"/>
  <c r="CL50" i="1"/>
  <c r="CX50" i="1"/>
  <c r="BI51" i="1"/>
  <c r="CL51" i="1"/>
  <c r="BI52" i="1"/>
  <c r="BQ52" i="1"/>
  <c r="BT52" i="1"/>
  <c r="BW52" i="1"/>
  <c r="BZ52" i="1"/>
  <c r="CF52" i="1"/>
  <c r="CI52" i="1"/>
  <c r="CL52" i="1"/>
  <c r="CR52" i="1"/>
  <c r="CU52" i="1"/>
  <c r="CX52" i="1"/>
  <c r="BI53" i="1"/>
  <c r="BQ53" i="1"/>
  <c r="BT53" i="1"/>
  <c r="BW53" i="1"/>
  <c r="BZ53" i="1"/>
  <c r="CF53" i="1"/>
  <c r="CI53" i="1"/>
  <c r="CL53" i="1"/>
  <c r="CO53" i="1"/>
  <c r="CR53" i="1"/>
  <c r="CU53" i="1"/>
  <c r="CX53" i="1"/>
  <c r="BI54" i="1"/>
  <c r="BW54" i="1"/>
  <c r="CR54" i="1"/>
  <c r="BI55" i="1"/>
  <c r="BI56" i="1"/>
  <c r="CC56" i="1"/>
  <c r="BI57" i="1"/>
  <c r="CF57" i="1"/>
  <c r="BI58" i="1"/>
  <c r="CC58" i="1"/>
  <c r="BI59" i="1"/>
  <c r="BQ59" i="1"/>
  <c r="BI60" i="1"/>
  <c r="BQ60" i="1"/>
  <c r="BI61" i="1"/>
  <c r="CI61" i="1"/>
  <c r="BI62" i="1"/>
  <c r="CF62" i="1"/>
  <c r="BT62" i="1"/>
  <c r="BW62" i="1"/>
  <c r="CC62" i="1"/>
  <c r="CL62" i="1"/>
  <c r="CR62" i="1"/>
  <c r="CU62" i="1"/>
  <c r="BI63" i="1"/>
  <c r="BT63" i="1"/>
  <c r="BI64" i="1"/>
  <c r="CO64" i="1"/>
  <c r="BI65" i="1"/>
  <c r="BQ65" i="1"/>
  <c r="BW65" i="1"/>
  <c r="BZ65" i="1"/>
  <c r="CI65" i="1"/>
  <c r="CL65" i="1"/>
  <c r="CU65" i="1"/>
  <c r="CX65" i="1"/>
  <c r="BI66" i="1"/>
  <c r="BT66" i="1"/>
  <c r="CL66" i="1"/>
  <c r="CX66" i="1"/>
  <c r="BI67" i="1"/>
  <c r="BT67" i="1"/>
  <c r="CR67" i="1"/>
  <c r="BI68" i="1"/>
  <c r="BI69" i="1"/>
  <c r="BW69" i="1"/>
  <c r="BI70" i="1"/>
  <c r="BQ70" i="1"/>
  <c r="BI71" i="1"/>
  <c r="BW71" i="1"/>
  <c r="BI72" i="1"/>
  <c r="BQ72" i="1"/>
  <c r="BI73" i="1"/>
  <c r="BI74" i="1"/>
  <c r="BQ74" i="1"/>
  <c r="BI75" i="1"/>
  <c r="BW75" i="1"/>
  <c r="BI76" i="1"/>
  <c r="BQ76" i="1"/>
  <c r="CF76" i="1"/>
  <c r="CI76" i="1"/>
  <c r="CR76" i="1"/>
  <c r="CU76" i="1"/>
  <c r="CX76" i="1"/>
  <c r="BI77" i="1"/>
  <c r="BQ77" i="1"/>
  <c r="BT77" i="1"/>
  <c r="CL77" i="1"/>
  <c r="CO77" i="1"/>
  <c r="CR77" i="1"/>
  <c r="CU77" i="1"/>
  <c r="CX77" i="1"/>
  <c r="BI78" i="1"/>
  <c r="BZ78" i="1"/>
  <c r="CI78" i="1"/>
  <c r="CL78" i="1"/>
  <c r="CU78" i="1"/>
  <c r="BI79" i="1"/>
  <c r="BQ79" i="1"/>
  <c r="BZ79" i="1"/>
  <c r="CC79" i="1"/>
  <c r="CL79" i="1"/>
  <c r="CX79" i="1"/>
  <c r="BL4" i="1"/>
  <c r="BI80" i="1"/>
  <c r="BZ80" i="1"/>
  <c r="CL80" i="1"/>
  <c r="BI81" i="1"/>
  <c r="BQ81" i="1"/>
  <c r="BT81" i="1"/>
  <c r="BW81" i="1"/>
  <c r="CF81" i="1"/>
  <c r="CR81" i="1"/>
  <c r="CU81" i="1"/>
  <c r="BI82" i="1"/>
  <c r="BQ82" i="1"/>
  <c r="BT82" i="1"/>
  <c r="BW82" i="1"/>
  <c r="CC82" i="1"/>
  <c r="CI82" i="1"/>
  <c r="CL82" i="1"/>
  <c r="CO82" i="1"/>
  <c r="CU82" i="1"/>
  <c r="CX82" i="1"/>
  <c r="BI83" i="1"/>
  <c r="BT83" i="1"/>
  <c r="BW83" i="1"/>
  <c r="CI83" i="1"/>
  <c r="CL83" i="1"/>
  <c r="CO83" i="1"/>
  <c r="CU83" i="1"/>
  <c r="BI84" i="1"/>
  <c r="CF84" i="1"/>
  <c r="CR84" i="1"/>
  <c r="BI85" i="1"/>
  <c r="BI86" i="1"/>
  <c r="BT86" i="1"/>
  <c r="CC86" i="1"/>
  <c r="CF86" i="1"/>
  <c r="CI86" i="1"/>
  <c r="CR86" i="1"/>
  <c r="CU86" i="1"/>
  <c r="BI87" i="1"/>
  <c r="BZ87" i="1"/>
  <c r="BQ87" i="1"/>
  <c r="BT87" i="1"/>
  <c r="BW87" i="1"/>
  <c r="CC87" i="1"/>
  <c r="CF87" i="1"/>
  <c r="CI87" i="1"/>
  <c r="CL87" i="1"/>
  <c r="CO87" i="1"/>
  <c r="CR87" i="1"/>
  <c r="CU87" i="1"/>
  <c r="CX87" i="1"/>
  <c r="BI88" i="1"/>
  <c r="BQ88" i="1"/>
  <c r="CC88" i="1"/>
  <c r="CF88" i="1"/>
  <c r="CO88" i="1"/>
  <c r="BI89" i="1"/>
  <c r="BT89" i="1"/>
  <c r="BW89" i="1"/>
  <c r="CF89" i="1"/>
  <c r="CR89" i="1"/>
  <c r="CU89" i="1"/>
  <c r="BI90" i="1"/>
  <c r="BZ90" i="1"/>
  <c r="BQ90" i="1"/>
  <c r="BT90" i="1"/>
  <c r="BW90" i="1"/>
  <c r="CC90" i="1"/>
  <c r="CF90" i="1"/>
  <c r="CI90" i="1"/>
  <c r="CL90" i="1"/>
  <c r="CO90" i="1"/>
  <c r="CR90" i="1"/>
  <c r="CU90" i="1"/>
  <c r="CX90" i="1"/>
  <c r="BI91" i="1"/>
  <c r="BQ91" i="1"/>
  <c r="CR91" i="1"/>
  <c r="BI92" i="1"/>
  <c r="BQ92" i="1"/>
  <c r="CI92" i="1"/>
  <c r="CR92" i="1"/>
  <c r="BI93" i="1"/>
  <c r="BQ93" i="1"/>
  <c r="BT93" i="1"/>
  <c r="BW93" i="1"/>
  <c r="CC93" i="1"/>
  <c r="CF93" i="1"/>
  <c r="CI93" i="1"/>
  <c r="CL93" i="1"/>
  <c r="CR93" i="1"/>
  <c r="CU93" i="1"/>
  <c r="CX93" i="1"/>
  <c r="BI94" i="1"/>
  <c r="BQ94" i="1"/>
  <c r="BW94" i="1"/>
  <c r="BZ94" i="1"/>
  <c r="CC94" i="1"/>
  <c r="CI94" i="1"/>
  <c r="CL94" i="1"/>
  <c r="CO94" i="1"/>
  <c r="CU94" i="1"/>
  <c r="CX94" i="1"/>
  <c r="BI95" i="1"/>
  <c r="BW95" i="1"/>
  <c r="BI96" i="1"/>
  <c r="BQ96" i="1"/>
  <c r="BI97" i="1"/>
  <c r="BT97" i="1"/>
  <c r="BQ97" i="1"/>
  <c r="BW97" i="1"/>
  <c r="BZ97" i="1"/>
  <c r="CC97" i="1"/>
  <c r="CI97" i="1"/>
  <c r="CL97" i="1"/>
  <c r="CO97" i="1"/>
  <c r="CU97" i="1"/>
  <c r="CX97" i="1"/>
  <c r="BI98" i="1"/>
  <c r="BW98" i="1"/>
  <c r="BT98" i="1"/>
  <c r="CF98" i="1"/>
  <c r="CI98" i="1"/>
  <c r="CL98" i="1"/>
  <c r="CR98" i="1"/>
  <c r="BI99" i="1"/>
  <c r="BT99" i="1"/>
  <c r="BW99" i="1"/>
  <c r="BZ99" i="1"/>
  <c r="CC99" i="1"/>
  <c r="CF99" i="1"/>
  <c r="CI99" i="1"/>
  <c r="CL99" i="1"/>
  <c r="CO99" i="1"/>
  <c r="CR99" i="1"/>
  <c r="CU99" i="1"/>
  <c r="CX99" i="1"/>
  <c r="BI100" i="1"/>
  <c r="BW100" i="1"/>
  <c r="BT100" i="1"/>
  <c r="CF100" i="1"/>
  <c r="CI100" i="1"/>
  <c r="CL100" i="1"/>
  <c r="CR100" i="1"/>
  <c r="BI101" i="1"/>
  <c r="BQ101" i="1"/>
  <c r="BT101" i="1"/>
  <c r="BW101" i="1"/>
  <c r="BZ101" i="1"/>
  <c r="CC101" i="1"/>
  <c r="CF101" i="1"/>
  <c r="CI101" i="1"/>
  <c r="CL101" i="1"/>
  <c r="CO101" i="1"/>
  <c r="CR101" i="1"/>
  <c r="CU101" i="1"/>
  <c r="CX101" i="1"/>
  <c r="BI102" i="1"/>
  <c r="BT102" i="1"/>
  <c r="CF102" i="1"/>
  <c r="CI102" i="1"/>
  <c r="CR102" i="1"/>
  <c r="BI103" i="1"/>
  <c r="BT103" i="1"/>
  <c r="BW103" i="1"/>
  <c r="BZ103" i="1"/>
  <c r="CC103" i="1"/>
  <c r="CI103" i="1"/>
  <c r="CL103" i="1"/>
  <c r="CO103" i="1"/>
  <c r="CR103" i="1"/>
  <c r="CU103" i="1"/>
  <c r="CX103" i="1"/>
  <c r="BI104" i="1"/>
  <c r="BW104" i="1"/>
  <c r="BT104" i="1"/>
  <c r="CF104" i="1"/>
  <c r="CI104" i="1"/>
  <c r="CL104" i="1"/>
  <c r="CR104" i="1"/>
  <c r="BI105" i="1"/>
  <c r="BZ105" i="1"/>
  <c r="BQ105" i="1"/>
  <c r="BT105" i="1"/>
  <c r="BW105" i="1"/>
  <c r="CC105" i="1"/>
  <c r="CF105" i="1"/>
  <c r="CI105" i="1"/>
  <c r="CL105" i="1"/>
  <c r="CO105" i="1"/>
  <c r="CR105" i="1"/>
  <c r="CU105" i="1"/>
  <c r="CX105" i="1"/>
  <c r="BI106" i="1"/>
  <c r="CF106" i="1"/>
  <c r="BI107" i="1"/>
  <c r="BT107" i="1"/>
  <c r="BW107" i="1"/>
  <c r="BZ107" i="1"/>
  <c r="CC107" i="1"/>
  <c r="CI107" i="1"/>
  <c r="CL107" i="1"/>
  <c r="CO107" i="1"/>
  <c r="CR107" i="1"/>
  <c r="CU107" i="1"/>
  <c r="CX107" i="1"/>
  <c r="BI108" i="1"/>
  <c r="BW108" i="1"/>
  <c r="BT108" i="1"/>
  <c r="CF108" i="1"/>
  <c r="CI108" i="1"/>
  <c r="CL108" i="1"/>
  <c r="CR108" i="1"/>
  <c r="BI109" i="1"/>
  <c r="BQ109" i="1"/>
  <c r="BT109" i="1"/>
  <c r="BW109" i="1"/>
  <c r="BZ109" i="1"/>
  <c r="CF109" i="1"/>
  <c r="CI109" i="1"/>
  <c r="CL109" i="1"/>
  <c r="CO109" i="1"/>
  <c r="CR109" i="1"/>
  <c r="CU109" i="1"/>
  <c r="CX109" i="1"/>
  <c r="BI110" i="1"/>
  <c r="BQ110" i="1"/>
  <c r="BT110" i="1"/>
  <c r="BW110" i="1"/>
  <c r="BZ110" i="1"/>
  <c r="CC110" i="1"/>
  <c r="CF110" i="1"/>
  <c r="CI110" i="1"/>
  <c r="CL110" i="1"/>
  <c r="CO110" i="1"/>
  <c r="CR110" i="1"/>
  <c r="CU110" i="1"/>
  <c r="CX110" i="1"/>
  <c r="BM4" i="1"/>
  <c r="BI111" i="1"/>
  <c r="BI112" i="1"/>
  <c r="BQ112" i="1"/>
  <c r="BW112" i="1"/>
  <c r="BZ112" i="1"/>
  <c r="CC112" i="1"/>
  <c r="CI112" i="1"/>
  <c r="CO112" i="1"/>
  <c r="CU112" i="1"/>
  <c r="CX112" i="1"/>
  <c r="BI113" i="1"/>
  <c r="CO113" i="1"/>
  <c r="BZ113" i="1"/>
  <c r="CF113" i="1"/>
  <c r="CL113" i="1"/>
  <c r="CR113" i="1"/>
  <c r="BI114" i="1"/>
  <c r="BT114" i="1"/>
  <c r="BQ114" i="1"/>
  <c r="BZ114" i="1"/>
  <c r="CC114" i="1"/>
  <c r="CF114" i="1"/>
  <c r="CL114" i="1"/>
  <c r="CO114" i="1"/>
  <c r="CR114" i="1"/>
  <c r="CX114" i="1"/>
  <c r="BI115" i="1"/>
  <c r="CC115" i="1"/>
  <c r="BQ115" i="1"/>
  <c r="BW115" i="1"/>
  <c r="BZ115" i="1"/>
  <c r="CI115" i="1"/>
  <c r="CU115" i="1"/>
  <c r="CX115" i="1"/>
  <c r="BI116" i="1"/>
  <c r="BI117" i="1"/>
  <c r="CR117" i="1"/>
  <c r="BI118" i="1"/>
  <c r="BQ118" i="1"/>
  <c r="BZ118" i="1"/>
  <c r="CC118" i="1"/>
  <c r="CF118" i="1"/>
  <c r="CL118" i="1"/>
  <c r="CX118" i="1"/>
  <c r="BI119" i="1"/>
  <c r="CL119" i="1"/>
  <c r="BI120" i="1"/>
  <c r="BT120" i="1"/>
  <c r="BW120" i="1"/>
  <c r="CC120" i="1"/>
  <c r="CF120" i="1"/>
  <c r="CI120" i="1"/>
  <c r="CO120" i="1"/>
  <c r="CR120" i="1"/>
  <c r="CU120" i="1"/>
  <c r="CX120" i="1"/>
  <c r="BI121" i="1"/>
  <c r="BZ121" i="1"/>
  <c r="BQ121" i="1"/>
  <c r="CL121" i="1"/>
  <c r="CO121" i="1"/>
  <c r="BI122" i="1"/>
  <c r="BT122" i="1"/>
  <c r="CF122" i="1"/>
  <c r="CL122" i="1"/>
  <c r="CO122" i="1"/>
  <c r="CR122" i="1"/>
  <c r="CX122" i="1"/>
  <c r="BI123" i="1"/>
  <c r="BQ123" i="1"/>
  <c r="BZ123" i="1"/>
  <c r="CC123" i="1"/>
  <c r="CF123" i="1"/>
  <c r="CL123" i="1"/>
  <c r="CO123" i="1"/>
  <c r="CU123" i="1"/>
  <c r="CX123" i="1"/>
  <c r="BI124" i="1"/>
  <c r="CO124" i="1"/>
  <c r="BI125" i="1"/>
  <c r="BQ125" i="1"/>
  <c r="BW125" i="1"/>
  <c r="BZ125" i="1"/>
  <c r="CC125" i="1"/>
  <c r="CI125" i="1"/>
  <c r="CL125" i="1"/>
  <c r="CU125" i="1"/>
  <c r="CX125" i="1"/>
  <c r="BI126" i="1"/>
  <c r="BQ126" i="1"/>
  <c r="CI126" i="1"/>
  <c r="CL126" i="1"/>
  <c r="CO126" i="1"/>
  <c r="BI127" i="1"/>
  <c r="BT127" i="1"/>
  <c r="BW127" i="1"/>
  <c r="BZ127" i="1"/>
  <c r="CC127" i="1"/>
  <c r="CF127" i="1"/>
  <c r="CL127" i="1"/>
  <c r="CO127" i="1"/>
  <c r="CR127" i="1"/>
  <c r="CU127" i="1"/>
  <c r="CX127" i="1"/>
  <c r="BI128" i="1"/>
  <c r="CL128" i="1"/>
  <c r="BI129" i="1"/>
  <c r="CC129" i="1"/>
  <c r="BQ129" i="1"/>
  <c r="BT129" i="1"/>
  <c r="BW129" i="1"/>
  <c r="BZ129" i="1"/>
  <c r="CF129" i="1"/>
  <c r="CI129" i="1"/>
  <c r="CL129" i="1"/>
  <c r="CO129" i="1"/>
  <c r="CR129" i="1"/>
  <c r="CU129" i="1"/>
  <c r="CX129" i="1"/>
  <c r="BI130" i="1"/>
  <c r="BQ130" i="1"/>
  <c r="BT130" i="1"/>
  <c r="BW130" i="1"/>
  <c r="BZ130" i="1"/>
  <c r="CC130" i="1"/>
  <c r="CF130" i="1"/>
  <c r="CI130" i="1"/>
  <c r="CL130" i="1"/>
  <c r="CO130" i="1"/>
  <c r="CR130" i="1"/>
  <c r="CU130" i="1"/>
  <c r="CX130" i="1"/>
  <c r="BI131" i="1"/>
  <c r="BT131" i="1"/>
  <c r="BW131" i="1"/>
  <c r="BZ131" i="1"/>
  <c r="CC131" i="1"/>
  <c r="CI131" i="1"/>
  <c r="CL131" i="1"/>
  <c r="CR131" i="1"/>
  <c r="CU131" i="1"/>
  <c r="CX131" i="1"/>
  <c r="BI132" i="1"/>
  <c r="BT132" i="1"/>
  <c r="CF132" i="1"/>
  <c r="CI132" i="1"/>
  <c r="CL132" i="1"/>
  <c r="BI133" i="1"/>
  <c r="BQ133" i="1"/>
  <c r="BT133" i="1"/>
  <c r="BW133" i="1"/>
  <c r="BZ133" i="1"/>
  <c r="CF133" i="1"/>
  <c r="CO133" i="1"/>
  <c r="CR133" i="1"/>
  <c r="CU133" i="1"/>
  <c r="CX133" i="1"/>
  <c r="BI134" i="1"/>
  <c r="BT134" i="1"/>
  <c r="BW134" i="1"/>
  <c r="BZ134" i="1"/>
  <c r="CF134" i="1"/>
  <c r="CI134" i="1"/>
  <c r="CL134" i="1"/>
  <c r="CO134" i="1"/>
  <c r="CR134" i="1"/>
  <c r="CU134" i="1"/>
  <c r="CX134" i="1"/>
  <c r="BI135" i="1"/>
  <c r="BQ135" i="1"/>
  <c r="BT135" i="1"/>
  <c r="BW135" i="1"/>
  <c r="BZ135" i="1"/>
  <c r="CC135" i="1"/>
  <c r="CF135" i="1"/>
  <c r="CI135" i="1"/>
  <c r="CL135" i="1"/>
  <c r="CO135" i="1"/>
  <c r="CR135" i="1"/>
  <c r="CU135" i="1"/>
  <c r="CX135" i="1"/>
  <c r="BI136" i="1"/>
  <c r="BQ136" i="1"/>
  <c r="BW136" i="1"/>
  <c r="BZ136" i="1"/>
  <c r="CF136" i="1"/>
  <c r="CI136" i="1"/>
  <c r="CL136" i="1"/>
  <c r="CO136" i="1"/>
  <c r="CR136" i="1"/>
  <c r="CU136" i="1"/>
  <c r="CX136" i="1"/>
  <c r="BI137" i="1"/>
  <c r="BT137" i="1"/>
  <c r="BW137" i="1"/>
  <c r="BZ137" i="1"/>
  <c r="CC137" i="1"/>
  <c r="CF137" i="1"/>
  <c r="CI137" i="1"/>
  <c r="CL137" i="1"/>
  <c r="CO137" i="1"/>
  <c r="CR137" i="1"/>
  <c r="CU137" i="1"/>
  <c r="CX137" i="1"/>
  <c r="BI138" i="1"/>
  <c r="CL138" i="1"/>
  <c r="BI139" i="1"/>
  <c r="BQ139" i="1"/>
  <c r="BT139" i="1"/>
  <c r="BW139" i="1"/>
  <c r="BZ139" i="1"/>
  <c r="CC139" i="1"/>
  <c r="CF139" i="1"/>
  <c r="CI139" i="1"/>
  <c r="CL139" i="1"/>
  <c r="CO139" i="1"/>
  <c r="CR139" i="1"/>
  <c r="CU139" i="1"/>
  <c r="CX139" i="1"/>
  <c r="BI140" i="1"/>
  <c r="BQ140" i="1"/>
  <c r="BT140" i="1"/>
  <c r="BW140" i="1"/>
  <c r="CC140" i="1"/>
  <c r="CF140" i="1"/>
  <c r="CI140" i="1"/>
  <c r="CL140" i="1"/>
  <c r="CO140" i="1"/>
  <c r="CR140" i="1"/>
  <c r="CU140" i="1"/>
  <c r="CX140" i="1"/>
  <c r="BI141" i="1"/>
  <c r="BQ141" i="1"/>
  <c r="BT141" i="1"/>
  <c r="BW141" i="1"/>
  <c r="BZ141" i="1"/>
  <c r="CF141" i="1"/>
  <c r="CO141" i="1"/>
  <c r="CR141" i="1"/>
  <c r="CU141" i="1"/>
  <c r="CX141" i="1"/>
  <c r="BI142" i="1"/>
  <c r="BQ142" i="1"/>
  <c r="BW142" i="1"/>
  <c r="BZ142" i="1"/>
  <c r="CF142" i="1"/>
  <c r="CI142" i="1"/>
  <c r="CL142" i="1"/>
  <c r="CO142" i="1"/>
  <c r="CR142" i="1"/>
  <c r="CU142" i="1"/>
  <c r="CX142" i="1"/>
  <c r="BI143" i="1"/>
  <c r="BT143" i="1"/>
  <c r="BW143" i="1"/>
  <c r="BZ143" i="1"/>
  <c r="CC143" i="1"/>
  <c r="CF143" i="1"/>
  <c r="CI143" i="1"/>
  <c r="CL143" i="1"/>
  <c r="CO143" i="1"/>
  <c r="CR143" i="1"/>
  <c r="CU143" i="1"/>
  <c r="CX143" i="1"/>
  <c r="BI144" i="1"/>
  <c r="CL144" i="1"/>
  <c r="BI145" i="1"/>
  <c r="BQ145" i="1"/>
  <c r="BT145" i="1"/>
  <c r="BW145" i="1"/>
  <c r="BZ145" i="1"/>
  <c r="CC145" i="1"/>
  <c r="CI145" i="1"/>
  <c r="CL145" i="1"/>
  <c r="CO145" i="1"/>
  <c r="CR145" i="1"/>
  <c r="CU145" i="1"/>
  <c r="CX145" i="1"/>
  <c r="BI146" i="1"/>
  <c r="BQ146" i="1"/>
  <c r="CL146" i="1"/>
  <c r="CO146" i="1"/>
  <c r="CR146" i="1"/>
  <c r="BI147" i="1"/>
  <c r="BT147" i="1"/>
  <c r="BZ147" i="1"/>
  <c r="CC147" i="1"/>
  <c r="CF147" i="1"/>
  <c r="CI147" i="1"/>
  <c r="CO147" i="1"/>
  <c r="CR147" i="1"/>
  <c r="CX147" i="1"/>
  <c r="BI148" i="1"/>
  <c r="BZ148" i="1"/>
  <c r="BQ148" i="1"/>
  <c r="CL148" i="1"/>
  <c r="CO148" i="1"/>
  <c r="BI149" i="1"/>
  <c r="BQ149" i="1"/>
  <c r="BT149" i="1"/>
  <c r="BW149" i="1"/>
  <c r="BZ149" i="1"/>
  <c r="CC149" i="1"/>
  <c r="CI149" i="1"/>
  <c r="CL149" i="1"/>
  <c r="CR149" i="1"/>
  <c r="CU149" i="1"/>
  <c r="CX149" i="1"/>
  <c r="BI150" i="1"/>
  <c r="BQ150" i="1"/>
  <c r="CL150" i="1"/>
  <c r="CO150" i="1"/>
  <c r="CR150" i="1"/>
  <c r="BI151" i="1"/>
  <c r="BQ151" i="1"/>
  <c r="BW151" i="1"/>
  <c r="BZ151" i="1"/>
  <c r="CC151" i="1"/>
  <c r="CF151" i="1"/>
  <c r="CL151" i="1"/>
  <c r="CO151" i="1"/>
  <c r="CU151" i="1"/>
  <c r="CX151" i="1"/>
  <c r="BI152" i="1"/>
  <c r="CL152" i="1"/>
  <c r="CO152" i="1"/>
  <c r="BI153" i="1"/>
  <c r="BT153" i="1"/>
  <c r="CC153" i="1"/>
  <c r="CF153" i="1"/>
  <c r="CI153" i="1"/>
  <c r="CO153" i="1"/>
  <c r="CR153" i="1"/>
  <c r="CX153" i="1"/>
  <c r="BI154" i="1"/>
  <c r="BQ154" i="1"/>
  <c r="BI155" i="1"/>
  <c r="BQ155" i="1"/>
  <c r="BZ155" i="1"/>
  <c r="CC155" i="1"/>
  <c r="CF155" i="1"/>
  <c r="CL155" i="1"/>
  <c r="CX155" i="1"/>
  <c r="BI156" i="1"/>
  <c r="CL156" i="1"/>
  <c r="CO156" i="1"/>
  <c r="BI157" i="1"/>
  <c r="BT157" i="1"/>
  <c r="CC157" i="1"/>
  <c r="CF157" i="1"/>
  <c r="CI157" i="1"/>
  <c r="CO157" i="1"/>
  <c r="CR157" i="1"/>
  <c r="BI158" i="1"/>
  <c r="CR158" i="1"/>
  <c r="BT158" i="1"/>
  <c r="BW158" i="1"/>
  <c r="CO158" i="1"/>
  <c r="CU158" i="1"/>
  <c r="BI159" i="1"/>
  <c r="BQ159" i="1"/>
  <c r="BZ159" i="1"/>
  <c r="CC159" i="1"/>
  <c r="CF159" i="1"/>
  <c r="CL159" i="1"/>
  <c r="CX159" i="1"/>
  <c r="BI160" i="1"/>
  <c r="BT160" i="1"/>
  <c r="BI161" i="1"/>
  <c r="BW161" i="1"/>
  <c r="BI162" i="1"/>
  <c r="BW162" i="1"/>
  <c r="CR162" i="1"/>
  <c r="CU162" i="1"/>
  <c r="BI163" i="1"/>
  <c r="BQ163" i="1"/>
  <c r="BT163" i="1"/>
  <c r="BZ163" i="1"/>
  <c r="CF163" i="1"/>
  <c r="CI163" i="1"/>
  <c r="CL163" i="1"/>
  <c r="CO163" i="1"/>
  <c r="CR163" i="1"/>
  <c r="CU163" i="1"/>
  <c r="CX163" i="1"/>
  <c r="BI164" i="1"/>
  <c r="BQ164" i="1"/>
  <c r="BT164" i="1"/>
  <c r="BW164" i="1"/>
  <c r="CC164" i="1"/>
  <c r="CL164" i="1"/>
  <c r="CO164" i="1"/>
  <c r="CX164" i="1"/>
  <c r="BI165" i="1"/>
  <c r="BW165" i="1"/>
  <c r="BI166" i="1"/>
  <c r="BT166" i="1"/>
  <c r="BW166" i="1"/>
  <c r="CO166" i="1"/>
  <c r="CR166" i="1"/>
  <c r="CU166" i="1"/>
  <c r="BI167" i="1"/>
  <c r="BQ167" i="1"/>
  <c r="BZ167" i="1"/>
  <c r="CC167" i="1"/>
  <c r="CF167" i="1"/>
  <c r="CL167" i="1"/>
  <c r="CX167" i="1"/>
  <c r="BI168" i="1"/>
  <c r="BI169" i="1"/>
  <c r="BW169" i="1"/>
  <c r="BI170" i="1"/>
  <c r="CU170" i="1"/>
  <c r="BT170" i="1"/>
  <c r="BW170" i="1"/>
  <c r="CC170" i="1"/>
  <c r="CO170" i="1"/>
  <c r="CR170" i="1"/>
  <c r="BI171" i="1"/>
  <c r="CC171" i="1"/>
  <c r="BI172" i="1"/>
  <c r="BW172" i="1"/>
  <c r="CX172" i="1"/>
  <c r="BI173" i="1"/>
  <c r="BQ173" i="1"/>
  <c r="BT173" i="1"/>
  <c r="BW173" i="1"/>
  <c r="BZ173" i="1"/>
  <c r="CC173" i="1"/>
  <c r="CF173" i="1"/>
  <c r="CI173" i="1"/>
  <c r="CL173" i="1"/>
  <c r="CO173" i="1"/>
  <c r="CR173" i="1"/>
  <c r="CU173" i="1"/>
  <c r="CX173" i="1"/>
  <c r="BI174" i="1"/>
  <c r="CI174" i="1"/>
  <c r="BQ174" i="1"/>
  <c r="BT174" i="1"/>
  <c r="BW174" i="1"/>
  <c r="CC174" i="1"/>
  <c r="CF174" i="1"/>
  <c r="CL174" i="1"/>
  <c r="CO174" i="1"/>
  <c r="CR174" i="1"/>
  <c r="CU174" i="1"/>
  <c r="BI175" i="1"/>
  <c r="CC175" i="1"/>
  <c r="BT175" i="1"/>
  <c r="BZ175" i="1"/>
  <c r="CI175" i="1"/>
  <c r="CR175" i="1"/>
  <c r="CX175" i="1"/>
  <c r="BI176" i="1"/>
  <c r="BZ176" i="1"/>
  <c r="BW176" i="1"/>
  <c r="BI177" i="1"/>
  <c r="BQ177" i="1"/>
  <c r="BT177" i="1"/>
  <c r="BZ177" i="1"/>
  <c r="CL177" i="1"/>
  <c r="CR177" i="1"/>
  <c r="BI178" i="1"/>
  <c r="BW178" i="1"/>
  <c r="BT178" i="1"/>
  <c r="CU178" i="1"/>
  <c r="CX178" i="1"/>
  <c r="BI179" i="1"/>
  <c r="BT179" i="1"/>
  <c r="BW179" i="1"/>
  <c r="CF179" i="1"/>
  <c r="CI179" i="1"/>
  <c r="CL179" i="1"/>
  <c r="CR179" i="1"/>
  <c r="CU179" i="1"/>
  <c r="BI180" i="1"/>
  <c r="BQ180" i="1"/>
  <c r="BT180" i="1"/>
  <c r="BW180" i="1"/>
  <c r="CC180" i="1"/>
  <c r="CF180" i="1"/>
  <c r="CL180" i="1"/>
  <c r="CO180" i="1"/>
  <c r="CR180" i="1"/>
  <c r="CU180" i="1"/>
  <c r="BI181" i="1"/>
  <c r="CO181" i="1"/>
  <c r="BT181" i="1"/>
  <c r="BZ181" i="1"/>
  <c r="CC181" i="1"/>
  <c r="CF181" i="1"/>
  <c r="CI181" i="1"/>
  <c r="CR181" i="1"/>
  <c r="CX181" i="1"/>
  <c r="BI182" i="1"/>
  <c r="BT182" i="1"/>
  <c r="BW182" i="1"/>
  <c r="CC182" i="1"/>
  <c r="CO182" i="1"/>
  <c r="CU182" i="1"/>
  <c r="BI183" i="1"/>
  <c r="CL183" i="1"/>
  <c r="BT183" i="1"/>
  <c r="CF183" i="1"/>
  <c r="CI183" i="1"/>
  <c r="CO183" i="1"/>
  <c r="CX183" i="1"/>
  <c r="BI184" i="1"/>
  <c r="BZ184" i="1"/>
  <c r="BW184" i="1"/>
  <c r="CI184" i="1"/>
  <c r="CL184" i="1"/>
  <c r="CO184" i="1"/>
  <c r="CU184" i="1"/>
  <c r="CX184" i="1"/>
  <c r="BI185" i="1"/>
  <c r="BT185" i="1"/>
  <c r="BQ185" i="1"/>
  <c r="BW185" i="1"/>
  <c r="BZ185" i="1"/>
  <c r="CC185" i="1"/>
  <c r="CI185" i="1"/>
  <c r="CL185" i="1"/>
  <c r="CO185" i="1"/>
  <c r="CR185" i="1"/>
  <c r="CU185" i="1"/>
  <c r="CX185" i="1"/>
  <c r="BI186" i="1"/>
  <c r="CU186" i="1"/>
  <c r="BI187" i="1"/>
  <c r="BQ187" i="1"/>
  <c r="BT187" i="1"/>
  <c r="CL187" i="1"/>
  <c r="CO187" i="1"/>
  <c r="CR187" i="1"/>
  <c r="BI188" i="1"/>
  <c r="BQ188" i="1"/>
  <c r="CF188" i="1"/>
  <c r="CI188" i="1"/>
  <c r="CX188" i="1"/>
  <c r="BI189" i="1"/>
  <c r="BW189" i="1"/>
  <c r="BT189" i="1"/>
  <c r="CC189" i="1"/>
  <c r="CF189" i="1"/>
  <c r="CL189" i="1"/>
  <c r="CR189" i="1"/>
  <c r="CU189" i="1"/>
  <c r="BI190" i="1"/>
  <c r="BT190" i="1"/>
  <c r="CO190" i="1"/>
  <c r="BI191" i="1"/>
  <c r="BI192" i="1"/>
  <c r="BW192" i="1"/>
  <c r="BI193" i="1"/>
  <c r="CI193" i="1"/>
  <c r="BW193" i="1"/>
  <c r="BZ193" i="1"/>
  <c r="CF193" i="1"/>
  <c r="CO193" i="1"/>
  <c r="CR193" i="1"/>
  <c r="CU193" i="1"/>
  <c r="CX193" i="1"/>
  <c r="BI194" i="1"/>
  <c r="BQ194" i="1"/>
  <c r="BT194" i="1"/>
  <c r="BZ194" i="1"/>
  <c r="CC194" i="1"/>
  <c r="CI194" i="1"/>
  <c r="CL194" i="1"/>
  <c r="CO194" i="1"/>
  <c r="CR194" i="1"/>
  <c r="CU194" i="1"/>
  <c r="CX194" i="1"/>
  <c r="BI195" i="1"/>
  <c r="BQ195" i="1"/>
  <c r="BT195" i="1"/>
  <c r="BW195" i="1"/>
  <c r="CC195" i="1"/>
  <c r="CF195" i="1"/>
  <c r="CL195" i="1"/>
  <c r="CO195" i="1"/>
  <c r="CR195" i="1"/>
  <c r="CX195" i="1"/>
  <c r="BI196" i="1"/>
  <c r="BQ196" i="1"/>
  <c r="CC196" i="1"/>
  <c r="CI196" i="1"/>
  <c r="CU196" i="1"/>
  <c r="BI197" i="1"/>
  <c r="BZ197" i="1"/>
  <c r="BW197" i="1"/>
  <c r="CF197" i="1"/>
  <c r="CL197" i="1"/>
  <c r="CX197" i="1"/>
  <c r="BI198" i="1"/>
  <c r="BT198" i="1"/>
  <c r="BQ198" i="1"/>
  <c r="BW198" i="1"/>
  <c r="BZ198" i="1"/>
  <c r="CC198" i="1"/>
  <c r="CI198" i="1"/>
  <c r="CL198" i="1"/>
  <c r="CO198" i="1"/>
  <c r="CU198" i="1"/>
  <c r="CX198" i="1"/>
  <c r="BI199" i="1"/>
  <c r="BW199" i="1"/>
  <c r="BT199" i="1"/>
  <c r="BZ199" i="1"/>
  <c r="CF199" i="1"/>
  <c r="CI199" i="1"/>
  <c r="CL199" i="1"/>
  <c r="CR199" i="1"/>
  <c r="CX199" i="1"/>
  <c r="BI200" i="1"/>
  <c r="BZ200" i="1"/>
  <c r="BQ200" i="1"/>
  <c r="BT200" i="1"/>
  <c r="BW200" i="1"/>
  <c r="CC200" i="1"/>
  <c r="CF200" i="1"/>
  <c r="CI200" i="1"/>
  <c r="CL200" i="1"/>
  <c r="CO200" i="1"/>
  <c r="CR200" i="1"/>
  <c r="CU200" i="1"/>
  <c r="CX200" i="1"/>
  <c r="BI201" i="1"/>
  <c r="BQ201" i="1"/>
  <c r="BZ201" i="1"/>
  <c r="CC201" i="1"/>
  <c r="CL201" i="1"/>
  <c r="CX201" i="1"/>
  <c r="BI202" i="1"/>
  <c r="BT202" i="1"/>
  <c r="BW202" i="1"/>
  <c r="CX202" i="1"/>
  <c r="BI203" i="1"/>
  <c r="CO203" i="1"/>
  <c r="BI204" i="1"/>
  <c r="BZ204" i="1"/>
  <c r="BW204" i="1"/>
  <c r="CL204" i="1"/>
  <c r="CR204" i="1"/>
  <c r="CX204" i="1"/>
  <c r="BI205" i="1"/>
  <c r="BT205" i="1"/>
  <c r="BQ205" i="1"/>
  <c r="BW205" i="1"/>
  <c r="CF205" i="1"/>
  <c r="CL205" i="1"/>
  <c r="CR205" i="1"/>
  <c r="CX205" i="1"/>
  <c r="BI206" i="1"/>
  <c r="BQ206" i="1"/>
  <c r="BW206" i="1"/>
  <c r="CI206" i="1"/>
  <c r="CL206" i="1"/>
  <c r="CO206" i="1"/>
  <c r="CU206" i="1"/>
  <c r="BI207" i="1"/>
  <c r="BZ207" i="1"/>
  <c r="CF207" i="1"/>
  <c r="CL207" i="1"/>
  <c r="CR207" i="1"/>
  <c r="BI208" i="1"/>
  <c r="BQ208" i="1"/>
  <c r="CC208" i="1"/>
  <c r="CF208" i="1"/>
  <c r="CO208" i="1"/>
  <c r="BI209" i="1"/>
  <c r="BT209" i="1"/>
  <c r="BQ209" i="1"/>
  <c r="CL209" i="1"/>
  <c r="BI210" i="1"/>
  <c r="BQ210" i="1"/>
  <c r="BT210" i="1"/>
  <c r="BW210" i="1"/>
  <c r="BZ210" i="1"/>
  <c r="CC210" i="1"/>
  <c r="CF210" i="1"/>
  <c r="CI210" i="1"/>
  <c r="CL210" i="1"/>
  <c r="CO210" i="1"/>
  <c r="CR210" i="1"/>
  <c r="CU210" i="1"/>
  <c r="CX210" i="1"/>
  <c r="BI211" i="1"/>
  <c r="BZ211" i="1"/>
  <c r="BW211" i="1"/>
  <c r="CF211" i="1"/>
  <c r="CL211" i="1"/>
  <c r="CR211" i="1"/>
  <c r="CX211" i="1"/>
  <c r="BI212" i="1"/>
  <c r="CL212" i="1"/>
  <c r="BI213" i="1"/>
  <c r="BT213" i="1"/>
  <c r="BW213" i="1"/>
  <c r="CF213" i="1"/>
  <c r="CL213" i="1"/>
  <c r="CX213" i="1"/>
  <c r="BI214" i="1"/>
  <c r="BQ214" i="1"/>
  <c r="BT214" i="1"/>
  <c r="BZ214" i="1"/>
  <c r="CC214" i="1"/>
  <c r="CF214" i="1"/>
  <c r="CL214" i="1"/>
  <c r="CO214" i="1"/>
  <c r="CR214" i="1"/>
  <c r="CX214" i="1"/>
  <c r="BI215" i="1"/>
  <c r="BI216" i="1"/>
  <c r="BZ216" i="1"/>
  <c r="BQ216" i="1"/>
  <c r="BT216" i="1"/>
  <c r="BW216" i="1"/>
  <c r="CC216" i="1"/>
  <c r="CF216" i="1"/>
  <c r="CI216" i="1"/>
  <c r="CL216" i="1"/>
  <c r="CO216" i="1"/>
  <c r="CR216" i="1"/>
  <c r="CU216" i="1"/>
  <c r="CX216" i="1"/>
  <c r="BI217" i="1"/>
  <c r="BT217" i="1"/>
  <c r="CL217" i="1"/>
  <c r="CR217" i="1"/>
  <c r="BI218" i="1"/>
  <c r="BQ218" i="1"/>
  <c r="BT218" i="1"/>
  <c r="BW218" i="1"/>
  <c r="BZ218" i="1"/>
  <c r="CC218" i="1"/>
  <c r="CF218" i="1"/>
  <c r="CI218" i="1"/>
  <c r="CL218" i="1"/>
  <c r="CO218" i="1"/>
  <c r="CR218" i="1"/>
  <c r="CU218" i="1"/>
  <c r="CX218" i="1"/>
  <c r="BI219" i="1"/>
  <c r="BZ219" i="1"/>
  <c r="BW219" i="1"/>
  <c r="CF219" i="1"/>
  <c r="CL219" i="1"/>
  <c r="CR219" i="1"/>
  <c r="CX219" i="1"/>
  <c r="BI220" i="1"/>
  <c r="BQ220" i="1"/>
  <c r="BZ220" i="1"/>
  <c r="CC220" i="1"/>
  <c r="CF220" i="1"/>
  <c r="CL220" i="1"/>
  <c r="CO220" i="1"/>
  <c r="CR220" i="1"/>
  <c r="CX220" i="1"/>
  <c r="BI221" i="1"/>
  <c r="BI222" i="1"/>
  <c r="BQ222" i="1"/>
  <c r="BT222" i="1"/>
  <c r="CO222" i="1"/>
  <c r="CR222" i="1"/>
  <c r="BI223" i="1"/>
  <c r="BZ223" i="1"/>
  <c r="CR223" i="1"/>
  <c r="CX223" i="1"/>
  <c r="BI224" i="1"/>
  <c r="BQ224" i="1"/>
  <c r="BW224" i="1"/>
  <c r="CI224" i="1"/>
  <c r="CL224" i="1"/>
  <c r="CO224" i="1"/>
  <c r="CU224" i="1"/>
  <c r="CX224" i="1"/>
  <c r="BI225" i="1"/>
  <c r="BT225" i="1"/>
  <c r="BW225" i="1"/>
  <c r="CF225" i="1"/>
  <c r="CL225" i="1"/>
  <c r="CX225" i="1"/>
  <c r="BI226" i="1"/>
  <c r="BQ226" i="1"/>
  <c r="BZ226" i="1"/>
  <c r="CC226" i="1"/>
  <c r="CF226" i="1"/>
  <c r="CL226" i="1"/>
  <c r="CO226" i="1"/>
  <c r="CR226" i="1"/>
  <c r="CX226" i="1"/>
  <c r="BI227" i="1"/>
  <c r="BI228" i="1"/>
  <c r="BQ228" i="1"/>
  <c r="BT228" i="1"/>
  <c r="BW228" i="1"/>
  <c r="CC228" i="1"/>
  <c r="CO228" i="1"/>
  <c r="CX228" i="1"/>
  <c r="BI229" i="1"/>
  <c r="CL229" i="1"/>
  <c r="CX229" i="1"/>
  <c r="BI230" i="1"/>
  <c r="BI231" i="1"/>
  <c r="BQ231" i="1"/>
  <c r="BT231" i="1"/>
  <c r="CO231" i="1"/>
  <c r="CR231" i="1"/>
  <c r="BI232" i="1"/>
  <c r="BT232" i="1"/>
  <c r="CF232" i="1"/>
  <c r="CL232" i="1"/>
  <c r="BI233" i="1"/>
  <c r="BQ233" i="1"/>
  <c r="BI234" i="1"/>
  <c r="CL234" i="1"/>
  <c r="BW234" i="1"/>
  <c r="BI235" i="1"/>
  <c r="BW235" i="1"/>
  <c r="BQ235" i="1"/>
  <c r="BT235" i="1"/>
  <c r="BZ235" i="1"/>
  <c r="CF235" i="1"/>
  <c r="CI235" i="1"/>
  <c r="CL235" i="1"/>
  <c r="CO235" i="1"/>
  <c r="CR235" i="1"/>
  <c r="CU235" i="1"/>
  <c r="CX235" i="1"/>
  <c r="BI236" i="1"/>
  <c r="BW236" i="1"/>
  <c r="BT236" i="1"/>
  <c r="BZ236" i="1"/>
  <c r="CF236" i="1"/>
  <c r="CL236" i="1"/>
  <c r="CR236" i="1"/>
  <c r="CX236" i="1"/>
  <c r="BI237" i="1"/>
  <c r="BQ237" i="1"/>
  <c r="BW237" i="1"/>
  <c r="CC237" i="1"/>
  <c r="CL237" i="1"/>
  <c r="CX237" i="1"/>
  <c r="BI238" i="1"/>
  <c r="BW238" i="1"/>
  <c r="BI239" i="1"/>
  <c r="BZ239" i="1"/>
  <c r="BQ239" i="1"/>
  <c r="BT239" i="1"/>
  <c r="BW239" i="1"/>
  <c r="CC239" i="1"/>
  <c r="CF239" i="1"/>
  <c r="CI239" i="1"/>
  <c r="CL239" i="1"/>
  <c r="CO239" i="1"/>
  <c r="CR239" i="1"/>
  <c r="CU239" i="1"/>
  <c r="CX239" i="1"/>
  <c r="BI240" i="1"/>
  <c r="CI240" i="1"/>
  <c r="CF240" i="1"/>
  <c r="CL240" i="1"/>
  <c r="BI241" i="1"/>
  <c r="BQ241" i="1"/>
  <c r="CC241" i="1"/>
  <c r="CF241" i="1"/>
  <c r="CO241" i="1"/>
  <c r="BI242" i="1"/>
  <c r="BQ242" i="1"/>
  <c r="BT242" i="1"/>
  <c r="CC242" i="1"/>
  <c r="CO242" i="1"/>
  <c r="CR242" i="1"/>
  <c r="BI243" i="1"/>
  <c r="BT243" i="1"/>
  <c r="CL243" i="1"/>
  <c r="CR243" i="1"/>
  <c r="BI244" i="1"/>
  <c r="BQ244" i="1"/>
  <c r="BT244" i="1"/>
  <c r="BW244" i="1"/>
  <c r="BZ244" i="1"/>
  <c r="CC244" i="1"/>
  <c r="CF244" i="1"/>
  <c r="CI244" i="1"/>
  <c r="CL244" i="1"/>
  <c r="CO244" i="1"/>
  <c r="CR244" i="1"/>
  <c r="CU244" i="1"/>
  <c r="CX244" i="1"/>
  <c r="BI245" i="1"/>
  <c r="BQ245" i="1"/>
  <c r="BT245" i="1"/>
  <c r="CO245" i="1"/>
  <c r="CR245" i="1"/>
  <c r="BI246" i="1"/>
  <c r="BQ246" i="1"/>
  <c r="CC246" i="1"/>
  <c r="CF246" i="1"/>
  <c r="CO246" i="1"/>
  <c r="BI247" i="1"/>
  <c r="BZ247" i="1"/>
  <c r="BW247" i="1"/>
  <c r="BI248" i="1"/>
  <c r="BQ248" i="1"/>
  <c r="BT248" i="1"/>
  <c r="BW248" i="1"/>
  <c r="CF248" i="1"/>
  <c r="CI248" i="1"/>
  <c r="CL248" i="1"/>
  <c r="CR248" i="1"/>
  <c r="CU248" i="1"/>
  <c r="CX248" i="1"/>
  <c r="BI249" i="1"/>
  <c r="BQ249" i="1"/>
  <c r="BT249" i="1"/>
  <c r="BW249" i="1"/>
  <c r="BZ249" i="1"/>
  <c r="CF249" i="1"/>
  <c r="CI249" i="1"/>
  <c r="CL249" i="1"/>
  <c r="CO249" i="1"/>
  <c r="CR249" i="1"/>
  <c r="CU249" i="1"/>
  <c r="CX249" i="1"/>
  <c r="BI250" i="1"/>
  <c r="BQ250" i="1"/>
  <c r="BT250" i="1"/>
  <c r="BW250" i="1"/>
  <c r="BZ250" i="1"/>
  <c r="CC250" i="1"/>
  <c r="CF250" i="1"/>
  <c r="CI250" i="1"/>
  <c r="CL250" i="1"/>
  <c r="CO250" i="1"/>
  <c r="CR250" i="1"/>
  <c r="CU250" i="1"/>
  <c r="CX250" i="1"/>
  <c r="BI251" i="1"/>
  <c r="BQ251" i="1"/>
  <c r="BW251" i="1"/>
  <c r="CF251" i="1"/>
  <c r="CL251" i="1"/>
  <c r="CO251" i="1"/>
  <c r="CR251" i="1"/>
  <c r="CU251" i="1"/>
  <c r="CX251" i="1"/>
  <c r="BI252" i="1"/>
  <c r="CF252" i="1"/>
  <c r="BT252" i="1"/>
  <c r="CC252" i="1"/>
  <c r="CO252" i="1"/>
  <c r="BI253" i="1"/>
  <c r="CF253" i="1"/>
  <c r="BT253" i="1"/>
  <c r="BI254" i="1"/>
  <c r="BT254" i="1"/>
  <c r="BI255" i="1"/>
  <c r="BT255" i="1"/>
  <c r="BW255" i="1"/>
  <c r="CR255" i="1"/>
  <c r="CU255" i="1"/>
  <c r="BI256" i="1"/>
  <c r="BW256" i="1"/>
  <c r="BQ256" i="1"/>
  <c r="BT256" i="1"/>
  <c r="BZ256" i="1"/>
  <c r="CF256" i="1"/>
  <c r="CI256" i="1"/>
  <c r="CL256" i="1"/>
  <c r="CO256" i="1"/>
  <c r="CR256" i="1"/>
  <c r="CU256" i="1"/>
  <c r="CX256" i="1"/>
  <c r="BI257" i="1"/>
  <c r="BW257" i="1"/>
  <c r="BT257" i="1"/>
  <c r="BZ257" i="1"/>
  <c r="CC257" i="1"/>
  <c r="CF257" i="1"/>
  <c r="CI257" i="1"/>
  <c r="CL257" i="1"/>
  <c r="CO257" i="1"/>
  <c r="CR257" i="1"/>
  <c r="CU257" i="1"/>
  <c r="CX257" i="1"/>
  <c r="BI258" i="1"/>
  <c r="BT258" i="1"/>
  <c r="BZ258" i="1"/>
  <c r="CC258" i="1"/>
  <c r="CL258" i="1"/>
  <c r="CO258" i="1"/>
  <c r="CR258" i="1"/>
  <c r="CX258" i="1"/>
  <c r="BI259" i="1"/>
  <c r="BQ259" i="1"/>
  <c r="BW259" i="1"/>
  <c r="BZ259" i="1"/>
  <c r="CI259" i="1"/>
  <c r="CL259" i="1"/>
  <c r="CU259" i="1"/>
  <c r="CX259" i="1"/>
  <c r="BI260" i="1"/>
  <c r="BQ260" i="1"/>
  <c r="BZ260" i="1"/>
  <c r="CC260" i="1"/>
  <c r="CL260" i="1"/>
  <c r="CO260" i="1"/>
  <c r="CR260" i="1"/>
  <c r="CX260" i="1"/>
  <c r="BI261" i="1"/>
  <c r="BQ261" i="1"/>
  <c r="CC261" i="1"/>
  <c r="CF261" i="1"/>
  <c r="CO261" i="1"/>
  <c r="CR261" i="1"/>
  <c r="BI262" i="1"/>
  <c r="BT262" i="1"/>
  <c r="BW262" i="1"/>
  <c r="CR262" i="1"/>
  <c r="CU262" i="1"/>
  <c r="BI263" i="1"/>
  <c r="BQ263" i="1"/>
  <c r="BT263" i="1"/>
  <c r="BW263" i="1"/>
  <c r="BZ263" i="1"/>
  <c r="CC263" i="1"/>
  <c r="CF263" i="1"/>
  <c r="CI263" i="1"/>
  <c r="CL263" i="1"/>
  <c r="CO263" i="1"/>
  <c r="CR263" i="1"/>
  <c r="CU263" i="1"/>
  <c r="CX263" i="1"/>
  <c r="BR4" i="1"/>
  <c r="BI264" i="1"/>
  <c r="BI265" i="1"/>
  <c r="BQ265" i="1"/>
  <c r="BT265" i="1"/>
  <c r="BW265" i="1"/>
  <c r="BZ265" i="1"/>
  <c r="CF265" i="1"/>
  <c r="CI265" i="1"/>
  <c r="CL265" i="1"/>
  <c r="CO265" i="1"/>
  <c r="CR265" i="1"/>
  <c r="CU265" i="1"/>
  <c r="CX265" i="1"/>
  <c r="BI266" i="1"/>
  <c r="BQ266" i="1"/>
  <c r="BW266" i="1"/>
  <c r="BZ266" i="1"/>
  <c r="CC266" i="1"/>
  <c r="CF266" i="1"/>
  <c r="CI266" i="1"/>
  <c r="CL266" i="1"/>
  <c r="CO266" i="1"/>
  <c r="CR266" i="1"/>
  <c r="CU266" i="1"/>
  <c r="CX266" i="1"/>
  <c r="BI267" i="1"/>
  <c r="BQ267" i="1"/>
  <c r="BT267" i="1"/>
  <c r="BW267" i="1"/>
  <c r="BZ267" i="1"/>
  <c r="CC267" i="1"/>
  <c r="CF267" i="1"/>
  <c r="CI267" i="1"/>
  <c r="CL267" i="1"/>
  <c r="CO267" i="1"/>
  <c r="CR267" i="1"/>
  <c r="CU267" i="1"/>
  <c r="CX267" i="1"/>
  <c r="BI268" i="1"/>
  <c r="BQ268" i="1"/>
  <c r="BT268" i="1"/>
  <c r="BW268" i="1"/>
  <c r="CF268" i="1"/>
  <c r="CI268" i="1"/>
  <c r="CL268" i="1"/>
  <c r="CO268" i="1"/>
  <c r="CR268" i="1"/>
  <c r="CU268" i="1"/>
  <c r="CX268" i="1"/>
  <c r="BI269" i="1"/>
  <c r="BT269" i="1"/>
  <c r="BW269" i="1"/>
  <c r="BZ269" i="1"/>
  <c r="CC269" i="1"/>
  <c r="CF269" i="1"/>
  <c r="CI269" i="1"/>
  <c r="CL269" i="1"/>
  <c r="CO269" i="1"/>
  <c r="CR269" i="1"/>
  <c r="CU269" i="1"/>
  <c r="CX269" i="1"/>
  <c r="BI270" i="1"/>
  <c r="BZ270" i="1"/>
  <c r="BT270" i="1"/>
  <c r="BW270" i="1"/>
  <c r="CF270" i="1"/>
  <c r="CI270" i="1"/>
  <c r="CL270" i="1"/>
  <c r="CR270" i="1"/>
  <c r="CU270" i="1"/>
  <c r="BI271" i="1"/>
  <c r="BQ271" i="1"/>
  <c r="BT271" i="1"/>
  <c r="BW271" i="1"/>
  <c r="BZ271" i="1"/>
  <c r="CF271" i="1"/>
  <c r="CI271" i="1"/>
  <c r="CO271" i="1"/>
  <c r="CR271" i="1"/>
  <c r="CU271" i="1"/>
  <c r="CX271" i="1"/>
  <c r="BI272" i="1"/>
  <c r="BT272" i="1"/>
  <c r="BW272" i="1"/>
  <c r="BZ272" i="1"/>
  <c r="CF272" i="1"/>
  <c r="CI272" i="1"/>
  <c r="CL272" i="1"/>
  <c r="CO272" i="1"/>
  <c r="CR272" i="1"/>
  <c r="CU272" i="1"/>
  <c r="CX272" i="1"/>
  <c r="BI273" i="1"/>
  <c r="BQ273" i="1"/>
  <c r="BW273" i="1"/>
  <c r="BZ273" i="1"/>
  <c r="CC273" i="1"/>
  <c r="CF273" i="1"/>
  <c r="CI273" i="1"/>
  <c r="CL273" i="1"/>
  <c r="CO273" i="1"/>
  <c r="CR273" i="1"/>
  <c r="CU273" i="1"/>
  <c r="CX273" i="1"/>
  <c r="BI274" i="1"/>
  <c r="BZ274" i="1"/>
  <c r="BI275" i="1"/>
  <c r="BI276" i="1"/>
  <c r="CL276" i="1"/>
  <c r="BQ276" i="1"/>
  <c r="BZ276" i="1"/>
  <c r="CC276" i="1"/>
  <c r="CX276" i="1"/>
  <c r="BI277" i="1"/>
  <c r="CC277" i="1"/>
  <c r="CF277" i="1"/>
  <c r="CO277" i="1"/>
  <c r="CR277" i="1"/>
  <c r="BI278" i="1"/>
  <c r="BQ278" i="1"/>
  <c r="BZ278" i="1"/>
  <c r="CL278" i="1"/>
  <c r="CO278" i="1"/>
  <c r="CX278" i="1"/>
  <c r="BI279" i="1"/>
  <c r="BI280" i="1"/>
  <c r="CL280" i="1"/>
  <c r="BI281" i="1"/>
  <c r="BQ281" i="1"/>
  <c r="BW281" i="1"/>
  <c r="BZ281" i="1"/>
  <c r="CC281" i="1"/>
  <c r="CF281" i="1"/>
  <c r="CL281" i="1"/>
  <c r="CR281" i="1"/>
  <c r="CU281" i="1"/>
  <c r="CX281" i="1"/>
  <c r="BI282" i="1"/>
  <c r="CL282" i="1"/>
  <c r="BI283" i="1"/>
  <c r="BT283" i="1"/>
  <c r="BW283" i="1"/>
  <c r="BZ283" i="1"/>
  <c r="CC283" i="1"/>
  <c r="CL283" i="1"/>
  <c r="CR283" i="1"/>
  <c r="CU283" i="1"/>
  <c r="CX283" i="1"/>
  <c r="BI284" i="1"/>
  <c r="CL284" i="1"/>
  <c r="BI285" i="1"/>
  <c r="CI285" i="1"/>
  <c r="BQ285" i="1"/>
  <c r="BT285" i="1"/>
  <c r="BW285" i="1"/>
  <c r="CF285" i="1"/>
  <c r="CL285" i="1"/>
  <c r="CO285" i="1"/>
  <c r="CR285" i="1"/>
  <c r="CU285" i="1"/>
  <c r="BI286" i="1"/>
  <c r="BT286" i="1"/>
  <c r="BQ286" i="1"/>
  <c r="BW286" i="1"/>
  <c r="BZ286" i="1"/>
  <c r="CC286" i="1"/>
  <c r="CF286" i="1"/>
  <c r="CI286" i="1"/>
  <c r="CL286" i="1"/>
  <c r="CO286" i="1"/>
  <c r="CR286" i="1"/>
  <c r="CU286" i="1"/>
  <c r="CX286" i="1"/>
  <c r="BI287" i="1"/>
  <c r="BT287" i="1"/>
  <c r="BW287" i="1"/>
  <c r="CF287" i="1"/>
  <c r="CO287" i="1"/>
  <c r="CR287" i="1"/>
  <c r="CU287" i="1"/>
  <c r="BI288" i="1"/>
  <c r="BT288" i="1"/>
  <c r="BQ288" i="1"/>
  <c r="BW288" i="1"/>
  <c r="BZ288" i="1"/>
  <c r="CC288" i="1"/>
  <c r="CF288" i="1"/>
  <c r="CI288" i="1"/>
  <c r="CL288" i="1"/>
  <c r="CO288" i="1"/>
  <c r="CR288" i="1"/>
  <c r="CU288" i="1"/>
  <c r="CX288" i="1"/>
  <c r="BI289" i="1"/>
  <c r="BQ289" i="1"/>
  <c r="BW289" i="1"/>
  <c r="CF289" i="1"/>
  <c r="CO289" i="1"/>
  <c r="CR289" i="1"/>
  <c r="CU289" i="1"/>
  <c r="BI290" i="1"/>
  <c r="BT290" i="1"/>
  <c r="BQ290" i="1"/>
  <c r="BW290" i="1"/>
  <c r="BZ290" i="1"/>
  <c r="CC290" i="1"/>
  <c r="CF290" i="1"/>
  <c r="CI290" i="1"/>
  <c r="CL290" i="1"/>
  <c r="CO290" i="1"/>
  <c r="CR290" i="1"/>
  <c r="CU290" i="1"/>
  <c r="CX290" i="1"/>
  <c r="BI291" i="1"/>
  <c r="BQ291" i="1"/>
  <c r="BT291" i="1"/>
  <c r="CO291" i="1"/>
  <c r="CR291" i="1"/>
  <c r="BI292" i="1"/>
  <c r="BQ292" i="1"/>
  <c r="CF292" i="1"/>
  <c r="CI292" i="1"/>
  <c r="CR292" i="1"/>
  <c r="BI293" i="1"/>
  <c r="CF293" i="1"/>
  <c r="BQ293" i="1"/>
  <c r="BT293" i="1"/>
  <c r="CC293" i="1"/>
  <c r="CL293" i="1"/>
  <c r="CO293" i="1"/>
  <c r="CR293" i="1"/>
  <c r="BS4" i="1"/>
  <c r="BI294" i="1"/>
  <c r="BQ294" i="1"/>
  <c r="BT294" i="1"/>
  <c r="BW294" i="1"/>
  <c r="BZ294" i="1"/>
  <c r="CC294" i="1"/>
  <c r="CF294" i="1"/>
  <c r="CI294" i="1"/>
  <c r="CL294" i="1"/>
  <c r="CO294" i="1"/>
  <c r="CR294" i="1"/>
  <c r="CU294" i="1"/>
  <c r="CX294" i="1"/>
  <c r="BI295" i="1"/>
  <c r="BW295" i="1"/>
  <c r="BT295" i="1"/>
  <c r="BZ295" i="1"/>
  <c r="CC295" i="1"/>
  <c r="CF295" i="1"/>
  <c r="CI295" i="1"/>
  <c r="CL295" i="1"/>
  <c r="CR295" i="1"/>
  <c r="CX295" i="1"/>
  <c r="BI296" i="1"/>
  <c r="BQ296" i="1"/>
  <c r="BT296" i="1"/>
  <c r="BW296" i="1"/>
  <c r="CF296" i="1"/>
  <c r="CO296" i="1"/>
  <c r="CR296" i="1"/>
  <c r="CU296" i="1"/>
  <c r="BI297" i="1"/>
  <c r="BT297" i="1"/>
  <c r="BW297" i="1"/>
  <c r="CC297" i="1"/>
  <c r="CF297" i="1"/>
  <c r="CI297" i="1"/>
  <c r="CL297" i="1"/>
  <c r="CO297" i="1"/>
  <c r="CR297" i="1"/>
  <c r="CU297" i="1"/>
  <c r="CX297" i="1"/>
  <c r="BI298" i="1"/>
  <c r="BQ298" i="1"/>
  <c r="BW298" i="1"/>
  <c r="BZ298" i="1"/>
  <c r="CC298" i="1"/>
  <c r="CL298" i="1"/>
  <c r="CR298" i="1"/>
  <c r="CU298" i="1"/>
  <c r="CX298" i="1"/>
  <c r="BI299" i="1"/>
  <c r="CL299" i="1"/>
  <c r="BI300" i="1"/>
  <c r="CI300" i="1"/>
  <c r="BQ300" i="1"/>
  <c r="BT300" i="1"/>
  <c r="BW300" i="1"/>
  <c r="CF300" i="1"/>
  <c r="CL300" i="1"/>
  <c r="CO300" i="1"/>
  <c r="CR300" i="1"/>
  <c r="CU300" i="1"/>
  <c r="CX300" i="1"/>
  <c r="BI301" i="1"/>
  <c r="BT301" i="1"/>
  <c r="BQ301" i="1"/>
  <c r="BW301" i="1"/>
  <c r="BZ301" i="1"/>
  <c r="CC301" i="1"/>
  <c r="CF301" i="1"/>
  <c r="CI301" i="1"/>
  <c r="CL301" i="1"/>
  <c r="CO301" i="1"/>
  <c r="CR301" i="1"/>
  <c r="CU301" i="1"/>
  <c r="CX301" i="1"/>
  <c r="BI302" i="1"/>
  <c r="BZ302" i="1"/>
  <c r="BQ302" i="1"/>
  <c r="CL302" i="1"/>
  <c r="CO302" i="1"/>
  <c r="BI303" i="1"/>
  <c r="BT303" i="1"/>
  <c r="BW303" i="1"/>
  <c r="BZ303" i="1"/>
  <c r="CC303" i="1"/>
  <c r="CF303" i="1"/>
  <c r="CI303" i="1"/>
  <c r="CL303" i="1"/>
  <c r="CO303" i="1"/>
  <c r="CR303" i="1"/>
  <c r="CU303" i="1"/>
  <c r="CX303" i="1"/>
  <c r="BI304" i="1"/>
  <c r="BZ304" i="1"/>
  <c r="BQ304" i="1"/>
  <c r="CL304" i="1"/>
  <c r="CO304" i="1"/>
  <c r="BI305" i="1"/>
  <c r="BT305" i="1"/>
  <c r="BW305" i="1"/>
  <c r="BZ305" i="1"/>
  <c r="CC305" i="1"/>
  <c r="CF305" i="1"/>
  <c r="CI305" i="1"/>
  <c r="CL305" i="1"/>
  <c r="CO305" i="1"/>
  <c r="CR305" i="1"/>
  <c r="CU305" i="1"/>
  <c r="CX305" i="1"/>
  <c r="BI306" i="1"/>
  <c r="BT306" i="1"/>
  <c r="BW306" i="1"/>
  <c r="CR306" i="1"/>
  <c r="CU306" i="1"/>
  <c r="BI307" i="1"/>
  <c r="BT307" i="1"/>
  <c r="BQ307" i="1"/>
  <c r="BW307" i="1"/>
  <c r="BZ307" i="1"/>
  <c r="CC307" i="1"/>
  <c r="CF307" i="1"/>
  <c r="CI307" i="1"/>
  <c r="CL307" i="1"/>
  <c r="CO307" i="1"/>
  <c r="CR307" i="1"/>
  <c r="CU307" i="1"/>
  <c r="CX307" i="1"/>
  <c r="BI308" i="1"/>
  <c r="BZ308" i="1"/>
  <c r="BQ308" i="1"/>
  <c r="CL308" i="1"/>
  <c r="CO308" i="1"/>
  <c r="BI309" i="1"/>
  <c r="BT309" i="1"/>
  <c r="BW309" i="1"/>
  <c r="BZ309" i="1"/>
  <c r="CC309" i="1"/>
  <c r="CF309" i="1"/>
  <c r="CI309" i="1"/>
  <c r="CL309" i="1"/>
  <c r="CO309" i="1"/>
  <c r="CR309" i="1"/>
  <c r="CU309" i="1"/>
  <c r="CX309" i="1"/>
  <c r="BI310" i="1"/>
  <c r="BT310" i="1"/>
  <c r="BQ310" i="1"/>
  <c r="CO310" i="1"/>
  <c r="CR310" i="1"/>
  <c r="BI311" i="1"/>
  <c r="BQ311" i="1"/>
  <c r="BZ311" i="1"/>
  <c r="CC311" i="1"/>
  <c r="CL311" i="1"/>
  <c r="CU311" i="1"/>
  <c r="CX311" i="1"/>
  <c r="BI312" i="1"/>
  <c r="CR312" i="1"/>
  <c r="BI313" i="1"/>
  <c r="BQ313" i="1"/>
  <c r="BZ313" i="1"/>
  <c r="CC313" i="1"/>
  <c r="CL313" i="1"/>
  <c r="CU313" i="1"/>
  <c r="CX313" i="1"/>
  <c r="BI314" i="1"/>
  <c r="CO314" i="1"/>
  <c r="BI315" i="1"/>
  <c r="BQ315" i="1"/>
  <c r="BT315" i="1"/>
  <c r="BW315" i="1"/>
  <c r="BZ315" i="1"/>
  <c r="CC315" i="1"/>
  <c r="CF315" i="1"/>
  <c r="CI315" i="1"/>
  <c r="CL315" i="1"/>
  <c r="CO315" i="1"/>
  <c r="CR315" i="1"/>
  <c r="CU315" i="1"/>
  <c r="CX315" i="1"/>
  <c r="BI316" i="1"/>
  <c r="BW316" i="1"/>
  <c r="BT316" i="1"/>
  <c r="CC316" i="1"/>
  <c r="CF316" i="1"/>
  <c r="CI316" i="1"/>
  <c r="CL316" i="1"/>
  <c r="CR316" i="1"/>
  <c r="CX316" i="1"/>
  <c r="BI317" i="1"/>
  <c r="BQ317" i="1"/>
  <c r="BT317" i="1"/>
  <c r="BW317" i="1"/>
  <c r="CF317" i="1"/>
  <c r="CO317" i="1"/>
  <c r="CR317" i="1"/>
  <c r="CU317" i="1"/>
  <c r="BI318" i="1"/>
  <c r="BT318" i="1"/>
  <c r="BQ318" i="1"/>
  <c r="BW318" i="1"/>
  <c r="BZ318" i="1"/>
  <c r="CC318" i="1"/>
  <c r="CF318" i="1"/>
  <c r="CI318" i="1"/>
  <c r="CL318" i="1"/>
  <c r="CO318" i="1"/>
  <c r="CR318" i="1"/>
  <c r="CU318" i="1"/>
  <c r="CX318" i="1"/>
  <c r="BI319" i="1"/>
  <c r="BZ319" i="1"/>
  <c r="BQ319" i="1"/>
  <c r="CL319" i="1"/>
  <c r="CO319" i="1"/>
  <c r="BI320" i="1"/>
  <c r="BQ320" i="1"/>
  <c r="BW320" i="1"/>
  <c r="CL320" i="1"/>
  <c r="CX320" i="1"/>
  <c r="BI321" i="1"/>
  <c r="CL321" i="1"/>
  <c r="BI322" i="1"/>
  <c r="CI322" i="1"/>
  <c r="BQ322" i="1"/>
  <c r="BT322" i="1"/>
  <c r="BW322" i="1"/>
  <c r="CF322" i="1"/>
  <c r="CL322" i="1"/>
  <c r="CO322" i="1"/>
  <c r="CR322" i="1"/>
  <c r="CU322" i="1"/>
  <c r="CX322" i="1"/>
  <c r="BI323" i="1"/>
  <c r="BZ323" i="1"/>
  <c r="BT323" i="1"/>
  <c r="CC323" i="1"/>
  <c r="CF323" i="1"/>
  <c r="CI323" i="1"/>
  <c r="CL323" i="1"/>
  <c r="CO323" i="1"/>
  <c r="CR323" i="1"/>
  <c r="CU323" i="1"/>
  <c r="CX323" i="1"/>
  <c r="BT5" i="1"/>
  <c r="BT7" i="1"/>
  <c r="BJ327" i="1"/>
  <c r="BI324" i="1"/>
  <c r="CC324" i="1"/>
  <c r="BQ324" i="1"/>
  <c r="BT324" i="1"/>
  <c r="CL324" i="1"/>
  <c r="CO324" i="1"/>
  <c r="CR324" i="1"/>
  <c r="BT4" i="1"/>
  <c r="BI325" i="1"/>
  <c r="BT325" i="1"/>
  <c r="CL325" i="1"/>
  <c r="CX325" i="1"/>
  <c r="BI326" i="1"/>
  <c r="BT326" i="1"/>
  <c r="BQ326" i="1"/>
  <c r="CU326" i="1"/>
  <c r="CX326" i="1"/>
  <c r="BI327" i="1"/>
  <c r="BW327" i="1"/>
  <c r="BT327" i="1"/>
  <c r="BZ327" i="1"/>
  <c r="CC327" i="1"/>
  <c r="CF327" i="1"/>
  <c r="CI327" i="1"/>
  <c r="CL327" i="1"/>
  <c r="CR327" i="1"/>
  <c r="CX327" i="1"/>
  <c r="BI328" i="1"/>
  <c r="BQ328" i="1"/>
  <c r="BT328" i="1"/>
  <c r="BW328" i="1"/>
  <c r="CO328" i="1"/>
  <c r="BI329" i="1"/>
  <c r="BT329" i="1"/>
  <c r="BW329" i="1"/>
  <c r="CL329" i="1"/>
  <c r="CX329" i="1"/>
  <c r="BI330" i="1"/>
  <c r="BT330" i="1"/>
  <c r="BW330" i="1"/>
  <c r="CF330" i="1"/>
  <c r="CI330" i="1"/>
  <c r="CL330" i="1"/>
  <c r="CR330" i="1"/>
  <c r="CU330" i="1"/>
  <c r="BI331" i="1"/>
  <c r="BQ331" i="1"/>
  <c r="BZ331" i="1"/>
  <c r="CC331" i="1"/>
  <c r="CL331" i="1"/>
  <c r="CU331" i="1"/>
  <c r="CX331" i="1"/>
  <c r="BI332" i="1"/>
  <c r="BI333" i="1"/>
  <c r="BQ333" i="1"/>
  <c r="CO333" i="1"/>
  <c r="BI334" i="1"/>
  <c r="CF334" i="1"/>
  <c r="BQ334" i="1"/>
  <c r="BT334" i="1"/>
  <c r="BW334" i="1"/>
  <c r="BZ334" i="1"/>
  <c r="CC334" i="1"/>
  <c r="CI334" i="1"/>
  <c r="CL334" i="1"/>
  <c r="CO334" i="1"/>
  <c r="CR334" i="1"/>
  <c r="CU334" i="1"/>
  <c r="CX334" i="1"/>
  <c r="BI335" i="1"/>
  <c r="BT335" i="1"/>
  <c r="BI336" i="1"/>
  <c r="BQ336" i="1"/>
  <c r="BZ336" i="1"/>
  <c r="CC336" i="1"/>
  <c r="CL336" i="1"/>
  <c r="CU336" i="1"/>
  <c r="CX336" i="1"/>
  <c r="BI337" i="1"/>
  <c r="BI338" i="1"/>
  <c r="BQ338" i="1"/>
  <c r="BZ338" i="1"/>
  <c r="CC338" i="1"/>
  <c r="CL338" i="1"/>
  <c r="CX338" i="1"/>
  <c r="BI339" i="1"/>
  <c r="CL339" i="1"/>
  <c r="BI340" i="1"/>
  <c r="BT340" i="1"/>
  <c r="BW340" i="1"/>
  <c r="CL340" i="1"/>
  <c r="CX340" i="1"/>
  <c r="BI341" i="1"/>
  <c r="CR341" i="1"/>
  <c r="CO341" i="1"/>
  <c r="BI342" i="1"/>
  <c r="BQ342" i="1"/>
  <c r="BZ342" i="1"/>
  <c r="CC342" i="1"/>
  <c r="CL342" i="1"/>
  <c r="CU342" i="1"/>
  <c r="CX342" i="1"/>
  <c r="BI343" i="1"/>
  <c r="CL343" i="1"/>
  <c r="BI344" i="1"/>
  <c r="BT344" i="1"/>
  <c r="BW344" i="1"/>
  <c r="CL344" i="1"/>
  <c r="CX344" i="1"/>
  <c r="BI345" i="1"/>
  <c r="CO345" i="1"/>
  <c r="CL345" i="1"/>
  <c r="BI346" i="1"/>
  <c r="BW346" i="1"/>
  <c r="CC346" i="1"/>
  <c r="CU346" i="1"/>
  <c r="BI347" i="1"/>
  <c r="BI348" i="1"/>
  <c r="BW348" i="1"/>
  <c r="CC348" i="1"/>
  <c r="CU348" i="1"/>
  <c r="BI349" i="1"/>
  <c r="CX349" i="1"/>
  <c r="BI350" i="1"/>
  <c r="BT350" i="1"/>
  <c r="BW350" i="1"/>
  <c r="BZ350" i="1"/>
  <c r="CC350" i="1"/>
  <c r="CF350" i="1"/>
  <c r="CI350" i="1"/>
  <c r="CO350" i="1"/>
  <c r="CR350" i="1"/>
  <c r="CU350" i="1"/>
  <c r="CX350" i="1"/>
  <c r="BI351" i="1"/>
  <c r="BQ351" i="1"/>
  <c r="BZ351" i="1"/>
  <c r="BI352" i="1"/>
  <c r="BT352" i="1"/>
  <c r="CL352" i="1"/>
  <c r="CX352" i="1"/>
  <c r="BI353" i="1"/>
  <c r="BW353" i="1"/>
  <c r="BI354" i="1"/>
  <c r="BQ354" i="1"/>
  <c r="BT354" i="1"/>
  <c r="BW354" i="1"/>
  <c r="BZ354" i="1"/>
  <c r="CC354" i="1"/>
  <c r="CF354" i="1"/>
  <c r="CI354" i="1"/>
  <c r="CL354" i="1"/>
  <c r="CO354" i="1"/>
  <c r="CR354" i="1"/>
  <c r="CU354" i="1"/>
  <c r="CX354" i="1"/>
  <c r="BU4" i="1"/>
  <c r="BI355" i="1"/>
  <c r="BT355" i="1"/>
  <c r="BZ355" i="1"/>
  <c r="CF355" i="1"/>
  <c r="CI355" i="1"/>
  <c r="CO355" i="1"/>
  <c r="CR355" i="1"/>
  <c r="CX355" i="1"/>
  <c r="BI356" i="1"/>
  <c r="CF356" i="1"/>
  <c r="BQ356" i="1"/>
  <c r="BT356" i="1"/>
  <c r="BW356" i="1"/>
  <c r="BZ356" i="1"/>
  <c r="CC356" i="1"/>
  <c r="CI356" i="1"/>
  <c r="CL356" i="1"/>
  <c r="CO356" i="1"/>
  <c r="CR356" i="1"/>
  <c r="CU356" i="1"/>
  <c r="CX356" i="1"/>
  <c r="BI357" i="1"/>
  <c r="BW357" i="1"/>
  <c r="CC357" i="1"/>
  <c r="CF357" i="1"/>
  <c r="CL357" i="1"/>
  <c r="CO357" i="1"/>
  <c r="CU357" i="1"/>
  <c r="BI358" i="1"/>
  <c r="BT358" i="1"/>
  <c r="BW358" i="1"/>
  <c r="CL358" i="1"/>
  <c r="CX358" i="1"/>
  <c r="BI359" i="1"/>
  <c r="BZ359" i="1"/>
  <c r="CF359" i="1"/>
  <c r="CI359" i="1"/>
  <c r="CL359" i="1"/>
  <c r="CO359" i="1"/>
  <c r="CR359" i="1"/>
  <c r="CX359" i="1"/>
  <c r="BI360" i="1"/>
  <c r="CF360" i="1"/>
  <c r="BQ360" i="1"/>
  <c r="BT360" i="1"/>
  <c r="BW360" i="1"/>
  <c r="BZ360" i="1"/>
  <c r="CC360" i="1"/>
  <c r="CI360" i="1"/>
  <c r="CL360" i="1"/>
  <c r="CO360" i="1"/>
  <c r="CR360" i="1"/>
  <c r="CU360" i="1"/>
  <c r="CX360" i="1"/>
  <c r="BI361" i="1"/>
  <c r="BW361" i="1"/>
  <c r="CC361" i="1"/>
  <c r="CF361" i="1"/>
  <c r="CL361" i="1"/>
  <c r="CO361" i="1"/>
  <c r="CU361" i="1"/>
  <c r="CX361" i="1"/>
  <c r="BI362" i="1"/>
  <c r="BT362" i="1"/>
  <c r="BW362" i="1"/>
  <c r="BI363" i="1"/>
  <c r="CF363" i="1"/>
  <c r="BT363" i="1"/>
  <c r="CC363" i="1"/>
  <c r="CL363" i="1"/>
  <c r="CR363" i="1"/>
  <c r="BI364" i="1"/>
  <c r="BT364" i="1"/>
  <c r="CF364" i="1"/>
  <c r="CO364" i="1"/>
  <c r="CX364" i="1"/>
  <c r="D350" i="1"/>
  <c r="D336" i="1"/>
  <c r="AD333" i="1"/>
  <c r="AT333" i="1"/>
  <c r="AC333" i="1"/>
  <c r="AS333" i="1"/>
  <c r="AB333" i="1"/>
  <c r="AR333" i="1"/>
  <c r="AQ333" i="1"/>
  <c r="AP333" i="1"/>
  <c r="AO333" i="1"/>
  <c r="AN333" i="1"/>
  <c r="AM333" i="1"/>
  <c r="AL333" i="1"/>
  <c r="AK333" i="1"/>
  <c r="AJ333" i="1"/>
  <c r="AI333" i="1"/>
  <c r="AH333" i="1"/>
  <c r="AG333" i="1"/>
  <c r="AG331" i="1"/>
  <c r="Q331" i="1"/>
  <c r="N330" i="1"/>
  <c r="J330" i="1"/>
  <c r="F330" i="1"/>
  <c r="B330" i="1"/>
  <c r="DN322" i="1"/>
  <c r="DN321" i="1"/>
  <c r="DN320" i="1"/>
  <c r="DN319" i="1"/>
  <c r="N316" i="1"/>
  <c r="N315" i="1"/>
  <c r="N314" i="1"/>
  <c r="N308" i="1"/>
  <c r="DN296" i="1"/>
  <c r="DN295" i="1"/>
  <c r="DN294" i="1"/>
  <c r="Q289" i="1"/>
  <c r="P289" i="1"/>
  <c r="N275" i="1"/>
  <c r="C268" i="1"/>
  <c r="N246" i="1"/>
  <c r="DL235" i="1"/>
  <c r="DL229" i="1"/>
  <c r="N220" i="1"/>
  <c r="DO208" i="1"/>
  <c r="I142" i="1"/>
  <c r="D178" i="1"/>
  <c r="E206" i="1"/>
  <c r="AE202" i="1"/>
  <c r="AM202" i="1"/>
  <c r="AB202" i="1"/>
  <c r="AL202" i="1"/>
  <c r="Y202" i="1"/>
  <c r="AK202" i="1"/>
  <c r="V202" i="1"/>
  <c r="AJ202" i="1"/>
  <c r="O195" i="1"/>
  <c r="S202" i="1"/>
  <c r="AI202" i="1"/>
  <c r="C202" i="1"/>
  <c r="E201" i="1"/>
  <c r="DL200" i="1"/>
  <c r="E200" i="1"/>
  <c r="O199" i="1"/>
  <c r="E199" i="1"/>
  <c r="DL198" i="1"/>
  <c r="O198" i="1"/>
  <c r="E198" i="1"/>
  <c r="DL197" i="1"/>
  <c r="O197" i="1"/>
  <c r="E197" i="1"/>
  <c r="DL196" i="1"/>
  <c r="O196" i="1"/>
  <c r="O138" i="1"/>
  <c r="C174" i="1"/>
  <c r="V141" i="1"/>
  <c r="P141" i="1"/>
  <c r="O136" i="1"/>
  <c r="D103" i="1"/>
  <c r="F96" i="1"/>
  <c r="B96" i="1"/>
  <c r="N94" i="1"/>
  <c r="N92" i="1"/>
  <c r="N82" i="1"/>
  <c r="O82" i="1"/>
  <c r="P82" i="1"/>
  <c r="N83" i="1"/>
  <c r="O83" i="1"/>
  <c r="N84" i="1"/>
  <c r="O84" i="1"/>
  <c r="N85" i="1"/>
  <c r="O85" i="1"/>
  <c r="P85" i="1"/>
  <c r="F86" i="1"/>
  <c r="B86" i="1"/>
  <c r="U85" i="1"/>
  <c r="U84" i="1"/>
  <c r="U83" i="1"/>
  <c r="U82" i="1"/>
  <c r="F76" i="1"/>
  <c r="B76" i="1"/>
  <c r="E67" i="1"/>
  <c r="DM65" i="1"/>
  <c r="DM64" i="1"/>
  <c r="U63" i="1"/>
  <c r="V63" i="1"/>
  <c r="F62" i="1"/>
  <c r="B62" i="1"/>
  <c r="S61" i="1"/>
  <c r="V61" i="1"/>
  <c r="V60" i="1"/>
  <c r="V59" i="1"/>
  <c r="DM58" i="1"/>
  <c r="EJ40" i="1"/>
  <c r="EI40" i="1"/>
  <c r="T40" i="1"/>
  <c r="U40" i="1"/>
  <c r="V40" i="1"/>
  <c r="W40" i="1"/>
  <c r="X40" i="1"/>
  <c r="Y40" i="1"/>
  <c r="Z40" i="1"/>
  <c r="AA40" i="1"/>
  <c r="AB40" i="1"/>
  <c r="AC40" i="1"/>
  <c r="AD40" i="1"/>
  <c r="AE40" i="1"/>
  <c r="T39" i="1"/>
  <c r="U39" i="1"/>
  <c r="V39" i="1"/>
  <c r="W39" i="1"/>
  <c r="X39" i="1"/>
  <c r="Y39" i="1"/>
  <c r="Z39" i="1"/>
  <c r="AA39" i="1"/>
  <c r="AB39" i="1"/>
  <c r="AC39" i="1"/>
  <c r="AD39" i="1"/>
  <c r="AE39" i="1"/>
  <c r="T38" i="1"/>
  <c r="U38" i="1"/>
  <c r="V38" i="1"/>
  <c r="W38" i="1"/>
  <c r="X38" i="1"/>
  <c r="Y38" i="1"/>
  <c r="Z38" i="1"/>
  <c r="AA38" i="1"/>
  <c r="AB38" i="1"/>
  <c r="AC38" i="1"/>
  <c r="AD38" i="1"/>
  <c r="AE38" i="1"/>
  <c r="C28" i="1"/>
  <c r="DF16" i="1"/>
  <c r="DE16" i="1"/>
  <c r="DD16" i="1"/>
  <c r="DC16" i="1"/>
  <c r="DB16" i="1"/>
  <c r="DA16" i="1"/>
  <c r="CZ16" i="1"/>
  <c r="CW15" i="1"/>
  <c r="CT15" i="1"/>
  <c r="CQ15" i="1"/>
  <c r="CN15" i="1"/>
  <c r="CK15" i="1"/>
  <c r="N13" i="1"/>
  <c r="N10" i="1"/>
  <c r="BU6" i="1"/>
  <c r="BE4" i="1"/>
  <c r="BH1" i="1"/>
  <c r="BF1" i="1"/>
  <c r="CX74" i="1"/>
  <c r="CL74" i="1"/>
  <c r="BZ76" i="1"/>
  <c r="CR75" i="1"/>
  <c r="CF75" i="1"/>
  <c r="CO91" i="1"/>
  <c r="BT91" i="1"/>
  <c r="AF39" i="1"/>
  <c r="R15" i="1"/>
  <c r="T15" i="1"/>
  <c r="CL364" i="1"/>
  <c r="CX363" i="1"/>
  <c r="BZ363" i="1"/>
  <c r="CF353" i="1"/>
  <c r="CL351" i="1"/>
  <c r="BT349" i="1"/>
  <c r="BW349" i="1"/>
  <c r="CL349" i="1"/>
  <c r="BT347" i="1"/>
  <c r="CL347" i="1"/>
  <c r="CX347" i="1"/>
  <c r="CR345" i="1"/>
  <c r="CO343" i="1"/>
  <c r="CO339" i="1"/>
  <c r="BT337" i="1"/>
  <c r="CL337" i="1"/>
  <c r="CX337" i="1"/>
  <c r="BQ332" i="1"/>
  <c r="CC332" i="1"/>
  <c r="CL332" i="1"/>
  <c r="CO332" i="1"/>
  <c r="CX332" i="1"/>
  <c r="BT332" i="1"/>
  <c r="BW332" i="1"/>
  <c r="BW282" i="1"/>
  <c r="CU282" i="1"/>
  <c r="BZ282" i="1"/>
  <c r="CX282" i="1"/>
  <c r="CC282" i="1"/>
  <c r="CF282" i="1"/>
  <c r="CI282" i="1"/>
  <c r="BQ282" i="1"/>
  <c r="CO282" i="1"/>
  <c r="BT282" i="1"/>
  <c r="CR282" i="1"/>
  <c r="CI364" i="1"/>
  <c r="CU363" i="1"/>
  <c r="BW363" i="1"/>
  <c r="BQ361" i="1"/>
  <c r="BZ361" i="1"/>
  <c r="BT361" i="1"/>
  <c r="CR361" i="1"/>
  <c r="BQ357" i="1"/>
  <c r="BZ357" i="1"/>
  <c r="CX357" i="1"/>
  <c r="BT357" i="1"/>
  <c r="CR357" i="1"/>
  <c r="CL355" i="1"/>
  <c r="CI351" i="1"/>
  <c r="CX348" i="1"/>
  <c r="CX346" i="1"/>
  <c r="BQ339" i="1"/>
  <c r="BZ339" i="1"/>
  <c r="CX339" i="1"/>
  <c r="CC339" i="1"/>
  <c r="CF339" i="1"/>
  <c r="CI339" i="1"/>
  <c r="BT339" i="1"/>
  <c r="CR339" i="1"/>
  <c r="BW339" i="1"/>
  <c r="CU339" i="1"/>
  <c r="BQ85" i="1"/>
  <c r="CU85" i="1"/>
  <c r="BT85" i="1"/>
  <c r="CI85" i="1"/>
  <c r="BQ73" i="1"/>
  <c r="BW73" i="1"/>
  <c r="CL73" i="1"/>
  <c r="Q211" i="1"/>
  <c r="BP4" i="1"/>
  <c r="BQ343" i="1"/>
  <c r="BZ343" i="1"/>
  <c r="CX343" i="1"/>
  <c r="CC343" i="1"/>
  <c r="CF343" i="1"/>
  <c r="CI343" i="1"/>
  <c r="BT343" i="1"/>
  <c r="CR343" i="1"/>
  <c r="BW343" i="1"/>
  <c r="CU343" i="1"/>
  <c r="W61" i="1"/>
  <c r="P83" i="1"/>
  <c r="CC364" i="1"/>
  <c r="CO363" i="1"/>
  <c r="BQ363" i="1"/>
  <c r="CL348" i="1"/>
  <c r="CL346" i="1"/>
  <c r="BT345" i="1"/>
  <c r="CC345" i="1"/>
  <c r="CF345" i="1"/>
  <c r="CI345" i="1"/>
  <c r="BW345" i="1"/>
  <c r="CU345" i="1"/>
  <c r="BZ345" i="1"/>
  <c r="CX345" i="1"/>
  <c r="BT341" i="1"/>
  <c r="CC341" i="1"/>
  <c r="CF341" i="1"/>
  <c r="CI341" i="1"/>
  <c r="CL341" i="1"/>
  <c r="BW341" i="1"/>
  <c r="CU341" i="1"/>
  <c r="BZ341" i="1"/>
  <c r="CX341" i="1"/>
  <c r="BW321" i="1"/>
  <c r="CU321" i="1"/>
  <c r="BZ321" i="1"/>
  <c r="CX321" i="1"/>
  <c r="CC321" i="1"/>
  <c r="CF321" i="1"/>
  <c r="CI321" i="1"/>
  <c r="BQ321" i="1"/>
  <c r="CO321" i="1"/>
  <c r="BT321" i="1"/>
  <c r="CR321" i="1"/>
  <c r="BW280" i="1"/>
  <c r="CU280" i="1"/>
  <c r="BZ280" i="1"/>
  <c r="CX280" i="1"/>
  <c r="CC280" i="1"/>
  <c r="CF280" i="1"/>
  <c r="CI280" i="1"/>
  <c r="BQ280" i="1"/>
  <c r="CO280" i="1"/>
  <c r="BT280" i="1"/>
  <c r="CR280" i="1"/>
  <c r="BT353" i="1"/>
  <c r="CI353" i="1"/>
  <c r="CL353" i="1"/>
  <c r="BZ353" i="1"/>
  <c r="CX353" i="1"/>
  <c r="CC353" i="1"/>
  <c r="BW191" i="1"/>
  <c r="CO191" i="1"/>
  <c r="BT191" i="1"/>
  <c r="CC191" i="1"/>
  <c r="BZ364" i="1"/>
  <c r="CC351" i="1"/>
  <c r="CF351" i="1"/>
  <c r="BT351" i="1"/>
  <c r="CR351" i="1"/>
  <c r="BW351" i="1"/>
  <c r="CU351" i="1"/>
  <c r="BW299" i="1"/>
  <c r="CU299" i="1"/>
  <c r="BZ299" i="1"/>
  <c r="CX299" i="1"/>
  <c r="CC299" i="1"/>
  <c r="CF299" i="1"/>
  <c r="CI299" i="1"/>
  <c r="BQ299" i="1"/>
  <c r="CO299" i="1"/>
  <c r="BT299" i="1"/>
  <c r="CR299" i="1"/>
  <c r="BQ279" i="1"/>
  <c r="BT279" i="1"/>
  <c r="CR279" i="1"/>
  <c r="BW279" i="1"/>
  <c r="CI279" i="1"/>
  <c r="CF279" i="1"/>
  <c r="CL279" i="1"/>
  <c r="CO279" i="1"/>
  <c r="CU279" i="1"/>
  <c r="CX279" i="1"/>
  <c r="BZ279" i="1"/>
  <c r="CC279" i="1"/>
  <c r="BT275" i="1"/>
  <c r="BW275" i="1"/>
  <c r="CU275" i="1"/>
  <c r="BZ275" i="1"/>
  <c r="CX275" i="1"/>
  <c r="CI275" i="1"/>
  <c r="CL275" i="1"/>
  <c r="CO275" i="1"/>
  <c r="CR275" i="1"/>
  <c r="CC275" i="1"/>
  <c r="CF275" i="1"/>
  <c r="BZ264" i="1"/>
  <c r="CX264" i="1"/>
  <c r="CC264" i="1"/>
  <c r="CF264" i="1"/>
  <c r="BQ264" i="1"/>
  <c r="CO264" i="1"/>
  <c r="BT264" i="1"/>
  <c r="CR264" i="1"/>
  <c r="CL264" i="1"/>
  <c r="CU264" i="1"/>
  <c r="BW264" i="1"/>
  <c r="CI264" i="1"/>
  <c r="CU364" i="1"/>
  <c r="BW364" i="1"/>
  <c r="CI363" i="1"/>
  <c r="CX362" i="1"/>
  <c r="CI361" i="1"/>
  <c r="BT359" i="1"/>
  <c r="CC359" i="1"/>
  <c r="BW359" i="1"/>
  <c r="CU359" i="1"/>
  <c r="CI357" i="1"/>
  <c r="CU353" i="1"/>
  <c r="BZ348" i="1"/>
  <c r="BZ346" i="1"/>
  <c r="CL333" i="1"/>
  <c r="BQ314" i="1"/>
  <c r="BZ314" i="1"/>
  <c r="CX314" i="1"/>
  <c r="CC314" i="1"/>
  <c r="CF314" i="1"/>
  <c r="CI314" i="1"/>
  <c r="CL314" i="1"/>
  <c r="BT314" i="1"/>
  <c r="CR314" i="1"/>
  <c r="BW314" i="1"/>
  <c r="CU314" i="1"/>
  <c r="BT312" i="1"/>
  <c r="CC312" i="1"/>
  <c r="CF312" i="1"/>
  <c r="CI312" i="1"/>
  <c r="CL312" i="1"/>
  <c r="CO312" i="1"/>
  <c r="BW312" i="1"/>
  <c r="CU312" i="1"/>
  <c r="BZ312" i="1"/>
  <c r="CX312" i="1"/>
  <c r="CR364" i="1"/>
  <c r="BQ364" i="1"/>
  <c r="CL362" i="1"/>
  <c r="BQ355" i="1"/>
  <c r="CC355" i="1"/>
  <c r="BW355" i="1"/>
  <c r="CU355" i="1"/>
  <c r="CR353" i="1"/>
  <c r="CX351" i="1"/>
  <c r="BW284" i="1"/>
  <c r="CU284" i="1"/>
  <c r="BZ284" i="1"/>
  <c r="CX284" i="1"/>
  <c r="CC284" i="1"/>
  <c r="CF284" i="1"/>
  <c r="CI284" i="1"/>
  <c r="BQ284" i="1"/>
  <c r="CO284" i="1"/>
  <c r="BT284" i="1"/>
  <c r="CR284" i="1"/>
  <c r="CO353" i="1"/>
  <c r="CO351" i="1"/>
  <c r="BQ348" i="1"/>
  <c r="CO348" i="1"/>
  <c r="BT348" i="1"/>
  <c r="CR348" i="1"/>
  <c r="CF348" i="1"/>
  <c r="CI348" i="1"/>
  <c r="BQ346" i="1"/>
  <c r="CO346" i="1"/>
  <c r="BT346" i="1"/>
  <c r="CR346" i="1"/>
  <c r="CF346" i="1"/>
  <c r="CI346" i="1"/>
  <c r="BZ333" i="1"/>
  <c r="CX333" i="1"/>
  <c r="CC333" i="1"/>
  <c r="CF333" i="1"/>
  <c r="CI333" i="1"/>
  <c r="BT333" i="1"/>
  <c r="CR333" i="1"/>
  <c r="BW333" i="1"/>
  <c r="CU333" i="1"/>
  <c r="CL350" i="1"/>
  <c r="CI342" i="1"/>
  <c r="CI338" i="1"/>
  <c r="CI336" i="1"/>
  <c r="CX335" i="1"/>
  <c r="CI331" i="1"/>
  <c r="CX330" i="1"/>
  <c r="BQ330" i="1"/>
  <c r="CL328" i="1"/>
  <c r="CO327" i="1"/>
  <c r="BQ327" i="1"/>
  <c r="BZ326" i="1"/>
  <c r="CX324" i="1"/>
  <c r="BZ324" i="1"/>
  <c r="CC322" i="1"/>
  <c r="CU319" i="1"/>
  <c r="BW319" i="1"/>
  <c r="CC317" i="1"/>
  <c r="CO316" i="1"/>
  <c r="BQ316" i="1"/>
  <c r="CI313" i="1"/>
  <c r="CI311" i="1"/>
  <c r="CX310" i="1"/>
  <c r="BZ310" i="1"/>
  <c r="CU308" i="1"/>
  <c r="BW308" i="1"/>
  <c r="CC306" i="1"/>
  <c r="CU304" i="1"/>
  <c r="BW304" i="1"/>
  <c r="CU302" i="1"/>
  <c r="BW302" i="1"/>
  <c r="CC300" i="1"/>
  <c r="CI298" i="1"/>
  <c r="CC296" i="1"/>
  <c r="CO295" i="1"/>
  <c r="BQ295" i="1"/>
  <c r="CX293" i="1"/>
  <c r="BZ293" i="1"/>
  <c r="CO292" i="1"/>
  <c r="CX291" i="1"/>
  <c r="BZ291" i="1"/>
  <c r="CC289" i="1"/>
  <c r="CC287" i="1"/>
  <c r="CC285" i="1"/>
  <c r="CI283" i="1"/>
  <c r="CI281" i="1"/>
  <c r="CO276" i="1"/>
  <c r="CF342" i="1"/>
  <c r="CF338" i="1"/>
  <c r="CF336" i="1"/>
  <c r="CF331" i="1"/>
  <c r="CC328" i="1"/>
  <c r="BW326" i="1"/>
  <c r="CU324" i="1"/>
  <c r="BW324" i="1"/>
  <c r="BZ322" i="1"/>
  <c r="CR319" i="1"/>
  <c r="BT319" i="1"/>
  <c r="CX317" i="1"/>
  <c r="BZ317" i="1"/>
  <c r="CF313" i="1"/>
  <c r="CF311" i="1"/>
  <c r="CU310" i="1"/>
  <c r="BW310" i="1"/>
  <c r="CR308" i="1"/>
  <c r="BT308" i="1"/>
  <c r="CX306" i="1"/>
  <c r="BZ306" i="1"/>
  <c r="CR304" i="1"/>
  <c r="BT304" i="1"/>
  <c r="CR302" i="1"/>
  <c r="BT302" i="1"/>
  <c r="BZ300" i="1"/>
  <c r="CF298" i="1"/>
  <c r="CX296" i="1"/>
  <c r="BZ296" i="1"/>
  <c r="CU293" i="1"/>
  <c r="BW293" i="1"/>
  <c r="CL292" i="1"/>
  <c r="CU291" i="1"/>
  <c r="BW291" i="1"/>
  <c r="CX289" i="1"/>
  <c r="BZ289" i="1"/>
  <c r="CX287" i="1"/>
  <c r="BZ287" i="1"/>
  <c r="CX285" i="1"/>
  <c r="BZ285" i="1"/>
  <c r="CF283" i="1"/>
  <c r="CF278" i="1"/>
  <c r="CI278" i="1"/>
  <c r="BT278" i="1"/>
  <c r="CR278" i="1"/>
  <c r="BW278" i="1"/>
  <c r="CU278" i="1"/>
  <c r="BT221" i="1"/>
  <c r="CF221" i="1"/>
  <c r="CL221" i="1"/>
  <c r="CR221" i="1"/>
  <c r="CX221" i="1"/>
  <c r="BQ221" i="1"/>
  <c r="BW221" i="1"/>
  <c r="CX274" i="1"/>
  <c r="BZ215" i="1"/>
  <c r="CL215" i="1"/>
  <c r="CR215" i="1"/>
  <c r="CX215" i="1"/>
  <c r="BW215" i="1"/>
  <c r="CF215" i="1"/>
  <c r="BW212" i="1"/>
  <c r="CU212" i="1"/>
  <c r="BZ212" i="1"/>
  <c r="CX212" i="1"/>
  <c r="CC212" i="1"/>
  <c r="CF212" i="1"/>
  <c r="CI212" i="1"/>
  <c r="BQ212" i="1"/>
  <c r="CO212" i="1"/>
  <c r="BT212" i="1"/>
  <c r="CR212" i="1"/>
  <c r="BW342" i="1"/>
  <c r="CU338" i="1"/>
  <c r="BW338" i="1"/>
  <c r="BW336" i="1"/>
  <c r="BW331" i="1"/>
  <c r="CR326" i="1"/>
  <c r="CI319" i="1"/>
  <c r="BW313" i="1"/>
  <c r="BW311" i="1"/>
  <c r="CL310" i="1"/>
  <c r="CI308" i="1"/>
  <c r="CO306" i="1"/>
  <c r="CI304" i="1"/>
  <c r="CI302" i="1"/>
  <c r="CC292" i="1"/>
  <c r="CL291" i="1"/>
  <c r="CO274" i="1"/>
  <c r="CF230" i="1"/>
  <c r="CL230" i="1"/>
  <c r="CR230" i="1"/>
  <c r="CX230" i="1"/>
  <c r="BW230" i="1"/>
  <c r="BZ230" i="1"/>
  <c r="BQ203" i="1"/>
  <c r="BZ203" i="1"/>
  <c r="CX203" i="1"/>
  <c r="CC203" i="1"/>
  <c r="CF203" i="1"/>
  <c r="CI203" i="1"/>
  <c r="CL203" i="1"/>
  <c r="BT203" i="1"/>
  <c r="CR203" i="1"/>
  <c r="BW203" i="1"/>
  <c r="CU203" i="1"/>
  <c r="CR342" i="1"/>
  <c r="BT342" i="1"/>
  <c r="CR338" i="1"/>
  <c r="BT338" i="1"/>
  <c r="CR336" i="1"/>
  <c r="BT336" i="1"/>
  <c r="CR331" i="1"/>
  <c r="BT331" i="1"/>
  <c r="CL326" i="1"/>
  <c r="CI324" i="1"/>
  <c r="CF319" i="1"/>
  <c r="CL317" i="1"/>
  <c r="BZ316" i="1"/>
  <c r="CR313" i="1"/>
  <c r="BT313" i="1"/>
  <c r="CR311" i="1"/>
  <c r="BT311" i="1"/>
  <c r="CI310" i="1"/>
  <c r="CF308" i="1"/>
  <c r="CL306" i="1"/>
  <c r="CF304" i="1"/>
  <c r="CF302" i="1"/>
  <c r="CL296" i="1"/>
  <c r="CI293" i="1"/>
  <c r="CX292" i="1"/>
  <c r="BZ292" i="1"/>
  <c r="CI291" i="1"/>
  <c r="CL289" i="1"/>
  <c r="CL287" i="1"/>
  <c r="CF276" i="1"/>
  <c r="CI276" i="1"/>
  <c r="BT276" i="1"/>
  <c r="CR276" i="1"/>
  <c r="BW276" i="1"/>
  <c r="CU276" i="1"/>
  <c r="CL274" i="1"/>
  <c r="BZ227" i="1"/>
  <c r="CL227" i="1"/>
  <c r="CR227" i="1"/>
  <c r="CX227" i="1"/>
  <c r="BW227" i="1"/>
  <c r="CF227" i="1"/>
  <c r="CO342" i="1"/>
  <c r="CO338" i="1"/>
  <c r="CO336" i="1"/>
  <c r="CO331" i="1"/>
  <c r="BZ330" i="1"/>
  <c r="CX328" i="1"/>
  <c r="CU327" i="1"/>
  <c r="CI326" i="1"/>
  <c r="CF324" i="1"/>
  <c r="BW323" i="1"/>
  <c r="CC319" i="1"/>
  <c r="CI317" i="1"/>
  <c r="CU316" i="1"/>
  <c r="CO313" i="1"/>
  <c r="CO311" i="1"/>
  <c r="CF310" i="1"/>
  <c r="CC308" i="1"/>
  <c r="CI306" i="1"/>
  <c r="CC304" i="1"/>
  <c r="CC302" i="1"/>
  <c r="CO298" i="1"/>
  <c r="BZ297" i="1"/>
  <c r="CI296" i="1"/>
  <c r="CU295" i="1"/>
  <c r="CU292" i="1"/>
  <c r="BW292" i="1"/>
  <c r="CF291" i="1"/>
  <c r="CI289" i="1"/>
  <c r="CI287" i="1"/>
  <c r="CO283" i="1"/>
  <c r="CO281" i="1"/>
  <c r="CC278" i="1"/>
  <c r="BT277" i="1"/>
  <c r="BW277" i="1"/>
  <c r="CU277" i="1"/>
  <c r="BZ277" i="1"/>
  <c r="CX277" i="1"/>
  <c r="CI277" i="1"/>
  <c r="CL277" i="1"/>
  <c r="BZ186" i="1"/>
  <c r="CX186" i="1"/>
  <c r="BQ186" i="1"/>
  <c r="CO186" i="1"/>
  <c r="CC186" i="1"/>
  <c r="CF186" i="1"/>
  <c r="CI186" i="1"/>
  <c r="CL186" i="1"/>
  <c r="CR186" i="1"/>
  <c r="BT186" i="1"/>
  <c r="BW186" i="1"/>
  <c r="BQ168" i="1"/>
  <c r="CO168" i="1"/>
  <c r="BW168" i="1"/>
  <c r="CX168" i="1"/>
  <c r="CF326" i="1"/>
  <c r="CX319" i="1"/>
  <c r="CC310" i="1"/>
  <c r="CX308" i="1"/>
  <c r="CF306" i="1"/>
  <c r="CX304" i="1"/>
  <c r="CX302" i="1"/>
  <c r="CC291" i="1"/>
  <c r="BQ274" i="1"/>
  <c r="CC274" i="1"/>
  <c r="CF274" i="1"/>
  <c r="CI274" i="1"/>
  <c r="BT274" i="1"/>
  <c r="CR274" i="1"/>
  <c r="BW274" i="1"/>
  <c r="CU274" i="1"/>
  <c r="CC271" i="1"/>
  <c r="CO270" i="1"/>
  <c r="BQ270" i="1"/>
  <c r="CC265" i="1"/>
  <c r="CC262" i="1"/>
  <c r="CL261" i="1"/>
  <c r="CU260" i="1"/>
  <c r="BT260" i="1"/>
  <c r="CF259" i="1"/>
  <c r="CU258" i="1"/>
  <c r="BW258" i="1"/>
  <c r="CC255" i="1"/>
  <c r="CO253" i="1"/>
  <c r="CC248" i="1"/>
  <c r="CL247" i="1"/>
  <c r="CL246" i="1"/>
  <c r="CX245" i="1"/>
  <c r="BZ245" i="1"/>
  <c r="CX242" i="1"/>
  <c r="BZ242" i="1"/>
  <c r="CL241" i="1"/>
  <c r="CX240" i="1"/>
  <c r="CO237" i="1"/>
  <c r="CX232" i="1"/>
  <c r="CX231" i="1"/>
  <c r="BZ231" i="1"/>
  <c r="CL228" i="1"/>
  <c r="CI226" i="1"/>
  <c r="CR225" i="1"/>
  <c r="CR224" i="1"/>
  <c r="BT224" i="1"/>
  <c r="CX222" i="1"/>
  <c r="BZ222" i="1"/>
  <c r="CI220" i="1"/>
  <c r="CI214" i="1"/>
  <c r="CR213" i="1"/>
  <c r="CF209" i="1"/>
  <c r="CL208" i="1"/>
  <c r="CX207" i="1"/>
  <c r="CR206" i="1"/>
  <c r="BT206" i="1"/>
  <c r="BQ202" i="1"/>
  <c r="CI201" i="1"/>
  <c r="CO199" i="1"/>
  <c r="BQ199" i="1"/>
  <c r="CF198" i="1"/>
  <c r="CR197" i="1"/>
  <c r="CO196" i="1"/>
  <c r="CO189" i="1"/>
  <c r="CR188" i="1"/>
  <c r="CU187" i="1"/>
  <c r="CL182" i="1"/>
  <c r="CI180" i="1"/>
  <c r="BZ180" i="1"/>
  <c r="CX180" i="1"/>
  <c r="BZ178" i="1"/>
  <c r="CI177" i="1"/>
  <c r="CL176" i="1"/>
  <c r="CF175" i="1"/>
  <c r="BQ160" i="1"/>
  <c r="CC160" i="1"/>
  <c r="CL160" i="1"/>
  <c r="CO160" i="1"/>
  <c r="CX160" i="1"/>
  <c r="BW160" i="1"/>
  <c r="CX262" i="1"/>
  <c r="BZ262" i="1"/>
  <c r="CI261" i="1"/>
  <c r="CC259" i="1"/>
  <c r="CX255" i="1"/>
  <c r="BZ255" i="1"/>
  <c r="CC253" i="1"/>
  <c r="BZ248" i="1"/>
  <c r="CF247" i="1"/>
  <c r="CI246" i="1"/>
  <c r="CU245" i="1"/>
  <c r="BW245" i="1"/>
  <c r="CX243" i="1"/>
  <c r="CU242" i="1"/>
  <c r="BW242" i="1"/>
  <c r="CI241" i="1"/>
  <c r="CR240" i="1"/>
  <c r="CX234" i="1"/>
  <c r="CR232" i="1"/>
  <c r="CU231" i="1"/>
  <c r="BW231" i="1"/>
  <c r="CU222" i="1"/>
  <c r="BW222" i="1"/>
  <c r="CX217" i="1"/>
  <c r="BW209" i="1"/>
  <c r="CI208" i="1"/>
  <c r="CF201" i="1"/>
  <c r="CL196" i="1"/>
  <c r="CO188" i="1"/>
  <c r="CI187" i="1"/>
  <c r="BZ187" i="1"/>
  <c r="CX187" i="1"/>
  <c r="CF182" i="1"/>
  <c r="BZ179" i="1"/>
  <c r="CX179" i="1"/>
  <c r="BQ179" i="1"/>
  <c r="CO179" i="1"/>
  <c r="CC177" i="1"/>
  <c r="CX162" i="1"/>
  <c r="BQ152" i="1"/>
  <c r="BZ152" i="1"/>
  <c r="CX152" i="1"/>
  <c r="CC152" i="1"/>
  <c r="CF152" i="1"/>
  <c r="CI152" i="1"/>
  <c r="BT152" i="1"/>
  <c r="CR152" i="1"/>
  <c r="BW152" i="1"/>
  <c r="CU152" i="1"/>
  <c r="BW128" i="1"/>
  <c r="CU128" i="1"/>
  <c r="BZ128" i="1"/>
  <c r="CX128" i="1"/>
  <c r="CC128" i="1"/>
  <c r="CF128" i="1"/>
  <c r="CI128" i="1"/>
  <c r="BQ128" i="1"/>
  <c r="CO128" i="1"/>
  <c r="BT128" i="1"/>
  <c r="CR128" i="1"/>
  <c r="BT124" i="1"/>
  <c r="BZ124" i="1"/>
  <c r="CX124" i="1"/>
  <c r="CC124" i="1"/>
  <c r="CF124" i="1"/>
  <c r="CI124" i="1"/>
  <c r="CL124" i="1"/>
  <c r="BQ124" i="1"/>
  <c r="CR124" i="1"/>
  <c r="BW124" i="1"/>
  <c r="CU124" i="1"/>
  <c r="BQ178" i="1"/>
  <c r="CO178" i="1"/>
  <c r="CF178" i="1"/>
  <c r="BT176" i="1"/>
  <c r="CU176" i="1"/>
  <c r="CI176" i="1"/>
  <c r="CC270" i="1"/>
  <c r="CC268" i="1"/>
  <c r="CO262" i="1"/>
  <c r="CX261" i="1"/>
  <c r="BZ261" i="1"/>
  <c r="CI260" i="1"/>
  <c r="CR259" i="1"/>
  <c r="BT259" i="1"/>
  <c r="CI258" i="1"/>
  <c r="CC256" i="1"/>
  <c r="CO255" i="1"/>
  <c r="CX254" i="1"/>
  <c r="CX252" i="1"/>
  <c r="CC249" i="1"/>
  <c r="CO248" i="1"/>
  <c r="CX246" i="1"/>
  <c r="BZ246" i="1"/>
  <c r="CL245" i="1"/>
  <c r="CF243" i="1"/>
  <c r="CL242" i="1"/>
  <c r="CX241" i="1"/>
  <c r="BZ241" i="1"/>
  <c r="BZ240" i="1"/>
  <c r="BT237" i="1"/>
  <c r="CC235" i="1"/>
  <c r="CX233" i="1"/>
  <c r="BZ232" i="1"/>
  <c r="CL231" i="1"/>
  <c r="CU226" i="1"/>
  <c r="BW226" i="1"/>
  <c r="BQ225" i="1"/>
  <c r="CF224" i="1"/>
  <c r="CL223" i="1"/>
  <c r="CL222" i="1"/>
  <c r="CU220" i="1"/>
  <c r="BW220" i="1"/>
  <c r="CF217" i="1"/>
  <c r="CU214" i="1"/>
  <c r="BW214" i="1"/>
  <c r="BQ213" i="1"/>
  <c r="CX208" i="1"/>
  <c r="BZ208" i="1"/>
  <c r="BW207" i="1"/>
  <c r="CF206" i="1"/>
  <c r="CF204" i="1"/>
  <c r="CR202" i="1"/>
  <c r="CU201" i="1"/>
  <c r="BW201" i="1"/>
  <c r="CC199" i="1"/>
  <c r="CR198" i="1"/>
  <c r="BQ197" i="1"/>
  <c r="BZ196" i="1"/>
  <c r="BQ193" i="1"/>
  <c r="CL193" i="1"/>
  <c r="CC193" i="1"/>
  <c r="CC188" i="1"/>
  <c r="CF187" i="1"/>
  <c r="BW183" i="1"/>
  <c r="CC183" i="1"/>
  <c r="CR183" i="1"/>
  <c r="CR178" i="1"/>
  <c r="CX177" i="1"/>
  <c r="BQ175" i="1"/>
  <c r="BW175" i="1"/>
  <c r="CU175" i="1"/>
  <c r="CL175" i="1"/>
  <c r="BQ158" i="1"/>
  <c r="CC158" i="1"/>
  <c r="CF158" i="1"/>
  <c r="CI158" i="1"/>
  <c r="CL158" i="1"/>
  <c r="BZ158" i="1"/>
  <c r="CX158" i="1"/>
  <c r="CR154" i="1"/>
  <c r="CC272" i="1"/>
  <c r="CL271" i="1"/>
  <c r="CX270" i="1"/>
  <c r="BZ268" i="1"/>
  <c r="CL262" i="1"/>
  <c r="CU261" i="1"/>
  <c r="BT261" i="1"/>
  <c r="CF260" i="1"/>
  <c r="CO259" i="1"/>
  <c r="CF258" i="1"/>
  <c r="CL255" i="1"/>
  <c r="CL254" i="1"/>
  <c r="CU246" i="1"/>
  <c r="BW246" i="1"/>
  <c r="CI245" i="1"/>
  <c r="BW243" i="1"/>
  <c r="CI242" i="1"/>
  <c r="CU241" i="1"/>
  <c r="BW241" i="1"/>
  <c r="BT240" i="1"/>
  <c r="CX238" i="1"/>
  <c r="CL233" i="1"/>
  <c r="BW232" i="1"/>
  <c r="CI231" i="1"/>
  <c r="BT226" i="1"/>
  <c r="CC224" i="1"/>
  <c r="CF223" i="1"/>
  <c r="CI222" i="1"/>
  <c r="BT220" i="1"/>
  <c r="BW217" i="1"/>
  <c r="CX209" i="1"/>
  <c r="CU208" i="1"/>
  <c r="BW208" i="1"/>
  <c r="CC206" i="1"/>
  <c r="CL202" i="1"/>
  <c r="CR201" i="1"/>
  <c r="BT201" i="1"/>
  <c r="BW196" i="1"/>
  <c r="CX192" i="1"/>
  <c r="BW190" i="1"/>
  <c r="CC190" i="1"/>
  <c r="BZ188" i="1"/>
  <c r="CC187" i="1"/>
  <c r="BQ182" i="1"/>
  <c r="CI182" i="1"/>
  <c r="BZ182" i="1"/>
  <c r="CX182" i="1"/>
  <c r="CL178" i="1"/>
  <c r="CF177" i="1"/>
  <c r="BW177" i="1"/>
  <c r="CU177" i="1"/>
  <c r="CX171" i="1"/>
  <c r="BT162" i="1"/>
  <c r="CF162" i="1"/>
  <c r="CI162" i="1"/>
  <c r="CL162" i="1"/>
  <c r="CO162" i="1"/>
  <c r="CC162" i="1"/>
  <c r="BQ156" i="1"/>
  <c r="BZ156" i="1"/>
  <c r="CX156" i="1"/>
  <c r="CC156" i="1"/>
  <c r="CF156" i="1"/>
  <c r="CI156" i="1"/>
  <c r="BT156" i="1"/>
  <c r="CR156" i="1"/>
  <c r="BW156" i="1"/>
  <c r="CU156" i="1"/>
  <c r="CO154" i="1"/>
  <c r="BW144" i="1"/>
  <c r="CU144" i="1"/>
  <c r="BZ144" i="1"/>
  <c r="CX144" i="1"/>
  <c r="CC144" i="1"/>
  <c r="CF144" i="1"/>
  <c r="CI144" i="1"/>
  <c r="BQ144" i="1"/>
  <c r="CO144" i="1"/>
  <c r="BT144" i="1"/>
  <c r="CR144" i="1"/>
  <c r="BW138" i="1"/>
  <c r="CU138" i="1"/>
  <c r="BZ138" i="1"/>
  <c r="CX138" i="1"/>
  <c r="CC138" i="1"/>
  <c r="CF138" i="1"/>
  <c r="CI138" i="1"/>
  <c r="BQ138" i="1"/>
  <c r="CO138" i="1"/>
  <c r="BT138" i="1"/>
  <c r="CR138" i="1"/>
  <c r="BZ111" i="1"/>
  <c r="CX111" i="1"/>
  <c r="CC111" i="1"/>
  <c r="CF111" i="1"/>
  <c r="BQ111" i="1"/>
  <c r="BT111" i="1"/>
  <c r="CR111" i="1"/>
  <c r="CL111" i="1"/>
  <c r="CO111" i="1"/>
  <c r="CU111" i="1"/>
  <c r="BW111" i="1"/>
  <c r="CI111" i="1"/>
  <c r="CI262" i="1"/>
  <c r="CI255" i="1"/>
  <c r="BW254" i="1"/>
  <c r="CX247" i="1"/>
  <c r="CR246" i="1"/>
  <c r="BT246" i="1"/>
  <c r="CF245" i="1"/>
  <c r="BQ243" i="1"/>
  <c r="CF242" i="1"/>
  <c r="CR241" i="1"/>
  <c r="BT241" i="1"/>
  <c r="BQ240" i="1"/>
  <c r="BW233" i="1"/>
  <c r="BQ232" i="1"/>
  <c r="CF231" i="1"/>
  <c r="BZ224" i="1"/>
  <c r="BW223" i="1"/>
  <c r="CF222" i="1"/>
  <c r="BQ217" i="1"/>
  <c r="CR209" i="1"/>
  <c r="CR208" i="1"/>
  <c r="BT208" i="1"/>
  <c r="CX206" i="1"/>
  <c r="BZ206" i="1"/>
  <c r="CF202" i="1"/>
  <c r="CO201" i="1"/>
  <c r="CU199" i="1"/>
  <c r="CX196" i="1"/>
  <c r="BT196" i="1"/>
  <c r="BQ189" i="1"/>
  <c r="CI189" i="1"/>
  <c r="BZ189" i="1"/>
  <c r="CX189" i="1"/>
  <c r="BW187" i="1"/>
  <c r="CU183" i="1"/>
  <c r="CR182" i="1"/>
  <c r="BQ181" i="1"/>
  <c r="BW181" i="1"/>
  <c r="CU181" i="1"/>
  <c r="CL181" i="1"/>
  <c r="CC179" i="1"/>
  <c r="CI178" i="1"/>
  <c r="CO177" i="1"/>
  <c r="CX176" i="1"/>
  <c r="CO175" i="1"/>
  <c r="BQ170" i="1"/>
  <c r="CF170" i="1"/>
  <c r="CI170" i="1"/>
  <c r="CL170" i="1"/>
  <c r="BZ170" i="1"/>
  <c r="CX170" i="1"/>
  <c r="BQ166" i="1"/>
  <c r="CC166" i="1"/>
  <c r="CF166" i="1"/>
  <c r="CI166" i="1"/>
  <c r="CL166" i="1"/>
  <c r="BZ166" i="1"/>
  <c r="CX166" i="1"/>
  <c r="BW119" i="1"/>
  <c r="CU119" i="1"/>
  <c r="BZ119" i="1"/>
  <c r="CX119" i="1"/>
  <c r="CC119" i="1"/>
  <c r="CF119" i="1"/>
  <c r="CI119" i="1"/>
  <c r="BQ119" i="1"/>
  <c r="CO119" i="1"/>
  <c r="BT119" i="1"/>
  <c r="CR119" i="1"/>
  <c r="BT117" i="1"/>
  <c r="CC117" i="1"/>
  <c r="CF117" i="1"/>
  <c r="CI117" i="1"/>
  <c r="CL117" i="1"/>
  <c r="CO117" i="1"/>
  <c r="BW117" i="1"/>
  <c r="CU117" i="1"/>
  <c r="BZ117" i="1"/>
  <c r="CX117" i="1"/>
  <c r="CF262" i="1"/>
  <c r="CF255" i="1"/>
  <c r="CR247" i="1"/>
  <c r="CC245" i="1"/>
  <c r="CC231" i="1"/>
  <c r="CC222" i="1"/>
  <c r="BZ192" i="1"/>
  <c r="CL192" i="1"/>
  <c r="BT188" i="1"/>
  <c r="BW188" i="1"/>
  <c r="CU188" i="1"/>
  <c r="CL188" i="1"/>
  <c r="CC178" i="1"/>
  <c r="CR176" i="1"/>
  <c r="BQ171" i="1"/>
  <c r="CL171" i="1"/>
  <c r="CO171" i="1"/>
  <c r="BT154" i="1"/>
  <c r="CC154" i="1"/>
  <c r="CF154" i="1"/>
  <c r="CI154" i="1"/>
  <c r="CL154" i="1"/>
  <c r="BW154" i="1"/>
  <c r="CU154" i="1"/>
  <c r="BZ154" i="1"/>
  <c r="CX154" i="1"/>
  <c r="BT116" i="1"/>
  <c r="BW116" i="1"/>
  <c r="CU116" i="1"/>
  <c r="CI116" i="1"/>
  <c r="CF116" i="1"/>
  <c r="CL116" i="1"/>
  <c r="CO116" i="1"/>
  <c r="CR116" i="1"/>
  <c r="CX116" i="1"/>
  <c r="BZ116" i="1"/>
  <c r="CC116" i="1"/>
  <c r="CF185" i="1"/>
  <c r="CR184" i="1"/>
  <c r="CX174" i="1"/>
  <c r="BZ174" i="1"/>
  <c r="CI167" i="1"/>
  <c r="CI159" i="1"/>
  <c r="CL157" i="1"/>
  <c r="CI155" i="1"/>
  <c r="CL153" i="1"/>
  <c r="CI151" i="1"/>
  <c r="CU150" i="1"/>
  <c r="BW150" i="1"/>
  <c r="CF149" i="1"/>
  <c r="CU148" i="1"/>
  <c r="BW148" i="1"/>
  <c r="CL147" i="1"/>
  <c r="CU146" i="1"/>
  <c r="BW146" i="1"/>
  <c r="CF145" i="1"/>
  <c r="CC141" i="1"/>
  <c r="CC133" i="1"/>
  <c r="CO132" i="1"/>
  <c r="BQ132" i="1"/>
  <c r="CF131" i="1"/>
  <c r="CI127" i="1"/>
  <c r="CR126" i="1"/>
  <c r="BT126" i="1"/>
  <c r="CF125" i="1"/>
  <c r="CI123" i="1"/>
  <c r="CU122" i="1"/>
  <c r="CU121" i="1"/>
  <c r="BW121" i="1"/>
  <c r="CL120" i="1"/>
  <c r="CI118" i="1"/>
  <c r="BT26" i="1"/>
  <c r="BZ26" i="1"/>
  <c r="CX26" i="1"/>
  <c r="CC26" i="1"/>
  <c r="CF26" i="1"/>
  <c r="CI26" i="1"/>
  <c r="CL26" i="1"/>
  <c r="BQ26" i="1"/>
  <c r="CR26" i="1"/>
  <c r="BW26" i="1"/>
  <c r="CU26" i="1"/>
  <c r="CR148" i="1"/>
  <c r="BT148" i="1"/>
  <c r="CR121" i="1"/>
  <c r="BT121" i="1"/>
  <c r="AI411" i="1"/>
  <c r="W235" i="1"/>
  <c r="Z235" i="1"/>
  <c r="CX169" i="1"/>
  <c r="CU167" i="1"/>
  <c r="BW167" i="1"/>
  <c r="CX165" i="1"/>
  <c r="CU159" i="1"/>
  <c r="BW159" i="1"/>
  <c r="CX157" i="1"/>
  <c r="BZ157" i="1"/>
  <c r="CU155" i="1"/>
  <c r="BW155" i="1"/>
  <c r="BZ153" i="1"/>
  <c r="CI150" i="1"/>
  <c r="CI148" i="1"/>
  <c r="CI146" i="1"/>
  <c r="CC132" i="1"/>
  <c r="CF126" i="1"/>
  <c r="CR125" i="1"/>
  <c r="BT125" i="1"/>
  <c r="BW123" i="1"/>
  <c r="CI121" i="1"/>
  <c r="CU118" i="1"/>
  <c r="BW118" i="1"/>
  <c r="CF115" i="1"/>
  <c r="BT115" i="1"/>
  <c r="CR115" i="1"/>
  <c r="BT113" i="1"/>
  <c r="CC113" i="1"/>
  <c r="CI113" i="1"/>
  <c r="BW113" i="1"/>
  <c r="CU113" i="1"/>
  <c r="CR106" i="1"/>
  <c r="BQ55" i="1"/>
  <c r="CF55" i="1"/>
  <c r="CI55" i="1"/>
  <c r="CR55" i="1"/>
  <c r="CU55" i="1"/>
  <c r="BT55" i="1"/>
  <c r="BW55" i="1"/>
  <c r="CL169" i="1"/>
  <c r="CR167" i="1"/>
  <c r="BT167" i="1"/>
  <c r="CL165" i="1"/>
  <c r="CC163" i="1"/>
  <c r="CR159" i="1"/>
  <c r="BT159" i="1"/>
  <c r="CU157" i="1"/>
  <c r="BW157" i="1"/>
  <c r="CR155" i="1"/>
  <c r="BT155" i="1"/>
  <c r="CU153" i="1"/>
  <c r="BW153" i="1"/>
  <c r="CR151" i="1"/>
  <c r="BT151" i="1"/>
  <c r="CF150" i="1"/>
  <c r="CO149" i="1"/>
  <c r="CF148" i="1"/>
  <c r="CU147" i="1"/>
  <c r="BW147" i="1"/>
  <c r="CF146" i="1"/>
  <c r="CC142" i="1"/>
  <c r="CL141" i="1"/>
  <c r="BZ140" i="1"/>
  <c r="CC136" i="1"/>
  <c r="CC134" i="1"/>
  <c r="CL133" i="1"/>
  <c r="CX132" i="1"/>
  <c r="BZ132" i="1"/>
  <c r="CO131" i="1"/>
  <c r="CC126" i="1"/>
  <c r="CO125" i="1"/>
  <c r="CR123" i="1"/>
  <c r="BT123" i="1"/>
  <c r="BW122" i="1"/>
  <c r="CF121" i="1"/>
  <c r="CR118" i="1"/>
  <c r="BT118" i="1"/>
  <c r="CO115" i="1"/>
  <c r="CI106" i="1"/>
  <c r="BT64" i="1"/>
  <c r="BZ64" i="1"/>
  <c r="CX64" i="1"/>
  <c r="CC64" i="1"/>
  <c r="CF64" i="1"/>
  <c r="CI64" i="1"/>
  <c r="CL64" i="1"/>
  <c r="BQ64" i="1"/>
  <c r="CR64" i="1"/>
  <c r="BW64" i="1"/>
  <c r="CU64" i="1"/>
  <c r="BW51" i="1"/>
  <c r="CU51" i="1"/>
  <c r="BZ51" i="1"/>
  <c r="CX51" i="1"/>
  <c r="CC51" i="1"/>
  <c r="CF51" i="1"/>
  <c r="CI51" i="1"/>
  <c r="BQ51" i="1"/>
  <c r="CO51" i="1"/>
  <c r="BT51" i="1"/>
  <c r="CR51" i="1"/>
  <c r="X16" i="1"/>
  <c r="CO167" i="1"/>
  <c r="CO159" i="1"/>
  <c r="CO155" i="1"/>
  <c r="CC150" i="1"/>
  <c r="CC148" i="1"/>
  <c r="CC146" i="1"/>
  <c r="CI141" i="1"/>
  <c r="CI133" i="1"/>
  <c r="CU132" i="1"/>
  <c r="BW132" i="1"/>
  <c r="CX126" i="1"/>
  <c r="BZ126" i="1"/>
  <c r="CC121" i="1"/>
  <c r="CO118" i="1"/>
  <c r="CL115" i="1"/>
  <c r="CX113" i="1"/>
  <c r="CX150" i="1"/>
  <c r="BZ150" i="1"/>
  <c r="CX148" i="1"/>
  <c r="CX146" i="1"/>
  <c r="BZ146" i="1"/>
  <c r="CR132" i="1"/>
  <c r="CU126" i="1"/>
  <c r="BW126" i="1"/>
  <c r="CX121" i="1"/>
  <c r="BT106" i="1"/>
  <c r="BW106" i="1"/>
  <c r="CU106" i="1"/>
  <c r="BZ106" i="1"/>
  <c r="CX106" i="1"/>
  <c r="CC106" i="1"/>
  <c r="CL106" i="1"/>
  <c r="CO106" i="1"/>
  <c r="BQ68" i="1"/>
  <c r="CR68" i="1"/>
  <c r="CC68" i="1"/>
  <c r="CI68" i="1"/>
  <c r="CO32" i="1"/>
  <c r="BW32" i="1"/>
  <c r="CL32" i="1"/>
  <c r="CI114" i="1"/>
  <c r="CF112" i="1"/>
  <c r="CC109" i="1"/>
  <c r="CO108" i="1"/>
  <c r="BQ108" i="1"/>
  <c r="CF107" i="1"/>
  <c r="CO104" i="1"/>
  <c r="BQ104" i="1"/>
  <c r="CF103" i="1"/>
  <c r="CO102" i="1"/>
  <c r="CO100" i="1"/>
  <c r="BQ100" i="1"/>
  <c r="CO98" i="1"/>
  <c r="BQ98" i="1"/>
  <c r="CF97" i="1"/>
  <c r="CR95" i="1"/>
  <c r="CF94" i="1"/>
  <c r="CX91" i="1"/>
  <c r="BZ91" i="1"/>
  <c r="CC89" i="1"/>
  <c r="CL88" i="1"/>
  <c r="CL86" i="1"/>
  <c r="CR83" i="1"/>
  <c r="BQ83" i="1"/>
  <c r="CF82" i="1"/>
  <c r="CI81" i="1"/>
  <c r="BW80" i="1"/>
  <c r="CI79" i="1"/>
  <c r="CX78" i="1"/>
  <c r="CO76" i="1"/>
  <c r="BW66" i="1"/>
  <c r="CF65" i="1"/>
  <c r="CI62" i="1"/>
  <c r="CC52" i="1"/>
  <c r="CI50" i="1"/>
  <c r="CX49" i="1"/>
  <c r="BZ49" i="1"/>
  <c r="CL48" i="1"/>
  <c r="CX47" i="1"/>
  <c r="CO44" i="1"/>
  <c r="CX43" i="1"/>
  <c r="CO38" i="1"/>
  <c r="BQ38" i="1"/>
  <c r="CF37" i="1"/>
  <c r="CR36" i="1"/>
  <c r="BT36" i="1"/>
  <c r="CR34" i="1"/>
  <c r="BT34" i="1"/>
  <c r="CI31" i="1"/>
  <c r="CI29" i="1"/>
  <c r="BW28" i="1"/>
  <c r="CF27" i="1"/>
  <c r="CU23" i="1"/>
  <c r="BW23" i="1"/>
  <c r="CL22" i="1"/>
  <c r="CX21" i="1"/>
  <c r="W234" i="1"/>
  <c r="X23" i="1"/>
  <c r="X17" i="1"/>
  <c r="CL102" i="1"/>
  <c r="CU92" i="1"/>
  <c r="CU91" i="1"/>
  <c r="BW91" i="1"/>
  <c r="CX89" i="1"/>
  <c r="BZ89" i="1"/>
  <c r="CI88" i="1"/>
  <c r="CF79" i="1"/>
  <c r="CC65" i="1"/>
  <c r="CF50" i="1"/>
  <c r="CU49" i="1"/>
  <c r="BW49" i="1"/>
  <c r="CI48" i="1"/>
  <c r="CL47" i="1"/>
  <c r="CL44" i="1"/>
  <c r="CL43" i="1"/>
  <c r="CF31" i="1"/>
  <c r="BZ29" i="1"/>
  <c r="CC27" i="1"/>
  <c r="CR23" i="1"/>
  <c r="BT23" i="1"/>
  <c r="CI22" i="1"/>
  <c r="CU21" i="1"/>
  <c r="CR365" i="1"/>
  <c r="AA221" i="1"/>
  <c r="X29" i="1"/>
  <c r="X26" i="1"/>
  <c r="W20" i="1"/>
  <c r="CC22" i="1"/>
  <c r="W228" i="1"/>
  <c r="Q291" i="1"/>
  <c r="X25" i="1"/>
  <c r="X22" i="1"/>
  <c r="V19" i="1"/>
  <c r="CU114" i="1"/>
  <c r="BW114" i="1"/>
  <c r="CR112" i="1"/>
  <c r="BT112" i="1"/>
  <c r="CC108" i="1"/>
  <c r="CC104" i="1"/>
  <c r="CC102" i="1"/>
  <c r="CC100" i="1"/>
  <c r="CC98" i="1"/>
  <c r="CR97" i="1"/>
  <c r="CR94" i="1"/>
  <c r="BT94" i="1"/>
  <c r="CF92" i="1"/>
  <c r="CL91" i="1"/>
  <c r="CO89" i="1"/>
  <c r="CX88" i="1"/>
  <c r="BZ88" i="1"/>
  <c r="BW86" i="1"/>
  <c r="CF83" i="1"/>
  <c r="CR82" i="1"/>
  <c r="CU79" i="1"/>
  <c r="BW79" i="1"/>
  <c r="BW78" i="1"/>
  <c r="BT76" i="1"/>
  <c r="CI74" i="1"/>
  <c r="CL67" i="1"/>
  <c r="CR65" i="1"/>
  <c r="BT65" i="1"/>
  <c r="CX62" i="1"/>
  <c r="BQ62" i="1"/>
  <c r="CC53" i="1"/>
  <c r="CO52" i="1"/>
  <c r="CU50" i="1"/>
  <c r="BW50" i="1"/>
  <c r="CL49" i="1"/>
  <c r="CX48" i="1"/>
  <c r="BZ48" i="1"/>
  <c r="CC44" i="1"/>
  <c r="CC40" i="1"/>
  <c r="CR37" i="1"/>
  <c r="BQ37" i="1"/>
  <c r="CF36" i="1"/>
  <c r="BW35" i="1"/>
  <c r="CF34" i="1"/>
  <c r="CI33" i="1"/>
  <c r="CU31" i="1"/>
  <c r="BW31" i="1"/>
  <c r="CX28" i="1"/>
  <c r="CR27" i="1"/>
  <c r="BT27" i="1"/>
  <c r="CL24" i="1"/>
  <c r="CI23" i="1"/>
  <c r="CX22" i="1"/>
  <c r="BZ22" i="1"/>
  <c r="BZ21" i="1"/>
  <c r="Z63" i="1"/>
  <c r="W28" i="1"/>
  <c r="X19" i="1"/>
  <c r="CX108" i="1"/>
  <c r="BZ108" i="1"/>
  <c r="CX104" i="1"/>
  <c r="BZ104" i="1"/>
  <c r="CX102" i="1"/>
  <c r="BZ102" i="1"/>
  <c r="CX100" i="1"/>
  <c r="BZ100" i="1"/>
  <c r="CX98" i="1"/>
  <c r="BZ98" i="1"/>
  <c r="BW92" i="1"/>
  <c r="CI91" i="1"/>
  <c r="CL89" i="1"/>
  <c r="CU88" i="1"/>
  <c r="BW88" i="1"/>
  <c r="CX86" i="1"/>
  <c r="CC83" i="1"/>
  <c r="CX80" i="1"/>
  <c r="CR79" i="1"/>
  <c r="BT79" i="1"/>
  <c r="BZ74" i="1"/>
  <c r="CO65" i="1"/>
  <c r="CR50" i="1"/>
  <c r="BT50" i="1"/>
  <c r="CI49" i="1"/>
  <c r="CU48" i="1"/>
  <c r="BW48" i="1"/>
  <c r="CX44" i="1"/>
  <c r="BZ44" i="1"/>
  <c r="BZ33" i="1"/>
  <c r="CR31" i="1"/>
  <c r="BT31" i="1"/>
  <c r="CX29" i="1"/>
  <c r="CO27" i="1"/>
  <c r="CF23" i="1"/>
  <c r="CU22" i="1"/>
  <c r="BW22" i="1"/>
  <c r="Q290" i="1"/>
  <c r="W24" i="1"/>
  <c r="CL112" i="1"/>
  <c r="CU108" i="1"/>
  <c r="CU104" i="1"/>
  <c r="CU102" i="1"/>
  <c r="BW102" i="1"/>
  <c r="CU100" i="1"/>
  <c r="CU98" i="1"/>
  <c r="BT92" i="1"/>
  <c r="CF91" i="1"/>
  <c r="CI89" i="1"/>
  <c r="CR88" i="1"/>
  <c r="BT88" i="1"/>
  <c r="CX83" i="1"/>
  <c r="BZ83" i="1"/>
  <c r="CU80" i="1"/>
  <c r="CO79" i="1"/>
  <c r="BT74" i="1"/>
  <c r="CO50" i="1"/>
  <c r="CF49" i="1"/>
  <c r="CR48" i="1"/>
  <c r="BT48" i="1"/>
  <c r="CU44" i="1"/>
  <c r="BW44" i="1"/>
  <c r="CO31" i="1"/>
  <c r="CU29" i="1"/>
  <c r="CR22" i="1"/>
  <c r="BQ22" i="1"/>
  <c r="CC365" i="1"/>
  <c r="S196" i="1"/>
  <c r="X21" i="1"/>
  <c r="X18" i="1"/>
  <c r="CC91" i="1"/>
  <c r="CC49" i="1"/>
  <c r="W152" i="1"/>
  <c r="X152" i="1"/>
  <c r="V29" i="1"/>
  <c r="X27" i="1"/>
  <c r="AE205" i="1"/>
  <c r="AE213" i="1"/>
  <c r="BJ348" i="1"/>
  <c r="BK348" i="1"/>
  <c r="BJ333" i="1"/>
  <c r="Q212" i="1"/>
  <c r="W232" i="1"/>
  <c r="BJ349" i="1"/>
  <c r="S25" i="1"/>
  <c r="S17" i="1"/>
  <c r="V17" i="1"/>
  <c r="V18" i="1"/>
  <c r="BJ347" i="1"/>
  <c r="AF38" i="1"/>
  <c r="BJ352" i="1"/>
  <c r="BK352" i="1"/>
  <c r="BJ339" i="1"/>
  <c r="AF40" i="1"/>
  <c r="BJ337" i="1"/>
  <c r="BJ335" i="1"/>
  <c r="BT61" i="1"/>
  <c r="CX56" i="1"/>
  <c r="BZ56" i="1"/>
  <c r="CU56" i="1"/>
  <c r="BW56" i="1"/>
  <c r="CR56" i="1"/>
  <c r="BT56" i="1"/>
  <c r="CX63" i="1"/>
  <c r="BZ63" i="1"/>
  <c r="CU61" i="1"/>
  <c r="CO63" i="1"/>
  <c r="BQ63" i="1"/>
  <c r="CF61" i="1"/>
  <c r="CL63" i="1"/>
  <c r="CI63" i="1"/>
  <c r="CF63" i="1"/>
  <c r="CC63" i="1"/>
  <c r="CU59" i="1"/>
  <c r="CO56" i="1"/>
  <c r="BQ56" i="1"/>
  <c r="CI56" i="1"/>
  <c r="CL56" i="1"/>
  <c r="CU63" i="1"/>
  <c r="BW63" i="1"/>
  <c r="CR61" i="1"/>
  <c r="CR63" i="1"/>
  <c r="CU57" i="1"/>
  <c r="CF56" i="1"/>
  <c r="BT96" i="1"/>
  <c r="CU96" i="1"/>
  <c r="CR96" i="1"/>
  <c r="CI96" i="1"/>
  <c r="CF96" i="1"/>
  <c r="BW96" i="1"/>
  <c r="BW76" i="1"/>
  <c r="CU74" i="1"/>
  <c r="CF73" i="1"/>
  <c r="BT72" i="1"/>
  <c r="BW70" i="1"/>
  <c r="BQ69" i="1"/>
  <c r="CF68" i="1"/>
  <c r="CO67" i="1"/>
  <c r="CR71" i="1"/>
  <c r="CX69" i="1"/>
  <c r="CX68" i="1"/>
  <c r="BZ68" i="1"/>
  <c r="CI67" i="1"/>
  <c r="CC77" i="1"/>
  <c r="CL76" i="1"/>
  <c r="CX72" i="1"/>
  <c r="CR69" i="1"/>
  <c r="CU68" i="1"/>
  <c r="BT68" i="1"/>
  <c r="CF67" i="1"/>
  <c r="BW77" i="1"/>
  <c r="CU72" i="1"/>
  <c r="CR70" i="1"/>
  <c r="CL69" i="1"/>
  <c r="CC67" i="1"/>
  <c r="CL72" i="1"/>
  <c r="CO70" i="1"/>
  <c r="CF69" i="1"/>
  <c r="CO68" i="1"/>
  <c r="CX67" i="1"/>
  <c r="BZ67" i="1"/>
  <c r="CC76" i="1"/>
  <c r="CR73" i="1"/>
  <c r="CI72" i="1"/>
  <c r="CF70" i="1"/>
  <c r="CC69" i="1"/>
  <c r="CL68" i="1"/>
  <c r="CU67" i="1"/>
  <c r="BW67" i="1"/>
  <c r="BZ72" i="1"/>
  <c r="CC70" i="1"/>
  <c r="AD233" i="1"/>
  <c r="W233" i="1"/>
  <c r="Z233" i="1"/>
  <c r="BJ4" i="1"/>
  <c r="Z231" i="1"/>
  <c r="Q210" i="1"/>
  <c r="Z230" i="1"/>
  <c r="Z229" i="1"/>
  <c r="D48" i="1"/>
  <c r="CU362" i="1"/>
  <c r="CI362" i="1"/>
  <c r="BZ362" i="1"/>
  <c r="BQ359" i="1"/>
  <c r="CU358" i="1"/>
  <c r="CI358" i="1"/>
  <c r="BZ358" i="1"/>
  <c r="BQ353" i="1"/>
  <c r="CU352" i="1"/>
  <c r="CI352" i="1"/>
  <c r="BZ352" i="1"/>
  <c r="BQ350" i="1"/>
  <c r="CU349" i="1"/>
  <c r="CI349" i="1"/>
  <c r="BZ349" i="1"/>
  <c r="CU347" i="1"/>
  <c r="CI347" i="1"/>
  <c r="BZ347" i="1"/>
  <c r="BQ345" i="1"/>
  <c r="CU344" i="1"/>
  <c r="CI344" i="1"/>
  <c r="BZ344" i="1"/>
  <c r="BQ341" i="1"/>
  <c r="CU340" i="1"/>
  <c r="CI340" i="1"/>
  <c r="BZ340" i="1"/>
  <c r="CU337" i="1"/>
  <c r="CI337" i="1"/>
  <c r="BZ337" i="1"/>
  <c r="CU335" i="1"/>
  <c r="CI335" i="1"/>
  <c r="BZ335" i="1"/>
  <c r="CU329" i="1"/>
  <c r="CI329" i="1"/>
  <c r="BZ329" i="1"/>
  <c r="CU325" i="1"/>
  <c r="CI325" i="1"/>
  <c r="BZ325" i="1"/>
  <c r="CL335" i="1"/>
  <c r="BW335" i="1"/>
  <c r="BW325" i="1"/>
  <c r="CR362" i="1"/>
  <c r="CF362" i="1"/>
  <c r="BQ362" i="1"/>
  <c r="CR358" i="1"/>
  <c r="CF358" i="1"/>
  <c r="BQ358" i="1"/>
  <c r="CR352" i="1"/>
  <c r="CF352" i="1"/>
  <c r="BQ352" i="1"/>
  <c r="CR349" i="1"/>
  <c r="CF349" i="1"/>
  <c r="BQ349" i="1"/>
  <c r="CR347" i="1"/>
  <c r="CF347" i="1"/>
  <c r="BQ347" i="1"/>
  <c r="CR344" i="1"/>
  <c r="CF344" i="1"/>
  <c r="BQ344" i="1"/>
  <c r="CR340" i="1"/>
  <c r="CF340" i="1"/>
  <c r="BQ340" i="1"/>
  <c r="CR337" i="1"/>
  <c r="CF337" i="1"/>
  <c r="BQ337" i="1"/>
  <c r="CR335" i="1"/>
  <c r="CF335" i="1"/>
  <c r="BQ335" i="1"/>
  <c r="CU332" i="1"/>
  <c r="CI332" i="1"/>
  <c r="BZ332" i="1"/>
  <c r="CO330" i="1"/>
  <c r="CC330" i="1"/>
  <c r="CR329" i="1"/>
  <c r="CF329" i="1"/>
  <c r="BQ329" i="1"/>
  <c r="CU328" i="1"/>
  <c r="CI328" i="1"/>
  <c r="BZ328" i="1"/>
  <c r="CO326" i="1"/>
  <c r="CC326" i="1"/>
  <c r="CR325" i="1"/>
  <c r="CF325" i="1"/>
  <c r="BQ325" i="1"/>
  <c r="BW352" i="1"/>
  <c r="BW347" i="1"/>
  <c r="BW337" i="1"/>
  <c r="CO362" i="1"/>
  <c r="CC362" i="1"/>
  <c r="CO358" i="1"/>
  <c r="CC358" i="1"/>
  <c r="CO352" i="1"/>
  <c r="CC352" i="1"/>
  <c r="CO349" i="1"/>
  <c r="CC349" i="1"/>
  <c r="CO347" i="1"/>
  <c r="CC347" i="1"/>
  <c r="CO344" i="1"/>
  <c r="CC344" i="1"/>
  <c r="CO340" i="1"/>
  <c r="CC340" i="1"/>
  <c r="CO337" i="1"/>
  <c r="CC337" i="1"/>
  <c r="CO335" i="1"/>
  <c r="CC335" i="1"/>
  <c r="CR332" i="1"/>
  <c r="CF332" i="1"/>
  <c r="CO329" i="1"/>
  <c r="CC329" i="1"/>
  <c r="CR328" i="1"/>
  <c r="CF328" i="1"/>
  <c r="CO325" i="1"/>
  <c r="CC325" i="1"/>
  <c r="BQ323" i="1"/>
  <c r="CO320" i="1"/>
  <c r="CC320" i="1"/>
  <c r="BT320" i="1"/>
  <c r="BT298" i="1"/>
  <c r="BQ297" i="1"/>
  <c r="BT292" i="1"/>
  <c r="BT289" i="1"/>
  <c r="BQ283" i="1"/>
  <c r="BT281" i="1"/>
  <c r="BQ275" i="1"/>
  <c r="BT273" i="1"/>
  <c r="BQ272" i="1"/>
  <c r="BQ269" i="1"/>
  <c r="BT266" i="1"/>
  <c r="BQ258" i="1"/>
  <c r="BQ257" i="1"/>
  <c r="BQ312" i="1"/>
  <c r="BQ306" i="1"/>
  <c r="BQ303" i="1"/>
  <c r="BQ277" i="1"/>
  <c r="BW261" i="1"/>
  <c r="BW260" i="1"/>
  <c r="BQ255" i="1"/>
  <c r="CU254" i="1"/>
  <c r="CI254" i="1"/>
  <c r="BZ254" i="1"/>
  <c r="CX253" i="1"/>
  <c r="CL253" i="1"/>
  <c r="BW253" i="1"/>
  <c r="CL252" i="1"/>
  <c r="BW252" i="1"/>
  <c r="BT251" i="1"/>
  <c r="CC251" i="1"/>
  <c r="BZ251" i="1"/>
  <c r="CI251" i="1"/>
  <c r="CU320" i="1"/>
  <c r="CI320" i="1"/>
  <c r="BZ320" i="1"/>
  <c r="BQ309" i="1"/>
  <c r="BQ305" i="1"/>
  <c r="BQ287" i="1"/>
  <c r="BQ262" i="1"/>
  <c r="CR254" i="1"/>
  <c r="CF254" i="1"/>
  <c r="BQ254" i="1"/>
  <c r="CU253" i="1"/>
  <c r="CI253" i="1"/>
  <c r="BZ253" i="1"/>
  <c r="BQ253" i="1"/>
  <c r="CU252" i="1"/>
  <c r="CI252" i="1"/>
  <c r="BZ252" i="1"/>
  <c r="BQ252" i="1"/>
  <c r="CR320" i="1"/>
  <c r="CF320" i="1"/>
  <c r="CO254" i="1"/>
  <c r="CC254" i="1"/>
  <c r="CR253" i="1"/>
  <c r="CR252" i="1"/>
  <c r="BQ247" i="1"/>
  <c r="BQ236" i="1"/>
  <c r="BQ227" i="1"/>
  <c r="BQ223" i="1"/>
  <c r="BQ219" i="1"/>
  <c r="BQ215" i="1"/>
  <c r="BQ211" i="1"/>
  <c r="BQ207" i="1"/>
  <c r="BQ204" i="1"/>
  <c r="CO247" i="1"/>
  <c r="CC247" i="1"/>
  <c r="BT247" i="1"/>
  <c r="CU243" i="1"/>
  <c r="CI243" i="1"/>
  <c r="BZ243" i="1"/>
  <c r="CO240" i="1"/>
  <c r="CC240" i="1"/>
  <c r="BW240" i="1"/>
  <c r="CU236" i="1"/>
  <c r="CI236" i="1"/>
  <c r="CO233" i="1"/>
  <c r="BT233" i="1"/>
  <c r="CO232" i="1"/>
  <c r="CC232" i="1"/>
  <c r="CO230" i="1"/>
  <c r="CC230" i="1"/>
  <c r="CO227" i="1"/>
  <c r="CC227" i="1"/>
  <c r="BT227" i="1"/>
  <c r="CU225" i="1"/>
  <c r="CI225" i="1"/>
  <c r="BZ225" i="1"/>
  <c r="CO223" i="1"/>
  <c r="CC223" i="1"/>
  <c r="BT223" i="1"/>
  <c r="CU221" i="1"/>
  <c r="CI221" i="1"/>
  <c r="BZ221" i="1"/>
  <c r="CO219" i="1"/>
  <c r="CC219" i="1"/>
  <c r="BT219" i="1"/>
  <c r="CU217" i="1"/>
  <c r="CI217" i="1"/>
  <c r="BZ217" i="1"/>
  <c r="CO215" i="1"/>
  <c r="CC215" i="1"/>
  <c r="BT215" i="1"/>
  <c r="CU213" i="1"/>
  <c r="CI213" i="1"/>
  <c r="BZ213" i="1"/>
  <c r="CO211" i="1"/>
  <c r="CC211" i="1"/>
  <c r="BT211" i="1"/>
  <c r="CU209" i="1"/>
  <c r="CI209" i="1"/>
  <c r="BZ209" i="1"/>
  <c r="CO207" i="1"/>
  <c r="CC207" i="1"/>
  <c r="BT207" i="1"/>
  <c r="CU205" i="1"/>
  <c r="CI205" i="1"/>
  <c r="BZ205" i="1"/>
  <c r="CO204" i="1"/>
  <c r="CC204" i="1"/>
  <c r="BT204" i="1"/>
  <c r="CU202" i="1"/>
  <c r="CI202" i="1"/>
  <c r="BZ202" i="1"/>
  <c r="CO197" i="1"/>
  <c r="CC197" i="1"/>
  <c r="BT197" i="1"/>
  <c r="CR196" i="1"/>
  <c r="CF196" i="1"/>
  <c r="CU195" i="1"/>
  <c r="CI195" i="1"/>
  <c r="BZ195" i="1"/>
  <c r="CF194" i="1"/>
  <c r="BW194" i="1"/>
  <c r="CU247" i="1"/>
  <c r="CI247" i="1"/>
  <c r="CO243" i="1"/>
  <c r="CC243" i="1"/>
  <c r="CU240" i="1"/>
  <c r="CL238" i="1"/>
  <c r="CO236" i="1"/>
  <c r="CC236" i="1"/>
  <c r="CC233" i="1"/>
  <c r="CU232" i="1"/>
  <c r="CI232" i="1"/>
  <c r="CU230" i="1"/>
  <c r="CI230" i="1"/>
  <c r="BQ230" i="1"/>
  <c r="BW229" i="1"/>
  <c r="CU227" i="1"/>
  <c r="CI227" i="1"/>
  <c r="CO225" i="1"/>
  <c r="CC225" i="1"/>
  <c r="CU223" i="1"/>
  <c r="CI223" i="1"/>
  <c r="CO221" i="1"/>
  <c r="CC221" i="1"/>
  <c r="CU219" i="1"/>
  <c r="CI219" i="1"/>
  <c r="CO217" i="1"/>
  <c r="CC217" i="1"/>
  <c r="CU215" i="1"/>
  <c r="CI215" i="1"/>
  <c r="CO213" i="1"/>
  <c r="CC213" i="1"/>
  <c r="CU211" i="1"/>
  <c r="CI211" i="1"/>
  <c r="CO209" i="1"/>
  <c r="CC209" i="1"/>
  <c r="CU207" i="1"/>
  <c r="CI207" i="1"/>
  <c r="CO205" i="1"/>
  <c r="CC205" i="1"/>
  <c r="CU204" i="1"/>
  <c r="CI204" i="1"/>
  <c r="CO202" i="1"/>
  <c r="CC202" i="1"/>
  <c r="CU197" i="1"/>
  <c r="CI197" i="1"/>
  <c r="BT193" i="1"/>
  <c r="CR192" i="1"/>
  <c r="CF192" i="1"/>
  <c r="BQ192" i="1"/>
  <c r="CU191" i="1"/>
  <c r="CI191" i="1"/>
  <c r="BZ191" i="1"/>
  <c r="BQ191" i="1"/>
  <c r="CU190" i="1"/>
  <c r="CI190" i="1"/>
  <c r="BZ190" i="1"/>
  <c r="BQ190" i="1"/>
  <c r="CF184" i="1"/>
  <c r="BQ184" i="1"/>
  <c r="BZ183" i="1"/>
  <c r="BQ183" i="1"/>
  <c r="CF176" i="1"/>
  <c r="BQ176" i="1"/>
  <c r="CL172" i="1"/>
  <c r="BW171" i="1"/>
  <c r="CL168" i="1"/>
  <c r="BW163" i="1"/>
  <c r="BZ162" i="1"/>
  <c r="BQ162" i="1"/>
  <c r="CL161" i="1"/>
  <c r="BQ157" i="1"/>
  <c r="BQ153" i="1"/>
  <c r="BT150" i="1"/>
  <c r="BT146" i="1"/>
  <c r="BT142" i="1"/>
  <c r="BT136" i="1"/>
  <c r="BQ131" i="1"/>
  <c r="BQ127" i="1"/>
  <c r="CI122" i="1"/>
  <c r="BZ122" i="1"/>
  <c r="CO192" i="1"/>
  <c r="CC192" i="1"/>
  <c r="BT192" i="1"/>
  <c r="CR191" i="1"/>
  <c r="CF191" i="1"/>
  <c r="CR190" i="1"/>
  <c r="CF190" i="1"/>
  <c r="CC184" i="1"/>
  <c r="BT184" i="1"/>
  <c r="CO176" i="1"/>
  <c r="CC176" i="1"/>
  <c r="BT171" i="1"/>
  <c r="CC168" i="1"/>
  <c r="BQ134" i="1"/>
  <c r="BQ122" i="1"/>
  <c r="BQ147" i="1"/>
  <c r="BQ143" i="1"/>
  <c r="BQ137" i="1"/>
  <c r="CC122" i="1"/>
  <c r="CU192" i="1"/>
  <c r="CI192" i="1"/>
  <c r="CX191" i="1"/>
  <c r="CL191" i="1"/>
  <c r="CX190" i="1"/>
  <c r="CL190" i="1"/>
  <c r="BT168" i="1"/>
  <c r="CX161" i="1"/>
  <c r="BZ120" i="1"/>
  <c r="BQ117" i="1"/>
  <c r="BQ113" i="1"/>
  <c r="BQ107" i="1"/>
  <c r="BQ103" i="1"/>
  <c r="BQ99" i="1"/>
  <c r="CR80" i="1"/>
  <c r="CF80" i="1"/>
  <c r="BQ80" i="1"/>
  <c r="CR78" i="1"/>
  <c r="CF78" i="1"/>
  <c r="BQ78" i="1"/>
  <c r="CI77" i="1"/>
  <c r="BZ77" i="1"/>
  <c r="CR74" i="1"/>
  <c r="CF74" i="1"/>
  <c r="BW74" i="1"/>
  <c r="CX73" i="1"/>
  <c r="CC73" i="1"/>
  <c r="CR72" i="1"/>
  <c r="CF72" i="1"/>
  <c r="CF71" i="1"/>
  <c r="CX70" i="1"/>
  <c r="CL70" i="1"/>
  <c r="BZ70" i="1"/>
  <c r="BQ120" i="1"/>
  <c r="BQ116" i="1"/>
  <c r="BQ106" i="1"/>
  <c r="BQ102" i="1"/>
  <c r="CF85" i="1"/>
  <c r="CO80" i="1"/>
  <c r="CC80" i="1"/>
  <c r="BT80" i="1"/>
  <c r="CO78" i="1"/>
  <c r="CC78" i="1"/>
  <c r="BT78" i="1"/>
  <c r="CF77" i="1"/>
  <c r="CO74" i="1"/>
  <c r="CC74" i="1"/>
  <c r="CO72" i="1"/>
  <c r="CC72" i="1"/>
  <c r="BW72" i="1"/>
  <c r="CU70" i="1"/>
  <c r="CI70" i="1"/>
  <c r="BQ89" i="1"/>
  <c r="CF95" i="1"/>
  <c r="BQ86" i="1"/>
  <c r="CR85" i="1"/>
  <c r="BW84" i="1"/>
  <c r="CI80" i="1"/>
  <c r="BT70" i="1"/>
  <c r="BW68" i="1"/>
  <c r="BQ67" i="1"/>
  <c r="CU66" i="1"/>
  <c r="CI66" i="1"/>
  <c r="BZ66" i="1"/>
  <c r="CR59" i="1"/>
  <c r="BW59" i="1"/>
  <c r="CR58" i="1"/>
  <c r="CF54" i="1"/>
  <c r="CU47" i="1"/>
  <c r="CI47" i="1"/>
  <c r="BZ47" i="1"/>
  <c r="BQ44" i="1"/>
  <c r="CU43" i="1"/>
  <c r="CI43" i="1"/>
  <c r="BZ43" i="1"/>
  <c r="CU39" i="1"/>
  <c r="CI39" i="1"/>
  <c r="BZ39" i="1"/>
  <c r="CU35" i="1"/>
  <c r="CI35" i="1"/>
  <c r="BZ35" i="1"/>
  <c r="BT33" i="1"/>
  <c r="CC33" i="1"/>
  <c r="CO33" i="1"/>
  <c r="BQ33" i="1"/>
  <c r="CF33" i="1"/>
  <c r="CR33" i="1"/>
  <c r="CC32" i="1"/>
  <c r="BT32" i="1"/>
  <c r="CR66" i="1"/>
  <c r="CF66" i="1"/>
  <c r="BQ66" i="1"/>
  <c r="BW60" i="1"/>
  <c r="CI59" i="1"/>
  <c r="BT59" i="1"/>
  <c r="CR47" i="1"/>
  <c r="CF47" i="1"/>
  <c r="BQ47" i="1"/>
  <c r="CR43" i="1"/>
  <c r="CF43" i="1"/>
  <c r="BQ43" i="1"/>
  <c r="CR39" i="1"/>
  <c r="CF39" i="1"/>
  <c r="BQ39" i="1"/>
  <c r="CR35" i="1"/>
  <c r="CF35" i="1"/>
  <c r="BQ35" i="1"/>
  <c r="CX32" i="1"/>
  <c r="CO66" i="1"/>
  <c r="CC66" i="1"/>
  <c r="CF59" i="1"/>
  <c r="CO47" i="1"/>
  <c r="CC47" i="1"/>
  <c r="CO43" i="1"/>
  <c r="CC43" i="1"/>
  <c r="CO39" i="1"/>
  <c r="CC39" i="1"/>
  <c r="CO35" i="1"/>
  <c r="CC35" i="1"/>
  <c r="CX33" i="1"/>
  <c r="BQ32" i="1"/>
  <c r="CF32" i="1"/>
  <c r="CR32" i="1"/>
  <c r="BZ32" i="1"/>
  <c r="CI32" i="1"/>
  <c r="CU32" i="1"/>
  <c r="BT28" i="1"/>
  <c r="CC24" i="1"/>
  <c r="BT24" i="1"/>
  <c r="BT20" i="1"/>
  <c r="BQ365" i="1"/>
  <c r="AI195" i="1"/>
  <c r="AL195" i="1"/>
  <c r="Q195" i="1"/>
  <c r="Q197" i="1"/>
  <c r="P346" i="1"/>
  <c r="CR29" i="1"/>
  <c r="CF29" i="1"/>
  <c r="BQ29" i="1"/>
  <c r="CU28" i="1"/>
  <c r="CI28" i="1"/>
  <c r="BZ28" i="1"/>
  <c r="CR25" i="1"/>
  <c r="CF25" i="1"/>
  <c r="BQ25" i="1"/>
  <c r="CU24" i="1"/>
  <c r="CI24" i="1"/>
  <c r="BZ24" i="1"/>
  <c r="CR21" i="1"/>
  <c r="CF21" i="1"/>
  <c r="BQ21" i="1"/>
  <c r="CX20" i="1"/>
  <c r="CL20" i="1"/>
  <c r="BZ20" i="1"/>
  <c r="CO29" i="1"/>
  <c r="CC29" i="1"/>
  <c r="CR28" i="1"/>
  <c r="CF28" i="1"/>
  <c r="CO25" i="1"/>
  <c r="CC25" i="1"/>
  <c r="CR24" i="1"/>
  <c r="CF24" i="1"/>
  <c r="CO21" i="1"/>
  <c r="CC21" i="1"/>
  <c r="CU20" i="1"/>
  <c r="CI20" i="1"/>
  <c r="CC20" i="1"/>
  <c r="DN235" i="1"/>
  <c r="AJ411" i="1"/>
  <c r="AD230" i="1"/>
  <c r="W230" i="1"/>
  <c r="R207" i="1"/>
  <c r="R206" i="1"/>
  <c r="W27" i="1"/>
  <c r="W23" i="1"/>
  <c r="W19" i="1"/>
  <c r="Z19" i="1"/>
  <c r="X28" i="1"/>
  <c r="X24" i="1"/>
  <c r="Z24" i="1"/>
  <c r="X20" i="1"/>
  <c r="Z20" i="1"/>
  <c r="BK5" i="1"/>
  <c r="BK7" i="1"/>
  <c r="BM5" i="1"/>
  <c r="BO5" i="1"/>
  <c r="BO7" i="1"/>
  <c r="BJ200" i="1"/>
  <c r="BQ5" i="1"/>
  <c r="BQ7" i="1"/>
  <c r="BJ262" i="1"/>
  <c r="BS5" i="1"/>
  <c r="BS7" i="1"/>
  <c r="BJ322" i="1"/>
  <c r="BU5" i="1"/>
  <c r="BU7" i="1"/>
  <c r="V28" i="1"/>
  <c r="V24" i="1"/>
  <c r="V20" i="1"/>
  <c r="W26" i="1"/>
  <c r="W22" i="1"/>
  <c r="W18" i="1"/>
  <c r="Z18" i="1"/>
  <c r="S198" i="1"/>
  <c r="AB213" i="1"/>
  <c r="AC213" i="1"/>
  <c r="AD213" i="1"/>
  <c r="Q292" i="1"/>
  <c r="W229" i="1"/>
  <c r="AL20" i="1"/>
  <c r="X15" i="1"/>
  <c r="W29" i="1"/>
  <c r="W25" i="1"/>
  <c r="Z25" i="1"/>
  <c r="W21" i="1"/>
  <c r="Z21" i="1"/>
  <c r="W17" i="1"/>
  <c r="Z17" i="1"/>
  <c r="BL5" i="1"/>
  <c r="BN5" i="1"/>
  <c r="BN7" i="1"/>
  <c r="BJ170" i="1"/>
  <c r="BN8" i="1"/>
  <c r="BK170" i="1"/>
  <c r="BP5" i="1"/>
  <c r="BR5" i="1"/>
  <c r="V26" i="1"/>
  <c r="P84" i="1"/>
  <c r="CF60" i="1"/>
  <c r="Z62" i="1"/>
  <c r="BW57" i="1"/>
  <c r="CO59" i="1"/>
  <c r="CC59" i="1"/>
  <c r="CX58" i="1"/>
  <c r="CI58" i="1"/>
  <c r="BW58" i="1"/>
  <c r="BQ58" i="1"/>
  <c r="CR57" i="1"/>
  <c r="BT57" i="1"/>
  <c r="BT58" i="1"/>
  <c r="CL58" i="1"/>
  <c r="BW61" i="1"/>
  <c r="CR60" i="1"/>
  <c r="CX59" i="1"/>
  <c r="CL59" i="1"/>
  <c r="BZ59" i="1"/>
  <c r="CU58" i="1"/>
  <c r="CF58" i="1"/>
  <c r="CI57" i="1"/>
  <c r="S16" i="1"/>
  <c r="G291" i="1"/>
  <c r="G293" i="1"/>
  <c r="DM235" i="1"/>
  <c r="CU238" i="1"/>
  <c r="BZ238" i="1"/>
  <c r="CI234" i="1"/>
  <c r="CI229" i="1"/>
  <c r="CR238" i="1"/>
  <c r="CF238" i="1"/>
  <c r="BQ238" i="1"/>
  <c r="CU237" i="1"/>
  <c r="CI237" i="1"/>
  <c r="BZ237" i="1"/>
  <c r="CR234" i="1"/>
  <c r="CF234" i="1"/>
  <c r="BQ234" i="1"/>
  <c r="CU233" i="1"/>
  <c r="CI233" i="1"/>
  <c r="BZ233" i="1"/>
  <c r="BT230" i="1"/>
  <c r="CR229" i="1"/>
  <c r="CF229" i="1"/>
  <c r="BQ229" i="1"/>
  <c r="CU228" i="1"/>
  <c r="CI228" i="1"/>
  <c r="BZ228" i="1"/>
  <c r="R221" i="1"/>
  <c r="Q230" i="1"/>
  <c r="CI238" i="1"/>
  <c r="CU234" i="1"/>
  <c r="BZ234" i="1"/>
  <c r="CU229" i="1"/>
  <c r="BZ229" i="1"/>
  <c r="DM229" i="1"/>
  <c r="CO238" i="1"/>
  <c r="CC238" i="1"/>
  <c r="BT238" i="1"/>
  <c r="CR237" i="1"/>
  <c r="CF237" i="1"/>
  <c r="CO234" i="1"/>
  <c r="CC234" i="1"/>
  <c r="BT234" i="1"/>
  <c r="CR233" i="1"/>
  <c r="CF233" i="1"/>
  <c r="CO229" i="1"/>
  <c r="CC229" i="1"/>
  <c r="BT229" i="1"/>
  <c r="CR228" i="1"/>
  <c r="CF228" i="1"/>
  <c r="X221" i="1"/>
  <c r="V234" i="1"/>
  <c r="X234" i="1"/>
  <c r="Z225" i="1"/>
  <c r="P227" i="1"/>
  <c r="S227" i="1"/>
  <c r="P226" i="1"/>
  <c r="S226" i="1"/>
  <c r="P233" i="1"/>
  <c r="S233" i="1"/>
  <c r="P229" i="1"/>
  <c r="S229" i="1"/>
  <c r="P232" i="1"/>
  <c r="S232" i="1"/>
  <c r="P234" i="1"/>
  <c r="S234" i="1"/>
  <c r="P228" i="1"/>
  <c r="S228" i="1"/>
  <c r="P236" i="1"/>
  <c r="S236" i="1"/>
  <c r="P230" i="1"/>
  <c r="S230" i="1"/>
  <c r="P225" i="1"/>
  <c r="S225" i="1"/>
  <c r="P235" i="1"/>
  <c r="S235" i="1"/>
  <c r="P231" i="1"/>
  <c r="S231" i="1"/>
  <c r="Q232" i="1"/>
  <c r="R232" i="1"/>
  <c r="Q227" i="1"/>
  <c r="Q235" i="1"/>
  <c r="Y235" i="1"/>
  <c r="AA235" i="1"/>
  <c r="Q471" i="1"/>
  <c r="Y332" i="1"/>
  <c r="AO332" i="1"/>
  <c r="V207" i="1"/>
  <c r="V213" i="1"/>
  <c r="V214" i="1"/>
  <c r="W214" i="1"/>
  <c r="X214" i="1"/>
  <c r="V216" i="1"/>
  <c r="V205" i="1"/>
  <c r="V212" i="1"/>
  <c r="AE212" i="1"/>
  <c r="S197" i="1"/>
  <c r="Y215" i="1"/>
  <c r="Z215" i="1"/>
  <c r="AA215" i="1"/>
  <c r="AE216" i="1"/>
  <c r="AB212" i="1"/>
  <c r="AB206" i="1"/>
  <c r="AB211" i="1"/>
  <c r="AC211" i="1"/>
  <c r="AD211" i="1"/>
  <c r="AE209" i="1"/>
  <c r="AE208" i="1"/>
  <c r="AE206" i="1"/>
  <c r="AF209" i="1"/>
  <c r="AG209" i="1"/>
  <c r="V215" i="1"/>
  <c r="AE215" i="1"/>
  <c r="AF215" i="1"/>
  <c r="AG215" i="1"/>
  <c r="AE210" i="1"/>
  <c r="AF210" i="1"/>
  <c r="AG210" i="1"/>
  <c r="V209" i="1"/>
  <c r="V208" i="1"/>
  <c r="AE207" i="1"/>
  <c r="AF207" i="1"/>
  <c r="AG207" i="1"/>
  <c r="V206" i="1"/>
  <c r="AF205" i="1"/>
  <c r="AG205" i="1"/>
  <c r="AE214" i="1"/>
  <c r="V211" i="1"/>
  <c r="W211" i="1"/>
  <c r="X211" i="1"/>
  <c r="AE211" i="1"/>
  <c r="V210" i="1"/>
  <c r="W210" i="1"/>
  <c r="X210" i="1"/>
  <c r="S195" i="1"/>
  <c r="S208" i="1"/>
  <c r="AI207" i="1"/>
  <c r="T202" i="1"/>
  <c r="P148" i="1"/>
  <c r="S148" i="1"/>
  <c r="V338" i="1"/>
  <c r="Q153" i="1"/>
  <c r="R153" i="1"/>
  <c r="P154" i="1"/>
  <c r="S154" i="1"/>
  <c r="V344" i="1"/>
  <c r="P146" i="1"/>
  <c r="S146" i="1"/>
  <c r="V336" i="1"/>
  <c r="V149" i="1"/>
  <c r="Y149" i="1"/>
  <c r="P150" i="1"/>
  <c r="S150" i="1"/>
  <c r="V340" i="1"/>
  <c r="Q144" i="1"/>
  <c r="R144" i="1"/>
  <c r="P152" i="1"/>
  <c r="S152" i="1"/>
  <c r="V342" i="1"/>
  <c r="P144" i="1"/>
  <c r="S144" i="1"/>
  <c r="W145" i="1"/>
  <c r="X145" i="1"/>
  <c r="V154" i="1"/>
  <c r="Y154" i="1"/>
  <c r="AL344" i="1"/>
  <c r="V150" i="1"/>
  <c r="Y150" i="1"/>
  <c r="AL340" i="1"/>
  <c r="W148" i="1"/>
  <c r="X148" i="1"/>
  <c r="V145" i="1"/>
  <c r="Y145" i="1"/>
  <c r="V153" i="1"/>
  <c r="Y153" i="1"/>
  <c r="W149" i="1"/>
  <c r="X149" i="1"/>
  <c r="V146" i="1"/>
  <c r="Y146" i="1"/>
  <c r="AL336" i="1"/>
  <c r="V144" i="1"/>
  <c r="Y144" i="1"/>
  <c r="AL334" i="1"/>
  <c r="W153" i="1"/>
  <c r="X153" i="1"/>
  <c r="AK343" i="1"/>
  <c r="CI172" i="1"/>
  <c r="CI169" i="1"/>
  <c r="BZ169" i="1"/>
  <c r="CU165" i="1"/>
  <c r="CI161" i="1"/>
  <c r="CR172" i="1"/>
  <c r="CF172" i="1"/>
  <c r="BQ172" i="1"/>
  <c r="CU171" i="1"/>
  <c r="CI171" i="1"/>
  <c r="BZ171" i="1"/>
  <c r="CR169" i="1"/>
  <c r="CF169" i="1"/>
  <c r="BQ169" i="1"/>
  <c r="CU168" i="1"/>
  <c r="CI168" i="1"/>
  <c r="BZ168" i="1"/>
  <c r="CR165" i="1"/>
  <c r="CF165" i="1"/>
  <c r="BQ165" i="1"/>
  <c r="CU164" i="1"/>
  <c r="CI164" i="1"/>
  <c r="BZ164" i="1"/>
  <c r="CR161" i="1"/>
  <c r="CF161" i="1"/>
  <c r="BQ161" i="1"/>
  <c r="CU160" i="1"/>
  <c r="CI160" i="1"/>
  <c r="BZ160" i="1"/>
  <c r="CU172" i="1"/>
  <c r="BZ172" i="1"/>
  <c r="CU169" i="1"/>
  <c r="CI165" i="1"/>
  <c r="BZ165" i="1"/>
  <c r="CU161" i="1"/>
  <c r="BZ161" i="1"/>
  <c r="CO172" i="1"/>
  <c r="CC172" i="1"/>
  <c r="BT172" i="1"/>
  <c r="CR171" i="1"/>
  <c r="CF171" i="1"/>
  <c r="CO169" i="1"/>
  <c r="CC169" i="1"/>
  <c r="BT169" i="1"/>
  <c r="CR168" i="1"/>
  <c r="CF168" i="1"/>
  <c r="CO165" i="1"/>
  <c r="CC165" i="1"/>
  <c r="BT165" i="1"/>
  <c r="CR164" i="1"/>
  <c r="CF164" i="1"/>
  <c r="CO161" i="1"/>
  <c r="CC161" i="1"/>
  <c r="BT161" i="1"/>
  <c r="CR160" i="1"/>
  <c r="CF160" i="1"/>
  <c r="T146" i="1"/>
  <c r="I156" i="1"/>
  <c r="Q154" i="1"/>
  <c r="R154" i="1"/>
  <c r="Q151" i="1"/>
  <c r="R151" i="1"/>
  <c r="Q149" i="1"/>
  <c r="R149" i="1"/>
  <c r="Q148" i="1"/>
  <c r="R148" i="1"/>
  <c r="Q147" i="1"/>
  <c r="R147" i="1"/>
  <c r="Q145" i="1"/>
  <c r="R145" i="1"/>
  <c r="P155" i="1"/>
  <c r="S155" i="1"/>
  <c r="P153" i="1"/>
  <c r="S153" i="1"/>
  <c r="V343" i="1"/>
  <c r="P151" i="1"/>
  <c r="S151" i="1"/>
  <c r="P149" i="1"/>
  <c r="P147" i="1"/>
  <c r="P145" i="1"/>
  <c r="V155" i="1"/>
  <c r="W154" i="1"/>
  <c r="X154" i="1"/>
  <c r="V151" i="1"/>
  <c r="W150" i="1"/>
  <c r="X150" i="1"/>
  <c r="V147" i="1"/>
  <c r="W146" i="1"/>
  <c r="X146" i="1"/>
  <c r="AK336" i="1"/>
  <c r="Q155" i="1"/>
  <c r="R155" i="1"/>
  <c r="U345" i="1"/>
  <c r="Q152" i="1"/>
  <c r="R152" i="1"/>
  <c r="Q150" i="1"/>
  <c r="R150" i="1"/>
  <c r="W155" i="1"/>
  <c r="X155" i="1"/>
  <c r="V152" i="1"/>
  <c r="W151" i="1"/>
  <c r="X151" i="1"/>
  <c r="V148" i="1"/>
  <c r="W147" i="1"/>
  <c r="X147" i="1"/>
  <c r="CO95" i="1"/>
  <c r="BZ95" i="1"/>
  <c r="CO96" i="1"/>
  <c r="BZ96" i="1"/>
  <c r="CX95" i="1"/>
  <c r="CL95" i="1"/>
  <c r="CC95" i="1"/>
  <c r="BQ95" i="1"/>
  <c r="CO92" i="1"/>
  <c r="BZ92" i="1"/>
  <c r="CX96" i="1"/>
  <c r="CL96" i="1"/>
  <c r="CC96" i="1"/>
  <c r="CU95" i="1"/>
  <c r="CI95" i="1"/>
  <c r="BT95" i="1"/>
  <c r="CO93" i="1"/>
  <c r="BZ93" i="1"/>
  <c r="CX92" i="1"/>
  <c r="CL92" i="1"/>
  <c r="CC92" i="1"/>
  <c r="BW85" i="1"/>
  <c r="CO84" i="1"/>
  <c r="V62" i="1"/>
  <c r="CO85" i="1"/>
  <c r="BZ85" i="1"/>
  <c r="CX84" i="1"/>
  <c r="CL84" i="1"/>
  <c r="CC84" i="1"/>
  <c r="BQ84" i="1"/>
  <c r="CO81" i="1"/>
  <c r="BZ81" i="1"/>
  <c r="BZ84" i="1"/>
  <c r="CO86" i="1"/>
  <c r="BZ86" i="1"/>
  <c r="CX85" i="1"/>
  <c r="CL85" i="1"/>
  <c r="CC85" i="1"/>
  <c r="CU84" i="1"/>
  <c r="CI84" i="1"/>
  <c r="BT84" i="1"/>
  <c r="BZ82" i="1"/>
  <c r="CX81" i="1"/>
  <c r="CL81" i="1"/>
  <c r="CC81" i="1"/>
  <c r="CX75" i="1"/>
  <c r="CL75" i="1"/>
  <c r="CC75" i="1"/>
  <c r="BQ75" i="1"/>
  <c r="CX71" i="1"/>
  <c r="CL71" i="1"/>
  <c r="CC71" i="1"/>
  <c r="BQ71" i="1"/>
  <c r="CU75" i="1"/>
  <c r="CI75" i="1"/>
  <c r="BT75" i="1"/>
  <c r="CO73" i="1"/>
  <c r="BZ73" i="1"/>
  <c r="CU71" i="1"/>
  <c r="CI71" i="1"/>
  <c r="BT71" i="1"/>
  <c r="CO69" i="1"/>
  <c r="BZ69" i="1"/>
  <c r="CO75" i="1"/>
  <c r="BZ75" i="1"/>
  <c r="CU73" i="1"/>
  <c r="CI73" i="1"/>
  <c r="BT73" i="1"/>
  <c r="CO71" i="1"/>
  <c r="BZ71" i="1"/>
  <c r="CU69" i="1"/>
  <c r="CI69" i="1"/>
  <c r="BT69" i="1"/>
  <c r="G86" i="1"/>
  <c r="CO62" i="1"/>
  <c r="BZ62" i="1"/>
  <c r="CX61" i="1"/>
  <c r="CL61" i="1"/>
  <c r="CC61" i="1"/>
  <c r="BQ61" i="1"/>
  <c r="CU60" i="1"/>
  <c r="CI60" i="1"/>
  <c r="BT60" i="1"/>
  <c r="CO58" i="1"/>
  <c r="BZ58" i="1"/>
  <c r="CX57" i="1"/>
  <c r="CL57" i="1"/>
  <c r="CC57" i="1"/>
  <c r="BQ57" i="1"/>
  <c r="CO60" i="1"/>
  <c r="BZ60" i="1"/>
  <c r="CO61" i="1"/>
  <c r="BZ61" i="1"/>
  <c r="CX60" i="1"/>
  <c r="CL60" i="1"/>
  <c r="CC60" i="1"/>
  <c r="CO57" i="1"/>
  <c r="BZ57" i="1"/>
  <c r="CO55" i="1"/>
  <c r="BZ55" i="1"/>
  <c r="CX54" i="1"/>
  <c r="CL54" i="1"/>
  <c r="CC54" i="1"/>
  <c r="BQ54" i="1"/>
  <c r="CO54" i="1"/>
  <c r="BZ54" i="1"/>
  <c r="CX55" i="1"/>
  <c r="CL55" i="1"/>
  <c r="CC55" i="1"/>
  <c r="CU54" i="1"/>
  <c r="CI54" i="1"/>
  <c r="BT54" i="1"/>
  <c r="W16" i="1"/>
  <c r="W15" i="1"/>
  <c r="BJ355" i="1"/>
  <c r="BJ354" i="1"/>
  <c r="BK354" i="1"/>
  <c r="BL354" i="1"/>
  <c r="BM354" i="1"/>
  <c r="BJ357" i="1"/>
  <c r="BJ361" i="1"/>
  <c r="BJ356" i="1"/>
  <c r="BK356" i="1"/>
  <c r="BJ359" i="1"/>
  <c r="BJ363" i="1"/>
  <c r="BJ365" i="1"/>
  <c r="BJ198" i="1"/>
  <c r="BK198" i="1"/>
  <c r="BJ190" i="1"/>
  <c r="BJ184" i="1"/>
  <c r="BJ194" i="1"/>
  <c r="Z227" i="1"/>
  <c r="AD227" i="1"/>
  <c r="BJ345" i="1"/>
  <c r="W227" i="1"/>
  <c r="V227" i="1"/>
  <c r="Y227" i="1"/>
  <c r="BJ353" i="1"/>
  <c r="BJ324" i="1"/>
  <c r="BK324" i="1"/>
  <c r="BL324" i="1"/>
  <c r="BJ331" i="1"/>
  <c r="BJ343" i="1"/>
  <c r="BJ350" i="1"/>
  <c r="BK350" i="1"/>
  <c r="BJ329" i="1"/>
  <c r="BJ341" i="1"/>
  <c r="BJ351" i="1"/>
  <c r="Z232" i="1"/>
  <c r="AD232" i="1"/>
  <c r="BJ160" i="1"/>
  <c r="BK160" i="1"/>
  <c r="AK207" i="1"/>
  <c r="W207" i="1"/>
  <c r="X207" i="1"/>
  <c r="BJ146" i="1"/>
  <c r="BK146" i="1"/>
  <c r="W225" i="1"/>
  <c r="AD235" i="1"/>
  <c r="AF211" i="1"/>
  <c r="AG211" i="1"/>
  <c r="BJ162" i="1"/>
  <c r="BK162" i="1"/>
  <c r="W215" i="1"/>
  <c r="X215" i="1"/>
  <c r="W209" i="1"/>
  <c r="X209" i="1"/>
  <c r="W205" i="1"/>
  <c r="X205" i="1"/>
  <c r="Q206" i="1"/>
  <c r="BK4" i="1"/>
  <c r="AD228" i="1"/>
  <c r="Z228" i="1"/>
  <c r="BO8" i="1"/>
  <c r="BK200" i="1"/>
  <c r="AD234" i="1"/>
  <c r="Z234" i="1"/>
  <c r="Y231" i="1"/>
  <c r="AA231" i="1"/>
  <c r="Y236" i="1"/>
  <c r="AA236" i="1"/>
  <c r="R208" i="1"/>
  <c r="V232" i="1"/>
  <c r="BJ249" i="1"/>
  <c r="BJ232" i="1"/>
  <c r="BK232" i="1"/>
  <c r="BL232" i="1"/>
  <c r="BJ235" i="1"/>
  <c r="BJ236" i="1"/>
  <c r="BK236" i="1"/>
  <c r="BJ237" i="1"/>
  <c r="BJ238" i="1"/>
  <c r="BK238" i="1"/>
  <c r="BJ234" i="1"/>
  <c r="BK234" i="1"/>
  <c r="BJ240" i="1"/>
  <c r="BK240" i="1"/>
  <c r="BJ246" i="1"/>
  <c r="BK246" i="1"/>
  <c r="BJ248" i="1"/>
  <c r="BK248" i="1"/>
  <c r="BJ250" i="1"/>
  <c r="BK250" i="1"/>
  <c r="BJ252" i="1"/>
  <c r="BK252" i="1"/>
  <c r="BJ254" i="1"/>
  <c r="BK254" i="1"/>
  <c r="BJ256" i="1"/>
  <c r="BK256" i="1"/>
  <c r="BJ258" i="1"/>
  <c r="BK258" i="1"/>
  <c r="BJ260" i="1"/>
  <c r="BK260" i="1"/>
  <c r="BJ239" i="1"/>
  <c r="BJ243" i="1"/>
  <c r="BJ244" i="1"/>
  <c r="BK244" i="1"/>
  <c r="BJ245" i="1"/>
  <c r="BJ253" i="1"/>
  <c r="BJ261" i="1"/>
  <c r="BJ241" i="1"/>
  <c r="BJ242" i="1"/>
  <c r="BK242" i="1"/>
  <c r="BJ247" i="1"/>
  <c r="BJ255" i="1"/>
  <c r="BJ233" i="1"/>
  <c r="BJ251" i="1"/>
  <c r="BJ259" i="1"/>
  <c r="BU8" i="1"/>
  <c r="BK361" i="1"/>
  <c r="BJ257" i="1"/>
  <c r="BJ364" i="1"/>
  <c r="BK364" i="1"/>
  <c r="BJ362" i="1"/>
  <c r="BK362" i="1"/>
  <c r="BJ360" i="1"/>
  <c r="BK360" i="1"/>
  <c r="BJ358" i="1"/>
  <c r="BK358" i="1"/>
  <c r="BT8" i="1"/>
  <c r="BJ326" i="1"/>
  <c r="BK326" i="1"/>
  <c r="BJ325" i="1"/>
  <c r="BJ328" i="1"/>
  <c r="BK328" i="1"/>
  <c r="BJ330" i="1"/>
  <c r="BK330" i="1"/>
  <c r="BJ332" i="1"/>
  <c r="BK332" i="1"/>
  <c r="BJ334" i="1"/>
  <c r="BK334" i="1"/>
  <c r="BJ336" i="1"/>
  <c r="BK336" i="1"/>
  <c r="BJ338" i="1"/>
  <c r="BK338" i="1"/>
  <c r="BJ340" i="1"/>
  <c r="BK340" i="1"/>
  <c r="BJ342" i="1"/>
  <c r="BK342" i="1"/>
  <c r="BJ344" i="1"/>
  <c r="BK344" i="1"/>
  <c r="BJ346" i="1"/>
  <c r="BK346" i="1"/>
  <c r="BJ172" i="1"/>
  <c r="BK172" i="1"/>
  <c r="BJ177" i="1"/>
  <c r="BK177" i="1"/>
  <c r="BJ179" i="1"/>
  <c r="BK179" i="1"/>
  <c r="BJ181" i="1"/>
  <c r="BK181" i="1"/>
  <c r="BJ183" i="1"/>
  <c r="BK183" i="1"/>
  <c r="BJ185" i="1"/>
  <c r="BK185" i="1"/>
  <c r="BJ187" i="1"/>
  <c r="BK187" i="1"/>
  <c r="BJ189" i="1"/>
  <c r="BK189" i="1"/>
  <c r="BJ191" i="1"/>
  <c r="BK191" i="1"/>
  <c r="BJ193" i="1"/>
  <c r="BK193" i="1"/>
  <c r="BJ195" i="1"/>
  <c r="BK195" i="1"/>
  <c r="BJ197" i="1"/>
  <c r="BK197" i="1"/>
  <c r="BJ199" i="1"/>
  <c r="BK199" i="1"/>
  <c r="BJ171" i="1"/>
  <c r="BK171" i="1"/>
  <c r="BL171" i="1"/>
  <c r="BJ174" i="1"/>
  <c r="BK174" i="1"/>
  <c r="BJ176" i="1"/>
  <c r="BK176" i="1"/>
  <c r="BJ180" i="1"/>
  <c r="BK180" i="1"/>
  <c r="BJ188" i="1"/>
  <c r="BK188" i="1"/>
  <c r="BJ196" i="1"/>
  <c r="BK196" i="1"/>
  <c r="BJ175" i="1"/>
  <c r="BK175" i="1"/>
  <c r="BJ178" i="1"/>
  <c r="BK178" i="1"/>
  <c r="BJ192" i="1"/>
  <c r="BK192" i="1"/>
  <c r="BJ173" i="1"/>
  <c r="BK173" i="1"/>
  <c r="BJ182" i="1"/>
  <c r="BK182" i="1"/>
  <c r="BJ186" i="1"/>
  <c r="BK186" i="1"/>
  <c r="BJ305" i="1"/>
  <c r="BK305" i="1"/>
  <c r="BS8" i="1"/>
  <c r="BJ143" i="1"/>
  <c r="BJ149" i="1"/>
  <c r="BJ157" i="1"/>
  <c r="BJ165" i="1"/>
  <c r="BM8" i="1"/>
  <c r="BM7" i="1"/>
  <c r="AJ206" i="1"/>
  <c r="AM206" i="1"/>
  <c r="AF214" i="1"/>
  <c r="AG214" i="1"/>
  <c r="Y226" i="1"/>
  <c r="Y230" i="1"/>
  <c r="AA230" i="1"/>
  <c r="V230" i="1"/>
  <c r="Y234" i="1"/>
  <c r="Y228" i="1"/>
  <c r="S15" i="1"/>
  <c r="U15" i="1"/>
  <c r="X232" i="1"/>
  <c r="U334" i="1"/>
  <c r="Z16" i="1"/>
  <c r="Z23" i="1"/>
  <c r="V23" i="1"/>
  <c r="V21" i="1"/>
  <c r="V27" i="1"/>
  <c r="Z26" i="1"/>
  <c r="V22" i="1"/>
  <c r="Z28" i="1"/>
  <c r="Z29" i="1"/>
  <c r="V25" i="1"/>
  <c r="Z22" i="1"/>
  <c r="Z27" i="1"/>
  <c r="Y214" i="1"/>
  <c r="Z214" i="1"/>
  <c r="AA214" i="1"/>
  <c r="Y212" i="1"/>
  <c r="Q234" i="1"/>
  <c r="R234" i="1"/>
  <c r="T234" i="1"/>
  <c r="AD231" i="1"/>
  <c r="W231" i="1"/>
  <c r="Q236" i="1"/>
  <c r="R236" i="1"/>
  <c r="T236" i="1"/>
  <c r="Q231" i="1"/>
  <c r="R231" i="1"/>
  <c r="T231" i="1"/>
  <c r="V16" i="1"/>
  <c r="BK355" i="1"/>
  <c r="BL355" i="1"/>
  <c r="BL356" i="1"/>
  <c r="BV4" i="1"/>
  <c r="Y209" i="1"/>
  <c r="Z209" i="1"/>
  <c r="AA209" i="1"/>
  <c r="V15" i="1"/>
  <c r="V30" i="1" a="1"/>
  <c r="V30" i="1"/>
  <c r="BK347" i="1"/>
  <c r="BK337" i="1"/>
  <c r="BJ163" i="1"/>
  <c r="BK163" i="1"/>
  <c r="BJ155" i="1"/>
  <c r="BJ147" i="1"/>
  <c r="BK147" i="1"/>
  <c r="BJ141" i="1"/>
  <c r="BK141" i="1"/>
  <c r="BJ323" i="1"/>
  <c r="BK323" i="1"/>
  <c r="BJ297" i="1"/>
  <c r="BK297" i="1"/>
  <c r="BJ166" i="1"/>
  <c r="BK166" i="1"/>
  <c r="BJ150" i="1"/>
  <c r="BK150" i="1"/>
  <c r="BJ156" i="1"/>
  <c r="BK156" i="1"/>
  <c r="BK365" i="1"/>
  <c r="AF213" i="1"/>
  <c r="AG213" i="1"/>
  <c r="BK339" i="1"/>
  <c r="BK349" i="1"/>
  <c r="BJ169" i="1"/>
  <c r="BJ161" i="1"/>
  <c r="BK161" i="1"/>
  <c r="BJ153" i="1"/>
  <c r="BK153" i="1"/>
  <c r="BJ145" i="1"/>
  <c r="BK145" i="1"/>
  <c r="BJ140" i="1"/>
  <c r="BK140" i="1"/>
  <c r="BL140" i="1"/>
  <c r="BJ321" i="1"/>
  <c r="BK321" i="1"/>
  <c r="BK325" i="1"/>
  <c r="BL325" i="1"/>
  <c r="BJ154" i="1"/>
  <c r="BK154" i="1"/>
  <c r="BJ168" i="1"/>
  <c r="BK168" i="1"/>
  <c r="BJ152" i="1"/>
  <c r="BK152" i="1"/>
  <c r="BK351" i="1"/>
  <c r="BK345" i="1"/>
  <c r="BK357" i="1"/>
  <c r="AC206" i="1"/>
  <c r="AD206" i="1"/>
  <c r="BJ167" i="1"/>
  <c r="BJ159" i="1"/>
  <c r="BK159" i="1"/>
  <c r="BJ151" i="1"/>
  <c r="BJ144" i="1"/>
  <c r="BK144" i="1"/>
  <c r="BJ142" i="1"/>
  <c r="BK142" i="1"/>
  <c r="BJ313" i="1"/>
  <c r="BK313" i="1"/>
  <c r="BJ314" i="1"/>
  <c r="BK314" i="1"/>
  <c r="BJ158" i="1"/>
  <c r="BK158" i="1"/>
  <c r="BJ164" i="1"/>
  <c r="BK164" i="1"/>
  <c r="BJ148" i="1"/>
  <c r="BK148" i="1"/>
  <c r="BK331" i="1"/>
  <c r="BK359" i="1"/>
  <c r="W213" i="1"/>
  <c r="X213" i="1"/>
  <c r="Y229" i="1"/>
  <c r="AA229" i="1"/>
  <c r="BK327" i="1"/>
  <c r="Y225" i="1"/>
  <c r="AA225" i="1"/>
  <c r="AJ208" i="1"/>
  <c r="BK169" i="1"/>
  <c r="BJ300" i="1"/>
  <c r="BK300" i="1"/>
  <c r="BJ319" i="1"/>
  <c r="BK319" i="1"/>
  <c r="BJ311" i="1"/>
  <c r="BK311" i="1"/>
  <c r="BJ303" i="1"/>
  <c r="BK303" i="1"/>
  <c r="BJ294" i="1"/>
  <c r="BK294" i="1"/>
  <c r="AM207" i="1"/>
  <c r="AJ207" i="1"/>
  <c r="BK353" i="1"/>
  <c r="BK194" i="1"/>
  <c r="T153" i="1"/>
  <c r="S215" i="1"/>
  <c r="T215" i="1"/>
  <c r="AB215" i="1"/>
  <c r="AC215" i="1"/>
  <c r="AD215" i="1"/>
  <c r="AB205" i="1"/>
  <c r="AC205" i="1"/>
  <c r="AD205" i="1"/>
  <c r="AB210" i="1"/>
  <c r="AC210" i="1"/>
  <c r="AD210" i="1"/>
  <c r="Y233" i="1"/>
  <c r="AA233" i="1"/>
  <c r="BR7" i="1"/>
  <c r="BR8" i="1"/>
  <c r="BJ5" i="1"/>
  <c r="E48" i="1"/>
  <c r="BJ298" i="1"/>
  <c r="BK298" i="1"/>
  <c r="BJ310" i="1"/>
  <c r="BK310" i="1"/>
  <c r="BJ304" i="1"/>
  <c r="BK304" i="1"/>
  <c r="BJ320" i="1"/>
  <c r="BK320" i="1"/>
  <c r="BJ302" i="1"/>
  <c r="BJ318" i="1"/>
  <c r="BK318" i="1"/>
  <c r="BJ312" i="1"/>
  <c r="BK312" i="1"/>
  <c r="X230" i="1"/>
  <c r="AB230" i="1"/>
  <c r="AK206" i="1"/>
  <c r="BK167" i="1"/>
  <c r="BK151" i="1"/>
  <c r="BJ308" i="1"/>
  <c r="BK308" i="1"/>
  <c r="BJ317" i="1"/>
  <c r="BJ309" i="1"/>
  <c r="BK309" i="1"/>
  <c r="BJ301" i="1"/>
  <c r="BK301" i="1"/>
  <c r="AL208" i="1"/>
  <c r="BK8" i="1"/>
  <c r="BJ295" i="1"/>
  <c r="BK295" i="1"/>
  <c r="AL207" i="1"/>
  <c r="BK343" i="1"/>
  <c r="U341" i="1"/>
  <c r="S206" i="1"/>
  <c r="T206" i="1"/>
  <c r="AB207" i="1"/>
  <c r="AC207" i="1"/>
  <c r="AD207" i="1"/>
  <c r="AB209" i="1"/>
  <c r="AC209" i="1"/>
  <c r="AD209" i="1"/>
  <c r="AB216" i="1"/>
  <c r="R227" i="1"/>
  <c r="T227" i="1"/>
  <c r="V233" i="1"/>
  <c r="X233" i="1"/>
  <c r="BP7" i="1"/>
  <c r="BP8" i="1"/>
  <c r="Q338" i="1"/>
  <c r="S338" i="1"/>
  <c r="R338" i="1"/>
  <c r="T338" i="1"/>
  <c r="Q334" i="1"/>
  <c r="Q335" i="1"/>
  <c r="Q336" i="1"/>
  <c r="T337" i="1"/>
  <c r="R339" i="1"/>
  <c r="Q340" i="1"/>
  <c r="R342" i="1"/>
  <c r="T342" i="1"/>
  <c r="R344" i="1"/>
  <c r="T344" i="1"/>
  <c r="R334" i="1"/>
  <c r="R335" i="1"/>
  <c r="R336" i="1"/>
  <c r="Q337" i="1"/>
  <c r="R340" i="1"/>
  <c r="T340" i="1"/>
  <c r="Q341" i="1"/>
  <c r="S341" i="1"/>
  <c r="Q343" i="1"/>
  <c r="S343" i="1"/>
  <c r="R345" i="1"/>
  <c r="T345" i="1"/>
  <c r="S334" i="1"/>
  <c r="S335" i="1"/>
  <c r="S336" i="1"/>
  <c r="R337" i="1"/>
  <c r="S339" i="1"/>
  <c r="Q342" i="1"/>
  <c r="S342" i="1"/>
  <c r="Q344" i="1"/>
  <c r="S344" i="1"/>
  <c r="T334" i="1"/>
  <c r="T335" i="1"/>
  <c r="T336" i="1"/>
  <c r="S337" i="1"/>
  <c r="Q339" i="1"/>
  <c r="T339" i="1"/>
  <c r="S340" i="1"/>
  <c r="R341" i="1"/>
  <c r="T341" i="1"/>
  <c r="R343" i="1"/>
  <c r="T343" i="1"/>
  <c r="Q345" i="1"/>
  <c r="S345" i="1"/>
  <c r="BL8" i="1"/>
  <c r="BL7" i="1"/>
  <c r="AF216" i="1"/>
  <c r="AG216" i="1"/>
  <c r="AI206" i="1"/>
  <c r="AL206" i="1"/>
  <c r="BK165" i="1"/>
  <c r="BK157" i="1"/>
  <c r="BK149" i="1"/>
  <c r="BK143" i="1"/>
  <c r="BJ316" i="1"/>
  <c r="BJ293" i="1"/>
  <c r="BK293" i="1"/>
  <c r="BL293" i="1"/>
  <c r="BJ315" i="1"/>
  <c r="BK315" i="1"/>
  <c r="BJ307" i="1"/>
  <c r="BK307" i="1"/>
  <c r="BJ299" i="1"/>
  <c r="BK299" i="1"/>
  <c r="BJ306" i="1"/>
  <c r="BK306" i="1"/>
  <c r="BJ296" i="1"/>
  <c r="BK296" i="1"/>
  <c r="T208" i="1"/>
  <c r="U208" i="1"/>
  <c r="W206" i="1"/>
  <c r="X206" i="1"/>
  <c r="AF206" i="1"/>
  <c r="AG206" i="1"/>
  <c r="AB214" i="1"/>
  <c r="AC214" i="1"/>
  <c r="AD214" i="1"/>
  <c r="AB208" i="1"/>
  <c r="AC208" i="1"/>
  <c r="AD208" i="1"/>
  <c r="R230" i="1"/>
  <c r="T230" i="1"/>
  <c r="BQ8" i="1"/>
  <c r="BK253" i="1"/>
  <c r="AK344" i="1"/>
  <c r="AM344" i="1"/>
  <c r="AK335" i="1"/>
  <c r="E213" i="1"/>
  <c r="V226" i="1"/>
  <c r="V228" i="1"/>
  <c r="X228" i="1"/>
  <c r="V235" i="1"/>
  <c r="X235" i="1"/>
  <c r="AB235" i="1"/>
  <c r="Q229" i="1"/>
  <c r="R229" i="1"/>
  <c r="T229" i="1"/>
  <c r="Q228" i="1"/>
  <c r="R228" i="1"/>
  <c r="T228" i="1"/>
  <c r="Q225" i="1"/>
  <c r="Z212" i="1"/>
  <c r="AA212" i="1"/>
  <c r="AF212" i="1"/>
  <c r="AG212" i="1"/>
  <c r="Q226" i="1"/>
  <c r="Q233" i="1"/>
  <c r="R233" i="1"/>
  <c r="T233" i="1"/>
  <c r="V231" i="1"/>
  <c r="X231" i="1"/>
  <c r="AB231" i="1"/>
  <c r="V225" i="1"/>
  <c r="X225" i="1"/>
  <c r="AB225" i="1"/>
  <c r="V236" i="1"/>
  <c r="X236" i="1"/>
  <c r="AB236" i="1"/>
  <c r="V229" i="1"/>
  <c r="X229" i="1"/>
  <c r="AA234" i="1"/>
  <c r="AB234" i="1"/>
  <c r="Y343" i="1"/>
  <c r="AA228" i="1"/>
  <c r="T232" i="1"/>
  <c r="S237" i="1"/>
  <c r="R235" i="1"/>
  <c r="T235" i="1"/>
  <c r="R226" i="1"/>
  <c r="T226" i="1"/>
  <c r="R225" i="1"/>
  <c r="T225" i="1"/>
  <c r="X227" i="1"/>
  <c r="U206" i="1"/>
  <c r="U215" i="1"/>
  <c r="AH215" i="1"/>
  <c r="X344" i="1"/>
  <c r="CE330" i="1"/>
  <c r="CG330" i="1"/>
  <c r="Y213" i="1"/>
  <c r="Z213" i="1"/>
  <c r="AA213" i="1"/>
  <c r="Y211" i="1"/>
  <c r="Z211" i="1"/>
  <c r="AA211" i="1"/>
  <c r="Y208" i="1"/>
  <c r="Z208" i="1"/>
  <c r="AA208" i="1"/>
  <c r="Y205" i="1"/>
  <c r="Z205" i="1"/>
  <c r="AA205" i="1"/>
  <c r="Y207" i="1"/>
  <c r="Z207" i="1"/>
  <c r="AA207" i="1"/>
  <c r="Y206" i="1"/>
  <c r="Z206" i="1"/>
  <c r="AA206" i="1"/>
  <c r="Y210" i="1"/>
  <c r="Z210" i="1"/>
  <c r="AA210" i="1"/>
  <c r="Y216" i="1"/>
  <c r="Z216" i="1"/>
  <c r="AA216" i="1"/>
  <c r="S214" i="1"/>
  <c r="T214" i="1"/>
  <c r="U214" i="1"/>
  <c r="S207" i="1"/>
  <c r="T207" i="1"/>
  <c r="U207" i="1"/>
  <c r="S210" i="1"/>
  <c r="T210" i="1"/>
  <c r="U210" i="1"/>
  <c r="AH210" i="1"/>
  <c r="X339" i="1"/>
  <c r="S212" i="1"/>
  <c r="T212" i="1"/>
  <c r="U212" i="1"/>
  <c r="S213" i="1"/>
  <c r="T213" i="1"/>
  <c r="U213" i="1"/>
  <c r="AH213" i="1"/>
  <c r="X342" i="1"/>
  <c r="CE268" i="1"/>
  <c r="CG268" i="1"/>
  <c r="S205" i="1"/>
  <c r="T205" i="1"/>
  <c r="U205" i="1"/>
  <c r="S211" i="1"/>
  <c r="T211" i="1"/>
  <c r="U211" i="1"/>
  <c r="S209" i="1"/>
  <c r="T209" i="1"/>
  <c r="U209" i="1"/>
  <c r="AH209" i="1"/>
  <c r="X338" i="1"/>
  <c r="S216" i="1"/>
  <c r="T216" i="1"/>
  <c r="U216" i="1"/>
  <c r="AM336" i="1"/>
  <c r="T148" i="1"/>
  <c r="U342" i="1"/>
  <c r="W342" i="1"/>
  <c r="AK340" i="1"/>
  <c r="AM340" i="1"/>
  <c r="U336" i="1"/>
  <c r="U396" i="1"/>
  <c r="AK339" i="1"/>
  <c r="U338" i="1"/>
  <c r="U398" i="1"/>
  <c r="U343" i="1"/>
  <c r="U403" i="1"/>
  <c r="Z144" i="1"/>
  <c r="J144" i="1"/>
  <c r="AK334" i="1"/>
  <c r="AM334" i="1"/>
  <c r="Y152" i="1"/>
  <c r="AK342" i="1"/>
  <c r="Y151" i="1"/>
  <c r="AK341" i="1"/>
  <c r="S147" i="1"/>
  <c r="U337" i="1"/>
  <c r="Y148" i="1"/>
  <c r="AK338" i="1"/>
  <c r="U340" i="1"/>
  <c r="T150" i="1"/>
  <c r="AK337" i="1"/>
  <c r="Y147" i="1"/>
  <c r="AK345" i="1"/>
  <c r="Y155" i="1"/>
  <c r="T151" i="1"/>
  <c r="V341" i="1"/>
  <c r="U344" i="1"/>
  <c r="T154" i="1"/>
  <c r="AL343" i="1"/>
  <c r="AM343" i="1"/>
  <c r="Z153" i="1"/>
  <c r="J153" i="1"/>
  <c r="D189" i="1"/>
  <c r="T144" i="1"/>
  <c r="V334" i="1"/>
  <c r="AL335" i="1"/>
  <c r="Z145" i="1"/>
  <c r="J145" i="1"/>
  <c r="D181" i="1"/>
  <c r="AL339" i="1"/>
  <c r="Z149" i="1"/>
  <c r="J149" i="1"/>
  <c r="D185" i="1"/>
  <c r="V345" i="1"/>
  <c r="W345" i="1"/>
  <c r="CB360" i="1"/>
  <c r="CD360" i="1"/>
  <c r="T155" i="1"/>
  <c r="S149" i="1"/>
  <c r="U339" i="1"/>
  <c r="S145" i="1"/>
  <c r="U335" i="1"/>
  <c r="Z154" i="1"/>
  <c r="J154" i="1"/>
  <c r="D190" i="1"/>
  <c r="Z150" i="1"/>
  <c r="J150" i="1"/>
  <c r="D186" i="1"/>
  <c r="T152" i="1"/>
  <c r="Z146" i="1"/>
  <c r="J146" i="1"/>
  <c r="D182" i="1"/>
  <c r="AF208" i="1"/>
  <c r="AG208" i="1"/>
  <c r="AG217" i="1"/>
  <c r="AA227" i="1"/>
  <c r="BK302" i="1"/>
  <c r="BK322" i="1"/>
  <c r="BN354" i="1"/>
  <c r="BO354" i="1"/>
  <c r="CZ354" i="1"/>
  <c r="AC216" i="1"/>
  <c r="AD216" i="1"/>
  <c r="W216" i="1"/>
  <c r="X216" i="1"/>
  <c r="BM324" i="1"/>
  <c r="BN324" i="1"/>
  <c r="BK184" i="1"/>
  <c r="AK208" i="1"/>
  <c r="AM208" i="1"/>
  <c r="W208" i="1"/>
  <c r="X208" i="1"/>
  <c r="AI208" i="1"/>
  <c r="BK363" i="1"/>
  <c r="Y232" i="1"/>
  <c r="AA232" i="1"/>
  <c r="AB232" i="1"/>
  <c r="BK317" i="1"/>
  <c r="AC212" i="1"/>
  <c r="AD212" i="1"/>
  <c r="W212" i="1"/>
  <c r="X212" i="1"/>
  <c r="AD226" i="1"/>
  <c r="AD237" i="1"/>
  <c r="Z226" i="1"/>
  <c r="Z237" i="1"/>
  <c r="W226" i="1"/>
  <c r="BK333" i="1"/>
  <c r="BK190" i="1"/>
  <c r="U237" i="1"/>
  <c r="BN356" i="1"/>
  <c r="BM356" i="1"/>
  <c r="BM140" i="1"/>
  <c r="BN140" i="1"/>
  <c r="BK335" i="1"/>
  <c r="BJ51" i="1"/>
  <c r="BK51" i="1"/>
  <c r="BL51" i="1"/>
  <c r="BJ52" i="1"/>
  <c r="BJ56" i="1"/>
  <c r="BJ57" i="1"/>
  <c r="BK57" i="1"/>
  <c r="BJ54" i="1"/>
  <c r="BJ55" i="1"/>
  <c r="BK55" i="1"/>
  <c r="BJ61" i="1"/>
  <c r="BK61" i="1"/>
  <c r="BJ63" i="1"/>
  <c r="BK63" i="1"/>
  <c r="BJ65" i="1"/>
  <c r="BK65" i="1"/>
  <c r="BJ67" i="1"/>
  <c r="BK67" i="1"/>
  <c r="BJ69" i="1"/>
  <c r="BK69" i="1"/>
  <c r="BJ71" i="1"/>
  <c r="BK71" i="1"/>
  <c r="BJ73" i="1"/>
  <c r="BK73" i="1"/>
  <c r="BJ75" i="1"/>
  <c r="BK75" i="1"/>
  <c r="BJ77" i="1"/>
  <c r="BK77" i="1"/>
  <c r="BJ58" i="1"/>
  <c r="BJ59" i="1"/>
  <c r="BK59" i="1"/>
  <c r="BJ60" i="1"/>
  <c r="BJ68" i="1"/>
  <c r="BJ76" i="1"/>
  <c r="BK76" i="1"/>
  <c r="BJ53" i="1"/>
  <c r="BK53" i="1"/>
  <c r="BJ62" i="1"/>
  <c r="BJ70" i="1"/>
  <c r="BJ64" i="1"/>
  <c r="BJ66" i="1"/>
  <c r="BJ74" i="1"/>
  <c r="BJ72" i="1"/>
  <c r="BJ78" i="1"/>
  <c r="BK78" i="1"/>
  <c r="AJ217" i="1"/>
  <c r="L198" i="1"/>
  <c r="BK316" i="1"/>
  <c r="BM171" i="1"/>
  <c r="BN171" i="1"/>
  <c r="BL172" i="1"/>
  <c r="BL357" i="1"/>
  <c r="BM293" i="1"/>
  <c r="BN293" i="1"/>
  <c r="BL294" i="1"/>
  <c r="BL295" i="1"/>
  <c r="BK329" i="1"/>
  <c r="BK341" i="1"/>
  <c r="BM355" i="1"/>
  <c r="BN355" i="1"/>
  <c r="AH214" i="1"/>
  <c r="X343" i="1"/>
  <c r="BJ110" i="1"/>
  <c r="BK110" i="1"/>
  <c r="BL110" i="1"/>
  <c r="BJ113" i="1"/>
  <c r="BK113" i="1"/>
  <c r="BJ115" i="1"/>
  <c r="BK115" i="1"/>
  <c r="BJ117" i="1"/>
  <c r="BK117" i="1"/>
  <c r="BJ119" i="1"/>
  <c r="BK119" i="1"/>
  <c r="BJ121" i="1"/>
  <c r="BK121" i="1"/>
  <c r="BJ123" i="1"/>
  <c r="BK123" i="1"/>
  <c r="BJ125" i="1"/>
  <c r="BK125" i="1"/>
  <c r="BJ127" i="1"/>
  <c r="BK127" i="1"/>
  <c r="BJ129" i="1"/>
  <c r="BK129" i="1"/>
  <c r="BJ131" i="1"/>
  <c r="BK131" i="1"/>
  <c r="BJ133" i="1"/>
  <c r="BK133" i="1"/>
  <c r="BJ135" i="1"/>
  <c r="BK135" i="1"/>
  <c r="BJ137" i="1"/>
  <c r="BK137" i="1"/>
  <c r="BJ112" i="1"/>
  <c r="BK112" i="1"/>
  <c r="BJ124" i="1"/>
  <c r="BK124" i="1"/>
  <c r="BJ130" i="1"/>
  <c r="BK130" i="1"/>
  <c r="BJ116" i="1"/>
  <c r="BK116" i="1"/>
  <c r="BJ118" i="1"/>
  <c r="BK118" i="1"/>
  <c r="BJ120" i="1"/>
  <c r="BK120" i="1"/>
  <c r="BJ126" i="1"/>
  <c r="BK126" i="1"/>
  <c r="BJ136" i="1"/>
  <c r="BK136" i="1"/>
  <c r="BJ134" i="1"/>
  <c r="BK134" i="1"/>
  <c r="BJ111" i="1"/>
  <c r="BK111" i="1"/>
  <c r="BJ138" i="1"/>
  <c r="BK138" i="1"/>
  <c r="BJ132" i="1"/>
  <c r="BK132" i="1"/>
  <c r="BJ128" i="1"/>
  <c r="BK128" i="1"/>
  <c r="BJ114" i="1"/>
  <c r="BK114" i="1"/>
  <c r="BJ139" i="1"/>
  <c r="BK139" i="1"/>
  <c r="BJ122" i="1"/>
  <c r="BK122" i="1"/>
  <c r="BL141" i="1"/>
  <c r="BN232" i="1"/>
  <c r="BM232" i="1"/>
  <c r="Z15" i="1"/>
  <c r="W336" i="1"/>
  <c r="CB90" i="1"/>
  <c r="CD90" i="1"/>
  <c r="Z30" i="1" a="1"/>
  <c r="Z30" i="1"/>
  <c r="R56" i="1"/>
  <c r="S62" i="1"/>
  <c r="W62" i="1"/>
  <c r="BK72" i="1"/>
  <c r="BK68" i="1"/>
  <c r="BK56" i="1"/>
  <c r="CB89" i="1"/>
  <c r="CD89" i="1"/>
  <c r="BK74" i="1"/>
  <c r="BK60" i="1"/>
  <c r="BK52" i="1"/>
  <c r="BK66" i="1"/>
  <c r="AB233" i="1"/>
  <c r="AN207" i="1"/>
  <c r="AN336" i="1"/>
  <c r="BK64" i="1"/>
  <c r="BK58" i="1"/>
  <c r="BK70" i="1"/>
  <c r="BK62" i="1"/>
  <c r="BK54" i="1"/>
  <c r="X217" i="1"/>
  <c r="W341" i="1"/>
  <c r="E211" i="1"/>
  <c r="CB83" i="1"/>
  <c r="CD83" i="1"/>
  <c r="AL217" i="1"/>
  <c r="L200" i="1"/>
  <c r="BK155" i="1"/>
  <c r="CB95" i="1"/>
  <c r="CD95" i="1"/>
  <c r="CB97" i="1"/>
  <c r="CD97" i="1"/>
  <c r="W338" i="1"/>
  <c r="CB99" i="1"/>
  <c r="CD99" i="1"/>
  <c r="CB107" i="1"/>
  <c r="CD107" i="1"/>
  <c r="CB363" i="1"/>
  <c r="CD363" i="1"/>
  <c r="AD217" i="1"/>
  <c r="CB362" i="1"/>
  <c r="CD362" i="1"/>
  <c r="CB93" i="1"/>
  <c r="CD93" i="1"/>
  <c r="CB356" i="1"/>
  <c r="CD356" i="1"/>
  <c r="W343" i="1"/>
  <c r="AB228" i="1"/>
  <c r="Y337" i="1"/>
  <c r="AN206" i="1"/>
  <c r="AI217" i="1"/>
  <c r="L197" i="1"/>
  <c r="AH207" i="1"/>
  <c r="X336" i="1"/>
  <c r="CE109" i="1"/>
  <c r="CG109" i="1"/>
  <c r="Y339" i="1"/>
  <c r="CH176" i="1"/>
  <c r="CJ176" i="1"/>
  <c r="AA62" i="1"/>
  <c r="F88" i="1"/>
  <c r="D107" i="1"/>
  <c r="AI334" i="1"/>
  <c r="BN325" i="1"/>
  <c r="BM325" i="1"/>
  <c r="BL326" i="1"/>
  <c r="BL327" i="1"/>
  <c r="AB229" i="1"/>
  <c r="BK262" i="1"/>
  <c r="AH206" i="1"/>
  <c r="X335" i="1"/>
  <c r="AK217" i="1"/>
  <c r="L199" i="1"/>
  <c r="AM217" i="1"/>
  <c r="L201" i="1"/>
  <c r="L202" i="1"/>
  <c r="E215" i="1"/>
  <c r="BO356" i="1"/>
  <c r="CZ356" i="1"/>
  <c r="BK255" i="1"/>
  <c r="BJ93" i="1"/>
  <c r="BK93" i="1"/>
  <c r="BJ109" i="1"/>
  <c r="BK109" i="1"/>
  <c r="BJ85" i="1"/>
  <c r="BK85" i="1"/>
  <c r="BJ79" i="1"/>
  <c r="BK79" i="1"/>
  <c r="BL79" i="1"/>
  <c r="BJ94" i="1"/>
  <c r="BK94" i="1"/>
  <c r="BJ102" i="1"/>
  <c r="BK102" i="1"/>
  <c r="BJ86" i="1"/>
  <c r="BK86" i="1"/>
  <c r="BJ89" i="1"/>
  <c r="BK89" i="1"/>
  <c r="BJ83" i="1"/>
  <c r="BK83" i="1"/>
  <c r="BJ84" i="1"/>
  <c r="BK84" i="1"/>
  <c r="BJ100" i="1"/>
  <c r="BK100" i="1"/>
  <c r="BJ82" i="1"/>
  <c r="BK82" i="1"/>
  <c r="BJ91" i="1"/>
  <c r="BK91" i="1"/>
  <c r="BJ101" i="1"/>
  <c r="BK101" i="1"/>
  <c r="BJ88" i="1"/>
  <c r="BK88" i="1"/>
  <c r="BJ96" i="1"/>
  <c r="BK96" i="1"/>
  <c r="BJ104" i="1"/>
  <c r="BK104" i="1"/>
  <c r="BJ87" i="1"/>
  <c r="BK87" i="1"/>
  <c r="BJ97" i="1"/>
  <c r="BK97" i="1"/>
  <c r="BJ95" i="1"/>
  <c r="BK95" i="1"/>
  <c r="BJ92" i="1"/>
  <c r="BK92" i="1"/>
  <c r="BJ81" i="1"/>
  <c r="BK81" i="1"/>
  <c r="BJ107" i="1"/>
  <c r="BK107" i="1"/>
  <c r="BJ99" i="1"/>
  <c r="BK99" i="1"/>
  <c r="BJ90" i="1"/>
  <c r="BK90" i="1"/>
  <c r="BJ98" i="1"/>
  <c r="BK98" i="1"/>
  <c r="BJ106" i="1"/>
  <c r="BK106" i="1"/>
  <c r="BJ80" i="1"/>
  <c r="BK80" i="1"/>
  <c r="BJ105" i="1"/>
  <c r="BK105" i="1"/>
  <c r="BJ103" i="1"/>
  <c r="BK103" i="1"/>
  <c r="BJ108" i="1"/>
  <c r="BK108" i="1"/>
  <c r="BK237" i="1"/>
  <c r="T403" i="1"/>
  <c r="BY294" i="1"/>
  <c r="CA294" i="1"/>
  <c r="BY298" i="1"/>
  <c r="CA298" i="1"/>
  <c r="BY304" i="1"/>
  <c r="CA304" i="1"/>
  <c r="BY308" i="1"/>
  <c r="CA308" i="1"/>
  <c r="BY311" i="1"/>
  <c r="CA311" i="1"/>
  <c r="BY314" i="1"/>
  <c r="CA314" i="1"/>
  <c r="BY320" i="1"/>
  <c r="CA320" i="1"/>
  <c r="BY295" i="1"/>
  <c r="CA295" i="1"/>
  <c r="BY299" i="1"/>
  <c r="CA299" i="1"/>
  <c r="BY302" i="1"/>
  <c r="CA302" i="1"/>
  <c r="BY305" i="1"/>
  <c r="CA305" i="1"/>
  <c r="BY309" i="1"/>
  <c r="CA309" i="1"/>
  <c r="BY315" i="1"/>
  <c r="CA315" i="1"/>
  <c r="BY318" i="1"/>
  <c r="CA318" i="1"/>
  <c r="BY321" i="1"/>
  <c r="CA321" i="1"/>
  <c r="BY293" i="1"/>
  <c r="CA293" i="1"/>
  <c r="BY296" i="1"/>
  <c r="CA296" i="1"/>
  <c r="BY300" i="1"/>
  <c r="CA300" i="1"/>
  <c r="BY303" i="1"/>
  <c r="CA303" i="1"/>
  <c r="BY306" i="1"/>
  <c r="CA306" i="1"/>
  <c r="BY312" i="1"/>
  <c r="CA312" i="1"/>
  <c r="BY316" i="1"/>
  <c r="CA316" i="1"/>
  <c r="BY319" i="1"/>
  <c r="CA319" i="1"/>
  <c r="BY297" i="1"/>
  <c r="CA297" i="1"/>
  <c r="BY301" i="1"/>
  <c r="CA301" i="1"/>
  <c r="BY307" i="1"/>
  <c r="CA307" i="1"/>
  <c r="BY310" i="1"/>
  <c r="CA310" i="1"/>
  <c r="BY313" i="1"/>
  <c r="CA313" i="1"/>
  <c r="BY317" i="1"/>
  <c r="CA317" i="1"/>
  <c r="BY323" i="1"/>
  <c r="CA323" i="1"/>
  <c r="BY322" i="1"/>
  <c r="CA322" i="1"/>
  <c r="S400" i="1"/>
  <c r="BV204" i="1"/>
  <c r="BX204" i="1"/>
  <c r="BV207" i="1"/>
  <c r="BX207" i="1"/>
  <c r="BV211" i="1"/>
  <c r="BX211" i="1"/>
  <c r="BV215" i="1"/>
  <c r="BX215" i="1"/>
  <c r="BV219" i="1"/>
  <c r="BX219" i="1"/>
  <c r="BV223" i="1"/>
  <c r="BX223" i="1"/>
  <c r="BV227" i="1"/>
  <c r="BX227" i="1"/>
  <c r="BV231" i="1"/>
  <c r="BX231" i="1"/>
  <c r="BV208" i="1"/>
  <c r="BX208" i="1"/>
  <c r="BV212" i="1"/>
  <c r="BX212" i="1"/>
  <c r="BV216" i="1"/>
  <c r="BX216" i="1"/>
  <c r="BV220" i="1"/>
  <c r="BX220" i="1"/>
  <c r="BV224" i="1"/>
  <c r="BX224" i="1"/>
  <c r="BV202" i="1"/>
  <c r="BX202" i="1"/>
  <c r="BV205" i="1"/>
  <c r="BX205" i="1"/>
  <c r="BV209" i="1"/>
  <c r="BX209" i="1"/>
  <c r="BV213" i="1"/>
  <c r="BX213" i="1"/>
  <c r="BV217" i="1"/>
  <c r="BX217" i="1"/>
  <c r="BV221" i="1"/>
  <c r="BX221" i="1"/>
  <c r="BV225" i="1"/>
  <c r="BX225" i="1"/>
  <c r="BV230" i="1"/>
  <c r="BX230" i="1"/>
  <c r="BV201" i="1"/>
  <c r="BX201" i="1"/>
  <c r="BV203" i="1"/>
  <c r="BX203" i="1"/>
  <c r="BV206" i="1"/>
  <c r="BX206" i="1"/>
  <c r="BV210" i="1"/>
  <c r="BX210" i="1"/>
  <c r="BV214" i="1"/>
  <c r="BX214" i="1"/>
  <c r="BV218" i="1"/>
  <c r="BX218" i="1"/>
  <c r="BV222" i="1"/>
  <c r="BX222" i="1"/>
  <c r="BV226" i="1"/>
  <c r="BX226" i="1"/>
  <c r="BV229" i="1"/>
  <c r="BX229" i="1"/>
  <c r="BV228" i="1"/>
  <c r="BX228" i="1"/>
  <c r="T396" i="1"/>
  <c r="BY83" i="1"/>
  <c r="CA83" i="1"/>
  <c r="BY88" i="1"/>
  <c r="CA88" i="1"/>
  <c r="BY100" i="1"/>
  <c r="CA100" i="1"/>
  <c r="BY104" i="1"/>
  <c r="CA104" i="1"/>
  <c r="BY108" i="1"/>
  <c r="CA108" i="1"/>
  <c r="BY79" i="1"/>
  <c r="CA79" i="1"/>
  <c r="BY86" i="1"/>
  <c r="CA86" i="1"/>
  <c r="BY89" i="1"/>
  <c r="CA89" i="1"/>
  <c r="BY97" i="1"/>
  <c r="CA97" i="1"/>
  <c r="BY101" i="1"/>
  <c r="CA101" i="1"/>
  <c r="BY105" i="1"/>
  <c r="CA105" i="1"/>
  <c r="BY109" i="1"/>
  <c r="CA109" i="1"/>
  <c r="BY82" i="1"/>
  <c r="CA82" i="1"/>
  <c r="BY90" i="1"/>
  <c r="CA90" i="1"/>
  <c r="BY93" i="1"/>
  <c r="CA93" i="1"/>
  <c r="BY98" i="1"/>
  <c r="CA98" i="1"/>
  <c r="BY102" i="1"/>
  <c r="CA102" i="1"/>
  <c r="BY106" i="1"/>
  <c r="CA106" i="1"/>
  <c r="BY80" i="1"/>
  <c r="CA80" i="1"/>
  <c r="BY87" i="1"/>
  <c r="CA87" i="1"/>
  <c r="BY91" i="1"/>
  <c r="CA91" i="1"/>
  <c r="BY94" i="1"/>
  <c r="CA94" i="1"/>
  <c r="BY99" i="1"/>
  <c r="CA99" i="1"/>
  <c r="BY103" i="1"/>
  <c r="CA103" i="1"/>
  <c r="BY107" i="1"/>
  <c r="CA107" i="1"/>
  <c r="BY85" i="1"/>
  <c r="CA85" i="1"/>
  <c r="BY81" i="1"/>
  <c r="CA81" i="1"/>
  <c r="BY95" i="1"/>
  <c r="CA95" i="1"/>
  <c r="BY96" i="1"/>
  <c r="CA96" i="1"/>
  <c r="BY84" i="1"/>
  <c r="CA84" i="1"/>
  <c r="BY92" i="1"/>
  <c r="CA92" i="1"/>
  <c r="Q404" i="1"/>
  <c r="BP325" i="1"/>
  <c r="BR325" i="1"/>
  <c r="BP329" i="1"/>
  <c r="BR329" i="1"/>
  <c r="BP335" i="1"/>
  <c r="BR335" i="1"/>
  <c r="BP337" i="1"/>
  <c r="BR337" i="1"/>
  <c r="BP340" i="1"/>
  <c r="BR340" i="1"/>
  <c r="BP344" i="1"/>
  <c r="BR344" i="1"/>
  <c r="BP347" i="1"/>
  <c r="BR347" i="1"/>
  <c r="BP349" i="1"/>
  <c r="BR349" i="1"/>
  <c r="BP352" i="1"/>
  <c r="BR352" i="1"/>
  <c r="BP328" i="1"/>
  <c r="BR328" i="1"/>
  <c r="BP332" i="1"/>
  <c r="BR332" i="1"/>
  <c r="BP326" i="1"/>
  <c r="BR326" i="1"/>
  <c r="BP330" i="1"/>
  <c r="BR330" i="1"/>
  <c r="BP333" i="1"/>
  <c r="BR333" i="1"/>
  <c r="BP336" i="1"/>
  <c r="BR336" i="1"/>
  <c r="BP338" i="1"/>
  <c r="BR338" i="1"/>
  <c r="BP341" i="1"/>
  <c r="BR341" i="1"/>
  <c r="BP345" i="1"/>
  <c r="BR345" i="1"/>
  <c r="BP350" i="1"/>
  <c r="BR350" i="1"/>
  <c r="BP353" i="1"/>
  <c r="BR353" i="1"/>
  <c r="BP339" i="1"/>
  <c r="BR339" i="1"/>
  <c r="BP324" i="1"/>
  <c r="BR324" i="1"/>
  <c r="BP327" i="1"/>
  <c r="BR327" i="1"/>
  <c r="BP331" i="1"/>
  <c r="BR331" i="1"/>
  <c r="BP334" i="1"/>
  <c r="BR334" i="1"/>
  <c r="BP342" i="1"/>
  <c r="BR342" i="1"/>
  <c r="BP346" i="1"/>
  <c r="BR346" i="1"/>
  <c r="BP348" i="1"/>
  <c r="BR348" i="1"/>
  <c r="BP351" i="1"/>
  <c r="BR351" i="1"/>
  <c r="BP343" i="1"/>
  <c r="BR343" i="1"/>
  <c r="R397" i="1"/>
  <c r="BS112" i="1"/>
  <c r="BU112" i="1"/>
  <c r="BS116" i="1"/>
  <c r="BU116" i="1"/>
  <c r="BS120" i="1"/>
  <c r="BU120" i="1"/>
  <c r="BS110" i="1"/>
  <c r="BU110" i="1"/>
  <c r="BS113" i="1"/>
  <c r="BU113" i="1"/>
  <c r="BS117" i="1"/>
  <c r="BU117" i="1"/>
  <c r="BS114" i="1"/>
  <c r="BU114" i="1"/>
  <c r="BS118" i="1"/>
  <c r="BU118" i="1"/>
  <c r="BS111" i="1"/>
  <c r="BU111" i="1"/>
  <c r="BS115" i="1"/>
  <c r="BU115" i="1"/>
  <c r="BS119" i="1"/>
  <c r="BU119" i="1"/>
  <c r="BS122" i="1"/>
  <c r="BU122" i="1"/>
  <c r="BS126" i="1"/>
  <c r="BU126" i="1"/>
  <c r="BS130" i="1"/>
  <c r="BU130" i="1"/>
  <c r="BS134" i="1"/>
  <c r="BU134" i="1"/>
  <c r="BS138" i="1"/>
  <c r="BU138" i="1"/>
  <c r="BS123" i="1"/>
  <c r="BU123" i="1"/>
  <c r="BS127" i="1"/>
  <c r="BU127" i="1"/>
  <c r="BS131" i="1"/>
  <c r="BU131" i="1"/>
  <c r="BS135" i="1"/>
  <c r="BU135" i="1"/>
  <c r="BS139" i="1"/>
  <c r="BU139" i="1"/>
  <c r="BS124" i="1"/>
  <c r="BU124" i="1"/>
  <c r="BS128" i="1"/>
  <c r="BU128" i="1"/>
  <c r="BS132" i="1"/>
  <c r="BU132" i="1"/>
  <c r="BS136" i="1"/>
  <c r="BU136" i="1"/>
  <c r="BS121" i="1"/>
  <c r="BU121" i="1"/>
  <c r="BS125" i="1"/>
  <c r="BU125" i="1"/>
  <c r="BS129" i="1"/>
  <c r="BU129" i="1"/>
  <c r="BS133" i="1"/>
  <c r="BU133" i="1"/>
  <c r="BS137" i="1"/>
  <c r="BU137" i="1"/>
  <c r="BY365" i="1"/>
  <c r="CA365" i="1"/>
  <c r="T405" i="1"/>
  <c r="BY354" i="1"/>
  <c r="CA354" i="1"/>
  <c r="BY357" i="1"/>
  <c r="CA357" i="1"/>
  <c r="BY361" i="1"/>
  <c r="CA361" i="1"/>
  <c r="BY360" i="1"/>
  <c r="CA360" i="1"/>
  <c r="BY364" i="1"/>
  <c r="CA364" i="1"/>
  <c r="BY358" i="1"/>
  <c r="CA358" i="1"/>
  <c r="BY362" i="1"/>
  <c r="CA362" i="1"/>
  <c r="BY355" i="1"/>
  <c r="CA355" i="1"/>
  <c r="BY359" i="1"/>
  <c r="CA359" i="1"/>
  <c r="BY363" i="1"/>
  <c r="CA363" i="1"/>
  <c r="BY356" i="1"/>
  <c r="CA356" i="1"/>
  <c r="S401" i="1"/>
  <c r="BV241" i="1"/>
  <c r="BX241" i="1"/>
  <c r="BV247" i="1"/>
  <c r="BX247" i="1"/>
  <c r="BV248" i="1"/>
  <c r="BX248" i="1"/>
  <c r="BV249" i="1"/>
  <c r="BX249" i="1"/>
  <c r="BV235" i="1"/>
  <c r="BX235" i="1"/>
  <c r="BV240" i="1"/>
  <c r="BX240" i="1"/>
  <c r="BV242" i="1"/>
  <c r="BX242" i="1"/>
  <c r="BV250" i="1"/>
  <c r="BX250" i="1"/>
  <c r="BV232" i="1"/>
  <c r="BX232" i="1"/>
  <c r="BV243" i="1"/>
  <c r="BX243" i="1"/>
  <c r="BV244" i="1"/>
  <c r="BX244" i="1"/>
  <c r="BV245" i="1"/>
  <c r="BX245" i="1"/>
  <c r="BV251" i="1"/>
  <c r="BX251" i="1"/>
  <c r="BV236" i="1"/>
  <c r="BX236" i="1"/>
  <c r="BV239" i="1"/>
  <c r="BX239" i="1"/>
  <c r="BV246" i="1"/>
  <c r="BX246" i="1"/>
  <c r="BV258" i="1"/>
  <c r="BX258" i="1"/>
  <c r="BV252" i="1"/>
  <c r="BX252" i="1"/>
  <c r="BV253" i="1"/>
  <c r="BX253" i="1"/>
  <c r="BV259" i="1"/>
  <c r="BX259" i="1"/>
  <c r="BV260" i="1"/>
  <c r="BX260" i="1"/>
  <c r="BV261" i="1"/>
  <c r="BX261" i="1"/>
  <c r="BV254" i="1"/>
  <c r="BX254" i="1"/>
  <c r="BV262" i="1"/>
  <c r="BX262" i="1"/>
  <c r="BV255" i="1"/>
  <c r="BX255" i="1"/>
  <c r="BV256" i="1"/>
  <c r="BX256" i="1"/>
  <c r="BV257" i="1"/>
  <c r="BX257" i="1"/>
  <c r="BV234" i="1"/>
  <c r="BX234" i="1"/>
  <c r="BV237" i="1"/>
  <c r="BX237" i="1"/>
  <c r="BV233" i="1"/>
  <c r="BX233" i="1"/>
  <c r="BV238" i="1"/>
  <c r="BX238" i="1"/>
  <c r="Q397" i="1"/>
  <c r="BP111" i="1"/>
  <c r="BR111" i="1"/>
  <c r="BP115" i="1"/>
  <c r="BR115" i="1"/>
  <c r="BP119" i="1"/>
  <c r="BR119" i="1"/>
  <c r="BP112" i="1"/>
  <c r="BR112" i="1"/>
  <c r="BP116" i="1"/>
  <c r="BR116" i="1"/>
  <c r="BP120" i="1"/>
  <c r="BR120" i="1"/>
  <c r="BP110" i="1"/>
  <c r="BR110" i="1"/>
  <c r="BP113" i="1"/>
  <c r="BR113" i="1"/>
  <c r="BP117" i="1"/>
  <c r="BR117" i="1"/>
  <c r="BP114" i="1"/>
  <c r="BR114" i="1"/>
  <c r="BP118" i="1"/>
  <c r="BR118" i="1"/>
  <c r="BP121" i="1"/>
  <c r="BR121" i="1"/>
  <c r="BP125" i="1"/>
  <c r="BR125" i="1"/>
  <c r="BP129" i="1"/>
  <c r="BR129" i="1"/>
  <c r="BP133" i="1"/>
  <c r="BR133" i="1"/>
  <c r="BP137" i="1"/>
  <c r="BR137" i="1"/>
  <c r="BP122" i="1"/>
  <c r="BR122" i="1"/>
  <c r="BP126" i="1"/>
  <c r="BR126" i="1"/>
  <c r="BP130" i="1"/>
  <c r="BR130" i="1"/>
  <c r="BP134" i="1"/>
  <c r="BR134" i="1"/>
  <c r="BP138" i="1"/>
  <c r="BR138" i="1"/>
  <c r="BP123" i="1"/>
  <c r="BR123" i="1"/>
  <c r="BP127" i="1"/>
  <c r="BR127" i="1"/>
  <c r="BP131" i="1"/>
  <c r="BR131" i="1"/>
  <c r="BP135" i="1"/>
  <c r="BR135" i="1"/>
  <c r="BP139" i="1"/>
  <c r="BR139" i="1"/>
  <c r="BP124" i="1"/>
  <c r="BR124" i="1"/>
  <c r="BP128" i="1"/>
  <c r="BR128" i="1"/>
  <c r="BP132" i="1"/>
  <c r="BR132" i="1"/>
  <c r="BP136" i="1"/>
  <c r="BR136" i="1"/>
  <c r="T404" i="1"/>
  <c r="BY328" i="1"/>
  <c r="CA328" i="1"/>
  <c r="BY332" i="1"/>
  <c r="CA332" i="1"/>
  <c r="BY339" i="1"/>
  <c r="CA339" i="1"/>
  <c r="BY343" i="1"/>
  <c r="CA343" i="1"/>
  <c r="BY346" i="1"/>
  <c r="CA346" i="1"/>
  <c r="BY325" i="1"/>
  <c r="CA325" i="1"/>
  <c r="BY329" i="1"/>
  <c r="CA329" i="1"/>
  <c r="BY335" i="1"/>
  <c r="CA335" i="1"/>
  <c r="BY337" i="1"/>
  <c r="CA337" i="1"/>
  <c r="BY340" i="1"/>
  <c r="CA340" i="1"/>
  <c r="BY344" i="1"/>
  <c r="CA344" i="1"/>
  <c r="BY347" i="1"/>
  <c r="CA347" i="1"/>
  <c r="BY349" i="1"/>
  <c r="CA349" i="1"/>
  <c r="BY352" i="1"/>
  <c r="CA352" i="1"/>
  <c r="BY324" i="1"/>
  <c r="CA324" i="1"/>
  <c r="BY327" i="1"/>
  <c r="CA327" i="1"/>
  <c r="BY331" i="1"/>
  <c r="CA331" i="1"/>
  <c r="BY334" i="1"/>
  <c r="CA334" i="1"/>
  <c r="BY351" i="1"/>
  <c r="CA351" i="1"/>
  <c r="BY326" i="1"/>
  <c r="CA326" i="1"/>
  <c r="BY330" i="1"/>
  <c r="CA330" i="1"/>
  <c r="BY333" i="1"/>
  <c r="CA333" i="1"/>
  <c r="BY336" i="1"/>
  <c r="CA336" i="1"/>
  <c r="BY338" i="1"/>
  <c r="CA338" i="1"/>
  <c r="BY341" i="1"/>
  <c r="CA341" i="1"/>
  <c r="BY345" i="1"/>
  <c r="CA345" i="1"/>
  <c r="BY350" i="1"/>
  <c r="CA350" i="1"/>
  <c r="BY353" i="1"/>
  <c r="CA353" i="1"/>
  <c r="BY342" i="1"/>
  <c r="CA342" i="1"/>
  <c r="BY348" i="1"/>
  <c r="CA348" i="1"/>
  <c r="Q400" i="1"/>
  <c r="BP202" i="1"/>
  <c r="BR202" i="1"/>
  <c r="BP205" i="1"/>
  <c r="BR205" i="1"/>
  <c r="BP209" i="1"/>
  <c r="BR209" i="1"/>
  <c r="BP213" i="1"/>
  <c r="BR213" i="1"/>
  <c r="BP217" i="1"/>
  <c r="BR217" i="1"/>
  <c r="BP221" i="1"/>
  <c r="BR221" i="1"/>
  <c r="BP225" i="1"/>
  <c r="BR225" i="1"/>
  <c r="BP201" i="1"/>
  <c r="BR201" i="1"/>
  <c r="BP203" i="1"/>
  <c r="BR203" i="1"/>
  <c r="BP206" i="1"/>
  <c r="BR206" i="1"/>
  <c r="BP210" i="1"/>
  <c r="BR210" i="1"/>
  <c r="BP214" i="1"/>
  <c r="BR214" i="1"/>
  <c r="BP218" i="1"/>
  <c r="BR218" i="1"/>
  <c r="BP222" i="1"/>
  <c r="BR222" i="1"/>
  <c r="BP226" i="1"/>
  <c r="BR226" i="1"/>
  <c r="BP204" i="1"/>
  <c r="BR204" i="1"/>
  <c r="BP207" i="1"/>
  <c r="BR207" i="1"/>
  <c r="BP211" i="1"/>
  <c r="BR211" i="1"/>
  <c r="BP215" i="1"/>
  <c r="BR215" i="1"/>
  <c r="BP219" i="1"/>
  <c r="BR219" i="1"/>
  <c r="BP223" i="1"/>
  <c r="BR223" i="1"/>
  <c r="BP227" i="1"/>
  <c r="BR227" i="1"/>
  <c r="BP208" i="1"/>
  <c r="BR208" i="1"/>
  <c r="BP212" i="1"/>
  <c r="BR212" i="1"/>
  <c r="BP216" i="1"/>
  <c r="BR216" i="1"/>
  <c r="BP220" i="1"/>
  <c r="BR220" i="1"/>
  <c r="BP224" i="1"/>
  <c r="BR224" i="1"/>
  <c r="BP228" i="1"/>
  <c r="BR228" i="1"/>
  <c r="BP231" i="1"/>
  <c r="BR231" i="1"/>
  <c r="BP229" i="1"/>
  <c r="BR229" i="1"/>
  <c r="BP230" i="1"/>
  <c r="BR230" i="1"/>
  <c r="Q395" i="1"/>
  <c r="BP53" i="1"/>
  <c r="BR53" i="1"/>
  <c r="BP61" i="1"/>
  <c r="BR61" i="1"/>
  <c r="BP63" i="1"/>
  <c r="BR63" i="1"/>
  <c r="BP65" i="1"/>
  <c r="BR65" i="1"/>
  <c r="BP66" i="1"/>
  <c r="BR66" i="1"/>
  <c r="BP51" i="1"/>
  <c r="BR51" i="1"/>
  <c r="BP55" i="1"/>
  <c r="BR55" i="1"/>
  <c r="BP57" i="1"/>
  <c r="BR57" i="1"/>
  <c r="BP67" i="1"/>
  <c r="BR67" i="1"/>
  <c r="BP70" i="1"/>
  <c r="BR70" i="1"/>
  <c r="BP52" i="1"/>
  <c r="BR52" i="1"/>
  <c r="BP56" i="1"/>
  <c r="BR56" i="1"/>
  <c r="BP62" i="1"/>
  <c r="BR62" i="1"/>
  <c r="BP64" i="1"/>
  <c r="BR64" i="1"/>
  <c r="BP68" i="1"/>
  <c r="BR68" i="1"/>
  <c r="BP76" i="1"/>
  <c r="BR76" i="1"/>
  <c r="BP74" i="1"/>
  <c r="BR74" i="1"/>
  <c r="BP77" i="1"/>
  <c r="BR77" i="1"/>
  <c r="BP72" i="1"/>
  <c r="BR72" i="1"/>
  <c r="BP78" i="1"/>
  <c r="BR78" i="1"/>
  <c r="BP69" i="1"/>
  <c r="BR69" i="1"/>
  <c r="BP58" i="1"/>
  <c r="BR58" i="1"/>
  <c r="BP71" i="1"/>
  <c r="BR71" i="1"/>
  <c r="BP54" i="1"/>
  <c r="BR54" i="1"/>
  <c r="BP60" i="1"/>
  <c r="BR60" i="1"/>
  <c r="BP73" i="1"/>
  <c r="BR73" i="1"/>
  <c r="BP75" i="1"/>
  <c r="BR75" i="1"/>
  <c r="BP59" i="1"/>
  <c r="BR59" i="1"/>
  <c r="S398" i="1"/>
  <c r="BV141" i="1"/>
  <c r="BX141" i="1"/>
  <c r="BV145" i="1"/>
  <c r="BX145" i="1"/>
  <c r="BV149" i="1"/>
  <c r="BX149" i="1"/>
  <c r="BV153" i="1"/>
  <c r="BX153" i="1"/>
  <c r="BV157" i="1"/>
  <c r="BX157" i="1"/>
  <c r="BV162" i="1"/>
  <c r="BX162" i="1"/>
  <c r="BV167" i="1"/>
  <c r="BX167" i="1"/>
  <c r="BV142" i="1"/>
  <c r="BX142" i="1"/>
  <c r="BV146" i="1"/>
  <c r="BX146" i="1"/>
  <c r="BV150" i="1"/>
  <c r="BX150" i="1"/>
  <c r="BV154" i="1"/>
  <c r="BX154" i="1"/>
  <c r="BV140" i="1"/>
  <c r="BX140" i="1"/>
  <c r="BV143" i="1"/>
  <c r="BX143" i="1"/>
  <c r="BV147" i="1"/>
  <c r="BX147" i="1"/>
  <c r="BV151" i="1"/>
  <c r="BX151" i="1"/>
  <c r="BV155" i="1"/>
  <c r="BX155" i="1"/>
  <c r="BV163" i="1"/>
  <c r="BX163" i="1"/>
  <c r="BV166" i="1"/>
  <c r="BX166" i="1"/>
  <c r="BV144" i="1"/>
  <c r="BX144" i="1"/>
  <c r="BV148" i="1"/>
  <c r="BX148" i="1"/>
  <c r="BV152" i="1"/>
  <c r="BX152" i="1"/>
  <c r="BV156" i="1"/>
  <c r="BX156" i="1"/>
  <c r="BV158" i="1"/>
  <c r="BX158" i="1"/>
  <c r="BV170" i="1"/>
  <c r="BX170" i="1"/>
  <c r="BV159" i="1"/>
  <c r="BX159" i="1"/>
  <c r="BV165" i="1"/>
  <c r="BX165" i="1"/>
  <c r="BV161" i="1"/>
  <c r="BX161" i="1"/>
  <c r="BV168" i="1"/>
  <c r="BX168" i="1"/>
  <c r="BV164" i="1"/>
  <c r="BX164" i="1"/>
  <c r="BV160" i="1"/>
  <c r="BX160" i="1"/>
  <c r="BV169" i="1"/>
  <c r="BX169" i="1"/>
  <c r="BK233" i="1"/>
  <c r="BL233" i="1"/>
  <c r="BK259" i="1"/>
  <c r="BJ7" i="1"/>
  <c r="BJ8" i="1"/>
  <c r="BV5" i="1"/>
  <c r="BK245" i="1"/>
  <c r="BK247" i="1"/>
  <c r="R403" i="1"/>
  <c r="BS293" i="1"/>
  <c r="BU293" i="1"/>
  <c r="BS296" i="1"/>
  <c r="BU296" i="1"/>
  <c r="BS300" i="1"/>
  <c r="BU300" i="1"/>
  <c r="BS303" i="1"/>
  <c r="BU303" i="1"/>
  <c r="BS306" i="1"/>
  <c r="BU306" i="1"/>
  <c r="BS312" i="1"/>
  <c r="BU312" i="1"/>
  <c r="BS316" i="1"/>
  <c r="BU316" i="1"/>
  <c r="BS319" i="1"/>
  <c r="BU319" i="1"/>
  <c r="BS322" i="1"/>
  <c r="BU322" i="1"/>
  <c r="BS297" i="1"/>
  <c r="BU297" i="1"/>
  <c r="BS301" i="1"/>
  <c r="BU301" i="1"/>
  <c r="BS307" i="1"/>
  <c r="BU307" i="1"/>
  <c r="BS310" i="1"/>
  <c r="BU310" i="1"/>
  <c r="BS313" i="1"/>
  <c r="BU313" i="1"/>
  <c r="BS317" i="1"/>
  <c r="BU317" i="1"/>
  <c r="BS323" i="1"/>
  <c r="BU323" i="1"/>
  <c r="BS294" i="1"/>
  <c r="BU294" i="1"/>
  <c r="BS298" i="1"/>
  <c r="BU298" i="1"/>
  <c r="BS304" i="1"/>
  <c r="BU304" i="1"/>
  <c r="BS308" i="1"/>
  <c r="BU308" i="1"/>
  <c r="BS311" i="1"/>
  <c r="BU311" i="1"/>
  <c r="BS314" i="1"/>
  <c r="BU314" i="1"/>
  <c r="BS320" i="1"/>
  <c r="BU320" i="1"/>
  <c r="BS295" i="1"/>
  <c r="BU295" i="1"/>
  <c r="BS299" i="1"/>
  <c r="BU299" i="1"/>
  <c r="BS302" i="1"/>
  <c r="BU302" i="1"/>
  <c r="BS305" i="1"/>
  <c r="BU305" i="1"/>
  <c r="BS309" i="1"/>
  <c r="BU309" i="1"/>
  <c r="BS315" i="1"/>
  <c r="BU315" i="1"/>
  <c r="BS318" i="1"/>
  <c r="BU318" i="1"/>
  <c r="BS321" i="1"/>
  <c r="BU321" i="1"/>
  <c r="T399" i="1"/>
  <c r="BY173" i="1"/>
  <c r="CA173" i="1"/>
  <c r="BY177" i="1"/>
  <c r="CA177" i="1"/>
  <c r="BY178" i="1"/>
  <c r="CA178" i="1"/>
  <c r="BY179" i="1"/>
  <c r="CA179" i="1"/>
  <c r="BY185" i="1"/>
  <c r="CA185" i="1"/>
  <c r="BY186" i="1"/>
  <c r="CA186" i="1"/>
  <c r="BY187" i="1"/>
  <c r="CA187" i="1"/>
  <c r="BY193" i="1"/>
  <c r="CA193" i="1"/>
  <c r="BY194" i="1"/>
  <c r="CA194" i="1"/>
  <c r="BY180" i="1"/>
  <c r="CA180" i="1"/>
  <c r="BY188" i="1"/>
  <c r="CA188" i="1"/>
  <c r="BY175" i="1"/>
  <c r="CA175" i="1"/>
  <c r="BY181" i="1"/>
  <c r="CA181" i="1"/>
  <c r="BY182" i="1"/>
  <c r="CA182" i="1"/>
  <c r="BY183" i="1"/>
  <c r="CA183" i="1"/>
  <c r="BY189" i="1"/>
  <c r="CA189" i="1"/>
  <c r="BY190" i="1"/>
  <c r="CA190" i="1"/>
  <c r="BY191" i="1"/>
  <c r="CA191" i="1"/>
  <c r="BY174" i="1"/>
  <c r="CA174" i="1"/>
  <c r="BY176" i="1"/>
  <c r="CA176" i="1"/>
  <c r="BY184" i="1"/>
  <c r="CA184" i="1"/>
  <c r="BY192" i="1"/>
  <c r="CA192" i="1"/>
  <c r="BY200" i="1"/>
  <c r="CA200" i="1"/>
  <c r="BY195" i="1"/>
  <c r="CA195" i="1"/>
  <c r="BY196" i="1"/>
  <c r="CA196" i="1"/>
  <c r="BY197" i="1"/>
  <c r="CA197" i="1"/>
  <c r="BY198" i="1"/>
  <c r="CA198" i="1"/>
  <c r="BY199" i="1"/>
  <c r="CA199" i="1"/>
  <c r="BY172" i="1"/>
  <c r="CA172" i="1"/>
  <c r="BY171" i="1"/>
  <c r="CA171" i="1"/>
  <c r="T395" i="1"/>
  <c r="BY52" i="1"/>
  <c r="CA52" i="1"/>
  <c r="BY59" i="1"/>
  <c r="CA59" i="1"/>
  <c r="BY63" i="1"/>
  <c r="CA63" i="1"/>
  <c r="BY64" i="1"/>
  <c r="CA64" i="1"/>
  <c r="BY53" i="1"/>
  <c r="CA53" i="1"/>
  <c r="BY65" i="1"/>
  <c r="CA65" i="1"/>
  <c r="BY68" i="1"/>
  <c r="CA68" i="1"/>
  <c r="BY66" i="1"/>
  <c r="CA66" i="1"/>
  <c r="BY51" i="1"/>
  <c r="CA51" i="1"/>
  <c r="BY56" i="1"/>
  <c r="CA56" i="1"/>
  <c r="BY62" i="1"/>
  <c r="CA62" i="1"/>
  <c r="BY67" i="1"/>
  <c r="CA67" i="1"/>
  <c r="BY69" i="1"/>
  <c r="CA69" i="1"/>
  <c r="BY72" i="1"/>
  <c r="CA72" i="1"/>
  <c r="BY74" i="1"/>
  <c r="CA74" i="1"/>
  <c r="BY70" i="1"/>
  <c r="CA70" i="1"/>
  <c r="BY73" i="1"/>
  <c r="CA73" i="1"/>
  <c r="BY76" i="1"/>
  <c r="CA76" i="1"/>
  <c r="BY77" i="1"/>
  <c r="CA77" i="1"/>
  <c r="BY78" i="1"/>
  <c r="CA78" i="1"/>
  <c r="BY75" i="1"/>
  <c r="CA75" i="1"/>
  <c r="BY60" i="1"/>
  <c r="CA60" i="1"/>
  <c r="BY71" i="1"/>
  <c r="CA71" i="1"/>
  <c r="BY57" i="1"/>
  <c r="CA57" i="1"/>
  <c r="BY58" i="1"/>
  <c r="CA58" i="1"/>
  <c r="BY61" i="1"/>
  <c r="CA61" i="1"/>
  <c r="BY54" i="1"/>
  <c r="CA54" i="1"/>
  <c r="BY55" i="1"/>
  <c r="CA55" i="1"/>
  <c r="S402" i="1"/>
  <c r="BV263" i="1"/>
  <c r="BX263" i="1"/>
  <c r="BV269" i="1"/>
  <c r="BX269" i="1"/>
  <c r="BV272" i="1"/>
  <c r="BX272" i="1"/>
  <c r="BV275" i="1"/>
  <c r="BX275" i="1"/>
  <c r="BV280" i="1"/>
  <c r="BX280" i="1"/>
  <c r="BV283" i="1"/>
  <c r="BX283" i="1"/>
  <c r="BV288" i="1"/>
  <c r="BX288" i="1"/>
  <c r="BV291" i="1"/>
  <c r="BX291" i="1"/>
  <c r="BV266" i="1"/>
  <c r="BX266" i="1"/>
  <c r="BV273" i="1"/>
  <c r="BX273" i="1"/>
  <c r="BV278" i="1"/>
  <c r="BX278" i="1"/>
  <c r="BV281" i="1"/>
  <c r="BX281" i="1"/>
  <c r="BV286" i="1"/>
  <c r="BX286" i="1"/>
  <c r="BV289" i="1"/>
  <c r="BX289" i="1"/>
  <c r="BV292" i="1"/>
  <c r="BX292" i="1"/>
  <c r="BV264" i="1"/>
  <c r="BX264" i="1"/>
  <c r="BV267" i="1"/>
  <c r="BX267" i="1"/>
  <c r="BV270" i="1"/>
  <c r="BX270" i="1"/>
  <c r="BV276" i="1"/>
  <c r="BX276" i="1"/>
  <c r="BV279" i="1"/>
  <c r="BX279" i="1"/>
  <c r="BV284" i="1"/>
  <c r="BX284" i="1"/>
  <c r="BV287" i="1"/>
  <c r="BX287" i="1"/>
  <c r="BV265" i="1"/>
  <c r="BX265" i="1"/>
  <c r="BV268" i="1"/>
  <c r="BX268" i="1"/>
  <c r="BV271" i="1"/>
  <c r="BX271" i="1"/>
  <c r="BV274" i="1"/>
  <c r="BX274" i="1"/>
  <c r="BV277" i="1"/>
  <c r="BX277" i="1"/>
  <c r="BV282" i="1"/>
  <c r="BX282" i="1"/>
  <c r="BV285" i="1"/>
  <c r="BX285" i="1"/>
  <c r="BV290" i="1"/>
  <c r="BX290" i="1"/>
  <c r="S396" i="1"/>
  <c r="BV80" i="1"/>
  <c r="BX80" i="1"/>
  <c r="BV87" i="1"/>
  <c r="BX87" i="1"/>
  <c r="BV91" i="1"/>
  <c r="BX91" i="1"/>
  <c r="BV99" i="1"/>
  <c r="BX99" i="1"/>
  <c r="BV103" i="1"/>
  <c r="BX103" i="1"/>
  <c r="BV107" i="1"/>
  <c r="BX107" i="1"/>
  <c r="BV88" i="1"/>
  <c r="BX88" i="1"/>
  <c r="BV94" i="1"/>
  <c r="BX94" i="1"/>
  <c r="BV100" i="1"/>
  <c r="BX100" i="1"/>
  <c r="BV104" i="1"/>
  <c r="BX104" i="1"/>
  <c r="BV108" i="1"/>
  <c r="BX108" i="1"/>
  <c r="BV79" i="1"/>
  <c r="BX79" i="1"/>
  <c r="BV83" i="1"/>
  <c r="BX83" i="1"/>
  <c r="BV89" i="1"/>
  <c r="BX89" i="1"/>
  <c r="BV97" i="1"/>
  <c r="BX97" i="1"/>
  <c r="BV101" i="1"/>
  <c r="BX101" i="1"/>
  <c r="BV105" i="1"/>
  <c r="BX105" i="1"/>
  <c r="BV109" i="1"/>
  <c r="BX109" i="1"/>
  <c r="BV90" i="1"/>
  <c r="BX90" i="1"/>
  <c r="BV98" i="1"/>
  <c r="BX98" i="1"/>
  <c r="BV102" i="1"/>
  <c r="BX102" i="1"/>
  <c r="BV106" i="1"/>
  <c r="BX106" i="1"/>
  <c r="BV93" i="1"/>
  <c r="BX93" i="1"/>
  <c r="BV82" i="1"/>
  <c r="BX82" i="1"/>
  <c r="BV86" i="1"/>
  <c r="BX86" i="1"/>
  <c r="BV95" i="1"/>
  <c r="BX95" i="1"/>
  <c r="BV96" i="1"/>
  <c r="BX96" i="1"/>
  <c r="BV92" i="1"/>
  <c r="BX92" i="1"/>
  <c r="BV84" i="1"/>
  <c r="BX84" i="1"/>
  <c r="BV85" i="1"/>
  <c r="BX85" i="1"/>
  <c r="BV81" i="1"/>
  <c r="BX81" i="1"/>
  <c r="R405" i="1"/>
  <c r="BS365" i="1"/>
  <c r="BU365" i="1"/>
  <c r="BS355" i="1"/>
  <c r="BU355" i="1"/>
  <c r="BS359" i="1"/>
  <c r="BU359" i="1"/>
  <c r="BS363" i="1"/>
  <c r="BU363" i="1"/>
  <c r="BS356" i="1"/>
  <c r="BU356" i="1"/>
  <c r="BS360" i="1"/>
  <c r="BU360" i="1"/>
  <c r="BS364" i="1"/>
  <c r="BU364" i="1"/>
  <c r="BS354" i="1"/>
  <c r="BU354" i="1"/>
  <c r="BS357" i="1"/>
  <c r="BU357" i="1"/>
  <c r="BS361" i="1"/>
  <c r="BU361" i="1"/>
  <c r="BS358" i="1"/>
  <c r="BU358" i="1"/>
  <c r="BS362" i="1"/>
  <c r="BU362" i="1"/>
  <c r="Q401" i="1"/>
  <c r="BP232" i="1"/>
  <c r="BR232" i="1"/>
  <c r="BP233" i="1"/>
  <c r="BR233" i="1"/>
  <c r="BP240" i="1"/>
  <c r="BR240" i="1"/>
  <c r="BP243" i="1"/>
  <c r="BR243" i="1"/>
  <c r="BP251" i="1"/>
  <c r="BR251" i="1"/>
  <c r="BP237" i="1"/>
  <c r="BR237" i="1"/>
  <c r="BP244" i="1"/>
  <c r="BR244" i="1"/>
  <c r="BP245" i="1"/>
  <c r="BR245" i="1"/>
  <c r="BP246" i="1"/>
  <c r="BR246" i="1"/>
  <c r="BP236" i="1"/>
  <c r="BR236" i="1"/>
  <c r="BP247" i="1"/>
  <c r="BR247" i="1"/>
  <c r="BP241" i="1"/>
  <c r="BR241" i="1"/>
  <c r="BP242" i="1"/>
  <c r="BR242" i="1"/>
  <c r="BP248" i="1"/>
  <c r="BR248" i="1"/>
  <c r="BP249" i="1"/>
  <c r="BR249" i="1"/>
  <c r="BP250" i="1"/>
  <c r="BR250" i="1"/>
  <c r="BP252" i="1"/>
  <c r="BR252" i="1"/>
  <c r="BP253" i="1"/>
  <c r="BR253" i="1"/>
  <c r="BP254" i="1"/>
  <c r="BR254" i="1"/>
  <c r="BP260" i="1"/>
  <c r="BR260" i="1"/>
  <c r="BP261" i="1"/>
  <c r="BR261" i="1"/>
  <c r="BP262" i="1"/>
  <c r="BR262" i="1"/>
  <c r="BP255" i="1"/>
  <c r="BR255" i="1"/>
  <c r="BP256" i="1"/>
  <c r="BR256" i="1"/>
  <c r="BP257" i="1"/>
  <c r="BR257" i="1"/>
  <c r="BP258" i="1"/>
  <c r="BR258" i="1"/>
  <c r="BP259" i="1"/>
  <c r="BR259" i="1"/>
  <c r="BP239" i="1"/>
  <c r="BR239" i="1"/>
  <c r="BP235" i="1"/>
  <c r="BR235" i="1"/>
  <c r="BP234" i="1"/>
  <c r="BR234" i="1"/>
  <c r="BP238" i="1"/>
  <c r="BR238" i="1"/>
  <c r="R396" i="1"/>
  <c r="BS81" i="1"/>
  <c r="BU81" i="1"/>
  <c r="BS90" i="1"/>
  <c r="BU90" i="1"/>
  <c r="BS92" i="1"/>
  <c r="BU92" i="1"/>
  <c r="BS96" i="1"/>
  <c r="BU96" i="1"/>
  <c r="BS98" i="1"/>
  <c r="BU98" i="1"/>
  <c r="BS102" i="1"/>
  <c r="BU102" i="1"/>
  <c r="BS106" i="1"/>
  <c r="BU106" i="1"/>
  <c r="BS80" i="1"/>
  <c r="BU80" i="1"/>
  <c r="BS86" i="1"/>
  <c r="BU86" i="1"/>
  <c r="BS87" i="1"/>
  <c r="BU87" i="1"/>
  <c r="BS91" i="1"/>
  <c r="BU91" i="1"/>
  <c r="BS99" i="1"/>
  <c r="BU99" i="1"/>
  <c r="BS103" i="1"/>
  <c r="BU103" i="1"/>
  <c r="BS107" i="1"/>
  <c r="BU107" i="1"/>
  <c r="BS82" i="1"/>
  <c r="BU82" i="1"/>
  <c r="BS88" i="1"/>
  <c r="BU88" i="1"/>
  <c r="BS93" i="1"/>
  <c r="BU93" i="1"/>
  <c r="BS94" i="1"/>
  <c r="BU94" i="1"/>
  <c r="BS95" i="1"/>
  <c r="BU95" i="1"/>
  <c r="BS100" i="1"/>
  <c r="BU100" i="1"/>
  <c r="BS104" i="1"/>
  <c r="BU104" i="1"/>
  <c r="BS108" i="1"/>
  <c r="BU108" i="1"/>
  <c r="BS79" i="1"/>
  <c r="BU79" i="1"/>
  <c r="BS83" i="1"/>
  <c r="BU83" i="1"/>
  <c r="BS84" i="1"/>
  <c r="BU84" i="1"/>
  <c r="BS89" i="1"/>
  <c r="BU89" i="1"/>
  <c r="BS97" i="1"/>
  <c r="BU97" i="1"/>
  <c r="BS101" i="1"/>
  <c r="BU101" i="1"/>
  <c r="BS105" i="1"/>
  <c r="BU105" i="1"/>
  <c r="BS109" i="1"/>
  <c r="BU109" i="1"/>
  <c r="BS85" i="1"/>
  <c r="BU85" i="1"/>
  <c r="R404" i="1"/>
  <c r="BS326" i="1"/>
  <c r="BU326" i="1"/>
  <c r="BS330" i="1"/>
  <c r="BU330" i="1"/>
  <c r="BS333" i="1"/>
  <c r="BU333" i="1"/>
  <c r="BS336" i="1"/>
  <c r="BU336" i="1"/>
  <c r="BS338" i="1"/>
  <c r="BU338" i="1"/>
  <c r="BS341" i="1"/>
  <c r="BU341" i="1"/>
  <c r="BS345" i="1"/>
  <c r="BU345" i="1"/>
  <c r="BS350" i="1"/>
  <c r="BU350" i="1"/>
  <c r="BS353" i="1"/>
  <c r="BU353" i="1"/>
  <c r="BS335" i="1"/>
  <c r="BU335" i="1"/>
  <c r="BS337" i="1"/>
  <c r="BU337" i="1"/>
  <c r="BS324" i="1"/>
  <c r="BU324" i="1"/>
  <c r="BS327" i="1"/>
  <c r="BU327" i="1"/>
  <c r="BS331" i="1"/>
  <c r="BU331" i="1"/>
  <c r="BS334" i="1"/>
  <c r="BU334" i="1"/>
  <c r="BS342" i="1"/>
  <c r="BU342" i="1"/>
  <c r="BS346" i="1"/>
  <c r="BU346" i="1"/>
  <c r="BS348" i="1"/>
  <c r="BU348" i="1"/>
  <c r="BS351" i="1"/>
  <c r="BU351" i="1"/>
  <c r="BS325" i="1"/>
  <c r="BU325" i="1"/>
  <c r="BS329" i="1"/>
  <c r="BU329" i="1"/>
  <c r="BS340" i="1"/>
  <c r="BU340" i="1"/>
  <c r="BS347" i="1"/>
  <c r="BU347" i="1"/>
  <c r="BS349" i="1"/>
  <c r="BU349" i="1"/>
  <c r="BS352" i="1"/>
  <c r="BU352" i="1"/>
  <c r="BS328" i="1"/>
  <c r="BU328" i="1"/>
  <c r="BS332" i="1"/>
  <c r="BU332" i="1"/>
  <c r="BS339" i="1"/>
  <c r="BU339" i="1"/>
  <c r="BS343" i="1"/>
  <c r="BU343" i="1"/>
  <c r="BS344" i="1"/>
  <c r="BU344" i="1"/>
  <c r="R399" i="1"/>
  <c r="BS175" i="1"/>
  <c r="BU175" i="1"/>
  <c r="BS181" i="1"/>
  <c r="BU181" i="1"/>
  <c r="BS182" i="1"/>
  <c r="BU182" i="1"/>
  <c r="BS183" i="1"/>
  <c r="BU183" i="1"/>
  <c r="BS189" i="1"/>
  <c r="BU189" i="1"/>
  <c r="BS190" i="1"/>
  <c r="BU190" i="1"/>
  <c r="BS191" i="1"/>
  <c r="BU191" i="1"/>
  <c r="BS172" i="1"/>
  <c r="BU172" i="1"/>
  <c r="BS174" i="1"/>
  <c r="BU174" i="1"/>
  <c r="BS176" i="1"/>
  <c r="BU176" i="1"/>
  <c r="BS184" i="1"/>
  <c r="BU184" i="1"/>
  <c r="BS177" i="1"/>
  <c r="BU177" i="1"/>
  <c r="BS178" i="1"/>
  <c r="BU178" i="1"/>
  <c r="BS179" i="1"/>
  <c r="BU179" i="1"/>
  <c r="BS185" i="1"/>
  <c r="BU185" i="1"/>
  <c r="BS186" i="1"/>
  <c r="BU186" i="1"/>
  <c r="BS187" i="1"/>
  <c r="BU187" i="1"/>
  <c r="BS193" i="1"/>
  <c r="BU193" i="1"/>
  <c r="BS194" i="1"/>
  <c r="BU194" i="1"/>
  <c r="BS173" i="1"/>
  <c r="BU173" i="1"/>
  <c r="BS180" i="1"/>
  <c r="BU180" i="1"/>
  <c r="BS188" i="1"/>
  <c r="BU188" i="1"/>
  <c r="BS192" i="1"/>
  <c r="BU192" i="1"/>
  <c r="BS196" i="1"/>
  <c r="BU196" i="1"/>
  <c r="BS197" i="1"/>
  <c r="BU197" i="1"/>
  <c r="BS198" i="1"/>
  <c r="BU198" i="1"/>
  <c r="BS199" i="1"/>
  <c r="BU199" i="1"/>
  <c r="BS200" i="1"/>
  <c r="BU200" i="1"/>
  <c r="BS195" i="1"/>
  <c r="BU195" i="1"/>
  <c r="BS171" i="1"/>
  <c r="BU171" i="1"/>
  <c r="Q394" i="1"/>
  <c r="BP21" i="1"/>
  <c r="BR21" i="1"/>
  <c r="BP25" i="1"/>
  <c r="BR25" i="1"/>
  <c r="BP29" i="1"/>
  <c r="BR29" i="1"/>
  <c r="BP33" i="1"/>
  <c r="BR33" i="1"/>
  <c r="BP22" i="1"/>
  <c r="BR22" i="1"/>
  <c r="BP26" i="1"/>
  <c r="BR26" i="1"/>
  <c r="BP30" i="1"/>
  <c r="BR30" i="1"/>
  <c r="BP23" i="1"/>
  <c r="BR23" i="1"/>
  <c r="BP27" i="1"/>
  <c r="BR27" i="1"/>
  <c r="BP31" i="1"/>
  <c r="BR31" i="1"/>
  <c r="BP20" i="1"/>
  <c r="BR20" i="1"/>
  <c r="BP24" i="1"/>
  <c r="BR24" i="1"/>
  <c r="BP28" i="1"/>
  <c r="BR28" i="1"/>
  <c r="BP34" i="1"/>
  <c r="BR34" i="1"/>
  <c r="BP38" i="1"/>
  <c r="BR38" i="1"/>
  <c r="BP42" i="1"/>
  <c r="BR42" i="1"/>
  <c r="BP46" i="1"/>
  <c r="BR46" i="1"/>
  <c r="BP50" i="1"/>
  <c r="BR50" i="1"/>
  <c r="BP32" i="1"/>
  <c r="BR32" i="1"/>
  <c r="BP35" i="1"/>
  <c r="BR35" i="1"/>
  <c r="BP39" i="1"/>
  <c r="BR39" i="1"/>
  <c r="BP43" i="1"/>
  <c r="BR43" i="1"/>
  <c r="BP47" i="1"/>
  <c r="BR47" i="1"/>
  <c r="BP36" i="1"/>
  <c r="BR36" i="1"/>
  <c r="BP40" i="1"/>
  <c r="BR40" i="1"/>
  <c r="BP44" i="1"/>
  <c r="BR44" i="1"/>
  <c r="BP48" i="1"/>
  <c r="BR48" i="1"/>
  <c r="BP37" i="1"/>
  <c r="BR37" i="1"/>
  <c r="BP41" i="1"/>
  <c r="BR41" i="1"/>
  <c r="BP45" i="1"/>
  <c r="BR45" i="1"/>
  <c r="BP49" i="1"/>
  <c r="BR49" i="1"/>
  <c r="Q346" i="1"/>
  <c r="Q398" i="1"/>
  <c r="BP140" i="1"/>
  <c r="BR140" i="1"/>
  <c r="BP143" i="1"/>
  <c r="BR143" i="1"/>
  <c r="BP147" i="1"/>
  <c r="BR147" i="1"/>
  <c r="BP151" i="1"/>
  <c r="BR151" i="1"/>
  <c r="BP155" i="1"/>
  <c r="BR155" i="1"/>
  <c r="BP159" i="1"/>
  <c r="BR159" i="1"/>
  <c r="BP164" i="1"/>
  <c r="BR164" i="1"/>
  <c r="BP144" i="1"/>
  <c r="BR144" i="1"/>
  <c r="BP148" i="1"/>
  <c r="BR148" i="1"/>
  <c r="BP152" i="1"/>
  <c r="BR152" i="1"/>
  <c r="BP156" i="1"/>
  <c r="BR156" i="1"/>
  <c r="BP160" i="1"/>
  <c r="BR160" i="1"/>
  <c r="BP163" i="1"/>
  <c r="BR163" i="1"/>
  <c r="BP141" i="1"/>
  <c r="BR141" i="1"/>
  <c r="BP145" i="1"/>
  <c r="BR145" i="1"/>
  <c r="BP149" i="1"/>
  <c r="BR149" i="1"/>
  <c r="BP153" i="1"/>
  <c r="BR153" i="1"/>
  <c r="BP157" i="1"/>
  <c r="BR157" i="1"/>
  <c r="BP162" i="1"/>
  <c r="BR162" i="1"/>
  <c r="BP168" i="1"/>
  <c r="BR168" i="1"/>
  <c r="BP142" i="1"/>
  <c r="BR142" i="1"/>
  <c r="BP146" i="1"/>
  <c r="BR146" i="1"/>
  <c r="BP150" i="1"/>
  <c r="BR150" i="1"/>
  <c r="BP154" i="1"/>
  <c r="BR154" i="1"/>
  <c r="BP167" i="1"/>
  <c r="BR167" i="1"/>
  <c r="BP169" i="1"/>
  <c r="BR169" i="1"/>
  <c r="BP165" i="1"/>
  <c r="BR165" i="1"/>
  <c r="BP158" i="1"/>
  <c r="BR158" i="1"/>
  <c r="BP166" i="1"/>
  <c r="BR166" i="1"/>
  <c r="BP170" i="1"/>
  <c r="BR170" i="1"/>
  <c r="BP161" i="1"/>
  <c r="BR161" i="1"/>
  <c r="BK251" i="1"/>
  <c r="BK243" i="1"/>
  <c r="S405" i="1"/>
  <c r="BV365" i="1"/>
  <c r="BX365" i="1"/>
  <c r="BV356" i="1"/>
  <c r="BX356" i="1"/>
  <c r="BV360" i="1"/>
  <c r="BX360" i="1"/>
  <c r="BV364" i="1"/>
  <c r="BX364" i="1"/>
  <c r="BV355" i="1"/>
  <c r="BX355" i="1"/>
  <c r="BV354" i="1"/>
  <c r="BX354" i="1"/>
  <c r="BV357" i="1"/>
  <c r="BX357" i="1"/>
  <c r="BV361" i="1"/>
  <c r="BX361" i="1"/>
  <c r="BV358" i="1"/>
  <c r="BX358" i="1"/>
  <c r="BV362" i="1"/>
  <c r="BX362" i="1"/>
  <c r="BV359" i="1"/>
  <c r="BX359" i="1"/>
  <c r="BV363" i="1"/>
  <c r="BX363" i="1"/>
  <c r="T401" i="1"/>
  <c r="BY232" i="1"/>
  <c r="CA232" i="1"/>
  <c r="BY240" i="1"/>
  <c r="CA240" i="1"/>
  <c r="BY242" i="1"/>
  <c r="CA242" i="1"/>
  <c r="BY250" i="1"/>
  <c r="CA250" i="1"/>
  <c r="BY239" i="1"/>
  <c r="CA239" i="1"/>
  <c r="BY243" i="1"/>
  <c r="CA243" i="1"/>
  <c r="BY244" i="1"/>
  <c r="CA244" i="1"/>
  <c r="BY245" i="1"/>
  <c r="CA245" i="1"/>
  <c r="BY236" i="1"/>
  <c r="CA236" i="1"/>
  <c r="BY246" i="1"/>
  <c r="CA246" i="1"/>
  <c r="BY235" i="1"/>
  <c r="CA235" i="1"/>
  <c r="BY241" i="1"/>
  <c r="CA241" i="1"/>
  <c r="BY247" i="1"/>
  <c r="CA247" i="1"/>
  <c r="BY248" i="1"/>
  <c r="CA248" i="1"/>
  <c r="BY249" i="1"/>
  <c r="CA249" i="1"/>
  <c r="BY252" i="1"/>
  <c r="CA252" i="1"/>
  <c r="BY253" i="1"/>
  <c r="CA253" i="1"/>
  <c r="BY259" i="1"/>
  <c r="CA259" i="1"/>
  <c r="BY260" i="1"/>
  <c r="CA260" i="1"/>
  <c r="BY261" i="1"/>
  <c r="CA261" i="1"/>
  <c r="BY254" i="1"/>
  <c r="CA254" i="1"/>
  <c r="BY262" i="1"/>
  <c r="CA262" i="1"/>
  <c r="BY255" i="1"/>
  <c r="CA255" i="1"/>
  <c r="BY256" i="1"/>
  <c r="CA256" i="1"/>
  <c r="BY257" i="1"/>
  <c r="CA257" i="1"/>
  <c r="BY251" i="1"/>
  <c r="CA251" i="1"/>
  <c r="BY258" i="1"/>
  <c r="CA258" i="1"/>
  <c r="BY238" i="1"/>
  <c r="CA238" i="1"/>
  <c r="BY234" i="1"/>
  <c r="CA234" i="1"/>
  <c r="BY233" i="1"/>
  <c r="CA233" i="1"/>
  <c r="BY237" i="1"/>
  <c r="CA237" i="1"/>
  <c r="Q399" i="1"/>
  <c r="BP178" i="1"/>
  <c r="BR178" i="1"/>
  <c r="BP179" i="1"/>
  <c r="BR179" i="1"/>
  <c r="BP180" i="1"/>
  <c r="BR180" i="1"/>
  <c r="BP186" i="1"/>
  <c r="BR186" i="1"/>
  <c r="BP187" i="1"/>
  <c r="BR187" i="1"/>
  <c r="BP188" i="1"/>
  <c r="BR188" i="1"/>
  <c r="BP194" i="1"/>
  <c r="BR194" i="1"/>
  <c r="BP171" i="1"/>
  <c r="BR171" i="1"/>
  <c r="BP181" i="1"/>
  <c r="BR181" i="1"/>
  <c r="BP189" i="1"/>
  <c r="BR189" i="1"/>
  <c r="BP175" i="1"/>
  <c r="BR175" i="1"/>
  <c r="BP176" i="1"/>
  <c r="BR176" i="1"/>
  <c r="BP182" i="1"/>
  <c r="BR182" i="1"/>
  <c r="BP183" i="1"/>
  <c r="BR183" i="1"/>
  <c r="BP184" i="1"/>
  <c r="BR184" i="1"/>
  <c r="BP190" i="1"/>
  <c r="BR190" i="1"/>
  <c r="BP191" i="1"/>
  <c r="BR191" i="1"/>
  <c r="BP192" i="1"/>
  <c r="BR192" i="1"/>
  <c r="BP174" i="1"/>
  <c r="BR174" i="1"/>
  <c r="BP177" i="1"/>
  <c r="BR177" i="1"/>
  <c r="BP185" i="1"/>
  <c r="BR185" i="1"/>
  <c r="BP193" i="1"/>
  <c r="BR193" i="1"/>
  <c r="BP195" i="1"/>
  <c r="BR195" i="1"/>
  <c r="BP196" i="1"/>
  <c r="BR196" i="1"/>
  <c r="BP197" i="1"/>
  <c r="BR197" i="1"/>
  <c r="BP198" i="1"/>
  <c r="BR198" i="1"/>
  <c r="BP199" i="1"/>
  <c r="BR199" i="1"/>
  <c r="BP200" i="1"/>
  <c r="BR200" i="1"/>
  <c r="BP173" i="1"/>
  <c r="BR173" i="1"/>
  <c r="BP172" i="1"/>
  <c r="BR172" i="1"/>
  <c r="T394" i="1"/>
  <c r="BY20" i="1"/>
  <c r="CA20" i="1"/>
  <c r="BY24" i="1"/>
  <c r="CA24" i="1"/>
  <c r="BY28" i="1"/>
  <c r="CA28" i="1"/>
  <c r="BY32" i="1"/>
  <c r="CA32" i="1"/>
  <c r="BY21" i="1"/>
  <c r="CA21" i="1"/>
  <c r="BY25" i="1"/>
  <c r="CA25" i="1"/>
  <c r="BY29" i="1"/>
  <c r="CA29" i="1"/>
  <c r="BY33" i="1"/>
  <c r="CA33" i="1"/>
  <c r="BY22" i="1"/>
  <c r="CA22" i="1"/>
  <c r="BY26" i="1"/>
  <c r="CA26" i="1"/>
  <c r="BY30" i="1"/>
  <c r="CA30" i="1"/>
  <c r="BY23" i="1"/>
  <c r="CA23" i="1"/>
  <c r="BY27" i="1"/>
  <c r="CA27" i="1"/>
  <c r="BY31" i="1"/>
  <c r="CA31" i="1"/>
  <c r="BY37" i="1"/>
  <c r="CA37" i="1"/>
  <c r="BY41" i="1"/>
  <c r="CA41" i="1"/>
  <c r="BY45" i="1"/>
  <c r="CA45" i="1"/>
  <c r="BY49" i="1"/>
  <c r="CA49" i="1"/>
  <c r="BY34" i="1"/>
  <c r="CA34" i="1"/>
  <c r="BY38" i="1"/>
  <c r="CA38" i="1"/>
  <c r="BY42" i="1"/>
  <c r="CA42" i="1"/>
  <c r="BY46" i="1"/>
  <c r="CA46" i="1"/>
  <c r="BY50" i="1"/>
  <c r="CA50" i="1"/>
  <c r="BY35" i="1"/>
  <c r="CA35" i="1"/>
  <c r="BY39" i="1"/>
  <c r="CA39" i="1"/>
  <c r="BY43" i="1"/>
  <c r="CA43" i="1"/>
  <c r="BY47" i="1"/>
  <c r="CA47" i="1"/>
  <c r="BY36" i="1"/>
  <c r="CA36" i="1"/>
  <c r="BY40" i="1"/>
  <c r="CA40" i="1"/>
  <c r="BY44" i="1"/>
  <c r="CA44" i="1"/>
  <c r="BY48" i="1"/>
  <c r="CA48" i="1"/>
  <c r="T346" i="1"/>
  <c r="Q402" i="1"/>
  <c r="BP264" i="1"/>
  <c r="BR264" i="1"/>
  <c r="BP267" i="1"/>
  <c r="BR267" i="1"/>
  <c r="BP270" i="1"/>
  <c r="BR270" i="1"/>
  <c r="BP276" i="1"/>
  <c r="BR276" i="1"/>
  <c r="BP279" i="1"/>
  <c r="BR279" i="1"/>
  <c r="BP284" i="1"/>
  <c r="BR284" i="1"/>
  <c r="BP287" i="1"/>
  <c r="BR287" i="1"/>
  <c r="BP265" i="1"/>
  <c r="BR265" i="1"/>
  <c r="BP268" i="1"/>
  <c r="BR268" i="1"/>
  <c r="BP271" i="1"/>
  <c r="BR271" i="1"/>
  <c r="BP274" i="1"/>
  <c r="BR274" i="1"/>
  <c r="BP277" i="1"/>
  <c r="BR277" i="1"/>
  <c r="BP282" i="1"/>
  <c r="BR282" i="1"/>
  <c r="BP285" i="1"/>
  <c r="BR285" i="1"/>
  <c r="BP290" i="1"/>
  <c r="BR290" i="1"/>
  <c r="BP263" i="1"/>
  <c r="BR263" i="1"/>
  <c r="BP269" i="1"/>
  <c r="BR269" i="1"/>
  <c r="BP272" i="1"/>
  <c r="BR272" i="1"/>
  <c r="BP275" i="1"/>
  <c r="BR275" i="1"/>
  <c r="BP280" i="1"/>
  <c r="BR280" i="1"/>
  <c r="BP283" i="1"/>
  <c r="BR283" i="1"/>
  <c r="BP288" i="1"/>
  <c r="BR288" i="1"/>
  <c r="BP291" i="1"/>
  <c r="BR291" i="1"/>
  <c r="BP266" i="1"/>
  <c r="BR266" i="1"/>
  <c r="BP273" i="1"/>
  <c r="BR273" i="1"/>
  <c r="BP278" i="1"/>
  <c r="BR278" i="1"/>
  <c r="BP281" i="1"/>
  <c r="BR281" i="1"/>
  <c r="BP286" i="1"/>
  <c r="BR286" i="1"/>
  <c r="BP289" i="1"/>
  <c r="BR289" i="1"/>
  <c r="BP292" i="1"/>
  <c r="BR292" i="1"/>
  <c r="S395" i="1"/>
  <c r="BV51" i="1"/>
  <c r="BX51" i="1"/>
  <c r="BV56" i="1"/>
  <c r="BX56" i="1"/>
  <c r="BV67" i="1"/>
  <c r="BX67" i="1"/>
  <c r="BV52" i="1"/>
  <c r="BX52" i="1"/>
  <c r="BV64" i="1"/>
  <c r="BX64" i="1"/>
  <c r="BV53" i="1"/>
  <c r="BX53" i="1"/>
  <c r="BV63" i="1"/>
  <c r="BX63" i="1"/>
  <c r="BV65" i="1"/>
  <c r="BX65" i="1"/>
  <c r="BV68" i="1"/>
  <c r="BX68" i="1"/>
  <c r="BV66" i="1"/>
  <c r="BX66" i="1"/>
  <c r="BV70" i="1"/>
  <c r="BX70" i="1"/>
  <c r="BV78" i="1"/>
  <c r="BX78" i="1"/>
  <c r="BV72" i="1"/>
  <c r="BX72" i="1"/>
  <c r="BV74" i="1"/>
  <c r="BX74" i="1"/>
  <c r="BV76" i="1"/>
  <c r="BX76" i="1"/>
  <c r="BV77" i="1"/>
  <c r="BX77" i="1"/>
  <c r="BV75" i="1"/>
  <c r="BX75" i="1"/>
  <c r="BV62" i="1"/>
  <c r="BX62" i="1"/>
  <c r="BV58" i="1"/>
  <c r="BX58" i="1"/>
  <c r="BV69" i="1"/>
  <c r="BX69" i="1"/>
  <c r="BV60" i="1"/>
  <c r="BX60" i="1"/>
  <c r="BV71" i="1"/>
  <c r="BX71" i="1"/>
  <c r="BV61" i="1"/>
  <c r="BX61" i="1"/>
  <c r="BV57" i="1"/>
  <c r="BX57" i="1"/>
  <c r="BV73" i="1"/>
  <c r="BX73" i="1"/>
  <c r="BV59" i="1"/>
  <c r="BX59" i="1"/>
  <c r="BV55" i="1"/>
  <c r="BX55" i="1"/>
  <c r="BV54" i="1"/>
  <c r="BX54" i="1"/>
  <c r="S403" i="1"/>
  <c r="BV297" i="1"/>
  <c r="BX297" i="1"/>
  <c r="BV301" i="1"/>
  <c r="BX301" i="1"/>
  <c r="BV307" i="1"/>
  <c r="BX307" i="1"/>
  <c r="BV310" i="1"/>
  <c r="BX310" i="1"/>
  <c r="BV313" i="1"/>
  <c r="BX313" i="1"/>
  <c r="BV317" i="1"/>
  <c r="BX317" i="1"/>
  <c r="BV323" i="1"/>
  <c r="BX323" i="1"/>
  <c r="BV294" i="1"/>
  <c r="BX294" i="1"/>
  <c r="BV298" i="1"/>
  <c r="BX298" i="1"/>
  <c r="BV304" i="1"/>
  <c r="BX304" i="1"/>
  <c r="BV308" i="1"/>
  <c r="BX308" i="1"/>
  <c r="BV311" i="1"/>
  <c r="BX311" i="1"/>
  <c r="BV314" i="1"/>
  <c r="BX314" i="1"/>
  <c r="BV320" i="1"/>
  <c r="BX320" i="1"/>
  <c r="BV295" i="1"/>
  <c r="BX295" i="1"/>
  <c r="BV299" i="1"/>
  <c r="BX299" i="1"/>
  <c r="BV302" i="1"/>
  <c r="BX302" i="1"/>
  <c r="BV305" i="1"/>
  <c r="BX305" i="1"/>
  <c r="BV309" i="1"/>
  <c r="BX309" i="1"/>
  <c r="BV315" i="1"/>
  <c r="BX315" i="1"/>
  <c r="BV318" i="1"/>
  <c r="BX318" i="1"/>
  <c r="BV321" i="1"/>
  <c r="BX321" i="1"/>
  <c r="BV293" i="1"/>
  <c r="BX293" i="1"/>
  <c r="BV296" i="1"/>
  <c r="BX296" i="1"/>
  <c r="BV300" i="1"/>
  <c r="BX300" i="1"/>
  <c r="BV303" i="1"/>
  <c r="BX303" i="1"/>
  <c r="BV306" i="1"/>
  <c r="BX306" i="1"/>
  <c r="BV312" i="1"/>
  <c r="BX312" i="1"/>
  <c r="BV316" i="1"/>
  <c r="BX316" i="1"/>
  <c r="BV319" i="1"/>
  <c r="BX319" i="1"/>
  <c r="BV322" i="1"/>
  <c r="BX322" i="1"/>
  <c r="T400" i="1"/>
  <c r="BY208" i="1"/>
  <c r="CA208" i="1"/>
  <c r="BY212" i="1"/>
  <c r="CA212" i="1"/>
  <c r="BY216" i="1"/>
  <c r="CA216" i="1"/>
  <c r="BY220" i="1"/>
  <c r="CA220" i="1"/>
  <c r="BY224" i="1"/>
  <c r="CA224" i="1"/>
  <c r="BY230" i="1"/>
  <c r="CA230" i="1"/>
  <c r="BY202" i="1"/>
  <c r="CA202" i="1"/>
  <c r="BY205" i="1"/>
  <c r="CA205" i="1"/>
  <c r="BY209" i="1"/>
  <c r="CA209" i="1"/>
  <c r="BY213" i="1"/>
  <c r="CA213" i="1"/>
  <c r="BY217" i="1"/>
  <c r="CA217" i="1"/>
  <c r="BY221" i="1"/>
  <c r="CA221" i="1"/>
  <c r="BY225" i="1"/>
  <c r="CA225" i="1"/>
  <c r="BY201" i="1"/>
  <c r="CA201" i="1"/>
  <c r="BY203" i="1"/>
  <c r="CA203" i="1"/>
  <c r="BY206" i="1"/>
  <c r="CA206" i="1"/>
  <c r="BY210" i="1"/>
  <c r="CA210" i="1"/>
  <c r="BY214" i="1"/>
  <c r="CA214" i="1"/>
  <c r="BY218" i="1"/>
  <c r="CA218" i="1"/>
  <c r="BY222" i="1"/>
  <c r="CA222" i="1"/>
  <c r="BY226" i="1"/>
  <c r="CA226" i="1"/>
  <c r="BY204" i="1"/>
  <c r="CA204" i="1"/>
  <c r="BY207" i="1"/>
  <c r="CA207" i="1"/>
  <c r="BY211" i="1"/>
  <c r="CA211" i="1"/>
  <c r="BY215" i="1"/>
  <c r="CA215" i="1"/>
  <c r="BY219" i="1"/>
  <c r="CA219" i="1"/>
  <c r="BY223" i="1"/>
  <c r="CA223" i="1"/>
  <c r="BY227" i="1"/>
  <c r="CA227" i="1"/>
  <c r="BY231" i="1"/>
  <c r="CA231" i="1"/>
  <c r="BY228" i="1"/>
  <c r="CA228" i="1"/>
  <c r="BY229" i="1"/>
  <c r="CA229" i="1"/>
  <c r="R395" i="1"/>
  <c r="BS66" i="1"/>
  <c r="BU66" i="1"/>
  <c r="BS51" i="1"/>
  <c r="BU51" i="1"/>
  <c r="BS54" i="1"/>
  <c r="BU54" i="1"/>
  <c r="BS56" i="1"/>
  <c r="BU56" i="1"/>
  <c r="BS59" i="1"/>
  <c r="BU59" i="1"/>
  <c r="BS67" i="1"/>
  <c r="BU67" i="1"/>
  <c r="BS52" i="1"/>
  <c r="BU52" i="1"/>
  <c r="BS64" i="1"/>
  <c r="BU64" i="1"/>
  <c r="BS53" i="1"/>
  <c r="BU53" i="1"/>
  <c r="BS55" i="1"/>
  <c r="BU55" i="1"/>
  <c r="BS63" i="1"/>
  <c r="BU63" i="1"/>
  <c r="BS65" i="1"/>
  <c r="BU65" i="1"/>
  <c r="BS68" i="1"/>
  <c r="BU68" i="1"/>
  <c r="BS73" i="1"/>
  <c r="BU73" i="1"/>
  <c r="BS74" i="1"/>
  <c r="BU74" i="1"/>
  <c r="BS77" i="1"/>
  <c r="BU77" i="1"/>
  <c r="BS71" i="1"/>
  <c r="BU71" i="1"/>
  <c r="BS76" i="1"/>
  <c r="BU76" i="1"/>
  <c r="BS78" i="1"/>
  <c r="BU78" i="1"/>
  <c r="BS69" i="1"/>
  <c r="BU69" i="1"/>
  <c r="BS70" i="1"/>
  <c r="BU70" i="1"/>
  <c r="BS72" i="1"/>
  <c r="BU72" i="1"/>
  <c r="BS75" i="1"/>
  <c r="BU75" i="1"/>
  <c r="BS58" i="1"/>
  <c r="BU58" i="1"/>
  <c r="BS61" i="1"/>
  <c r="BU61" i="1"/>
  <c r="BS62" i="1"/>
  <c r="BU62" i="1"/>
  <c r="BS57" i="1"/>
  <c r="BU57" i="1"/>
  <c r="BS60" i="1"/>
  <c r="BU60" i="1"/>
  <c r="T402" i="1"/>
  <c r="BY266" i="1"/>
  <c r="CA266" i="1"/>
  <c r="BY273" i="1"/>
  <c r="CA273" i="1"/>
  <c r="BY278" i="1"/>
  <c r="CA278" i="1"/>
  <c r="BY281" i="1"/>
  <c r="CA281" i="1"/>
  <c r="BY286" i="1"/>
  <c r="CA286" i="1"/>
  <c r="BY289" i="1"/>
  <c r="CA289" i="1"/>
  <c r="BY292" i="1"/>
  <c r="CA292" i="1"/>
  <c r="BY264" i="1"/>
  <c r="CA264" i="1"/>
  <c r="BY267" i="1"/>
  <c r="CA267" i="1"/>
  <c r="BY270" i="1"/>
  <c r="CA270" i="1"/>
  <c r="BY276" i="1"/>
  <c r="CA276" i="1"/>
  <c r="BY279" i="1"/>
  <c r="CA279" i="1"/>
  <c r="BY284" i="1"/>
  <c r="CA284" i="1"/>
  <c r="BY287" i="1"/>
  <c r="CA287" i="1"/>
  <c r="BY265" i="1"/>
  <c r="CA265" i="1"/>
  <c r="BY268" i="1"/>
  <c r="CA268" i="1"/>
  <c r="BY271" i="1"/>
  <c r="CA271" i="1"/>
  <c r="BY274" i="1"/>
  <c r="CA274" i="1"/>
  <c r="BY277" i="1"/>
  <c r="CA277" i="1"/>
  <c r="BY282" i="1"/>
  <c r="CA282" i="1"/>
  <c r="BY285" i="1"/>
  <c r="CA285" i="1"/>
  <c r="BY290" i="1"/>
  <c r="CA290" i="1"/>
  <c r="BY263" i="1"/>
  <c r="CA263" i="1"/>
  <c r="BY269" i="1"/>
  <c r="CA269" i="1"/>
  <c r="BY272" i="1"/>
  <c r="CA272" i="1"/>
  <c r="BY275" i="1"/>
  <c r="CA275" i="1"/>
  <c r="BY280" i="1"/>
  <c r="CA280" i="1"/>
  <c r="BY283" i="1"/>
  <c r="CA283" i="1"/>
  <c r="BY288" i="1"/>
  <c r="CA288" i="1"/>
  <c r="BY291" i="1"/>
  <c r="CA291" i="1"/>
  <c r="T397" i="1"/>
  <c r="BY114" i="1"/>
  <c r="CA114" i="1"/>
  <c r="BY118" i="1"/>
  <c r="CA118" i="1"/>
  <c r="BY111" i="1"/>
  <c r="CA111" i="1"/>
  <c r="BY115" i="1"/>
  <c r="CA115" i="1"/>
  <c r="BY119" i="1"/>
  <c r="CA119" i="1"/>
  <c r="BY112" i="1"/>
  <c r="CA112" i="1"/>
  <c r="BY116" i="1"/>
  <c r="CA116" i="1"/>
  <c r="BY120" i="1"/>
  <c r="CA120" i="1"/>
  <c r="BY110" i="1"/>
  <c r="CA110" i="1"/>
  <c r="BY113" i="1"/>
  <c r="CA113" i="1"/>
  <c r="BY117" i="1"/>
  <c r="CA117" i="1"/>
  <c r="BY124" i="1"/>
  <c r="CA124" i="1"/>
  <c r="BY128" i="1"/>
  <c r="CA128" i="1"/>
  <c r="BY132" i="1"/>
  <c r="CA132" i="1"/>
  <c r="BY136" i="1"/>
  <c r="CA136" i="1"/>
  <c r="BY121" i="1"/>
  <c r="CA121" i="1"/>
  <c r="BY125" i="1"/>
  <c r="CA125" i="1"/>
  <c r="BY129" i="1"/>
  <c r="CA129" i="1"/>
  <c r="BY133" i="1"/>
  <c r="CA133" i="1"/>
  <c r="BY137" i="1"/>
  <c r="CA137" i="1"/>
  <c r="BY122" i="1"/>
  <c r="CA122" i="1"/>
  <c r="BY126" i="1"/>
  <c r="CA126" i="1"/>
  <c r="BY130" i="1"/>
  <c r="CA130" i="1"/>
  <c r="BY134" i="1"/>
  <c r="CA134" i="1"/>
  <c r="BY138" i="1"/>
  <c r="CA138" i="1"/>
  <c r="BY123" i="1"/>
  <c r="CA123" i="1"/>
  <c r="BY127" i="1"/>
  <c r="CA127" i="1"/>
  <c r="BY131" i="1"/>
  <c r="CA131" i="1"/>
  <c r="BY135" i="1"/>
  <c r="CA135" i="1"/>
  <c r="BY139" i="1"/>
  <c r="CA139" i="1"/>
  <c r="T398" i="1"/>
  <c r="BY142" i="1"/>
  <c r="CA142" i="1"/>
  <c r="BY146" i="1"/>
  <c r="CA146" i="1"/>
  <c r="BY150" i="1"/>
  <c r="CA150" i="1"/>
  <c r="BY154" i="1"/>
  <c r="CA154" i="1"/>
  <c r="BY166" i="1"/>
  <c r="CA166" i="1"/>
  <c r="BY140" i="1"/>
  <c r="CA140" i="1"/>
  <c r="BY143" i="1"/>
  <c r="CA143" i="1"/>
  <c r="BY147" i="1"/>
  <c r="CA147" i="1"/>
  <c r="BY151" i="1"/>
  <c r="CA151" i="1"/>
  <c r="BY155" i="1"/>
  <c r="CA155" i="1"/>
  <c r="BY158" i="1"/>
  <c r="CA158" i="1"/>
  <c r="BY163" i="1"/>
  <c r="CA163" i="1"/>
  <c r="BY170" i="1"/>
  <c r="CA170" i="1"/>
  <c r="BY144" i="1"/>
  <c r="CA144" i="1"/>
  <c r="BY148" i="1"/>
  <c r="CA148" i="1"/>
  <c r="BY152" i="1"/>
  <c r="CA152" i="1"/>
  <c r="BY156" i="1"/>
  <c r="CA156" i="1"/>
  <c r="BY159" i="1"/>
  <c r="CA159" i="1"/>
  <c r="BY162" i="1"/>
  <c r="CA162" i="1"/>
  <c r="BY141" i="1"/>
  <c r="CA141" i="1"/>
  <c r="BY145" i="1"/>
  <c r="CA145" i="1"/>
  <c r="BY149" i="1"/>
  <c r="CA149" i="1"/>
  <c r="BY153" i="1"/>
  <c r="CA153" i="1"/>
  <c r="BY157" i="1"/>
  <c r="CA157" i="1"/>
  <c r="BY167" i="1"/>
  <c r="CA167" i="1"/>
  <c r="BY169" i="1"/>
  <c r="CA169" i="1"/>
  <c r="BY165" i="1"/>
  <c r="CA165" i="1"/>
  <c r="BY161" i="1"/>
  <c r="CA161" i="1"/>
  <c r="BY164" i="1"/>
  <c r="CA164" i="1"/>
  <c r="BY168" i="1"/>
  <c r="CA168" i="1"/>
  <c r="BY160" i="1"/>
  <c r="CA160" i="1"/>
  <c r="BK235" i="1"/>
  <c r="BK249" i="1"/>
  <c r="BJ280" i="1"/>
  <c r="BK280" i="1"/>
  <c r="BJ288" i="1"/>
  <c r="BK288" i="1"/>
  <c r="BJ278" i="1"/>
  <c r="BK278" i="1"/>
  <c r="BJ286" i="1"/>
  <c r="BK286" i="1"/>
  <c r="BJ270" i="1"/>
  <c r="BK270" i="1"/>
  <c r="BJ276" i="1"/>
  <c r="BK276" i="1"/>
  <c r="BJ284" i="1"/>
  <c r="BK284" i="1"/>
  <c r="BJ274" i="1"/>
  <c r="BK274" i="1"/>
  <c r="BJ282" i="1"/>
  <c r="BK282" i="1"/>
  <c r="BJ290" i="1"/>
  <c r="BK290" i="1"/>
  <c r="BJ292" i="1"/>
  <c r="BK292" i="1"/>
  <c r="BJ268" i="1"/>
  <c r="BK268" i="1"/>
  <c r="BJ265" i="1"/>
  <c r="BK265" i="1"/>
  <c r="BJ271" i="1"/>
  <c r="BK271" i="1"/>
  <c r="BJ279" i="1"/>
  <c r="BK279" i="1"/>
  <c r="BJ287" i="1"/>
  <c r="BK287" i="1"/>
  <c r="BJ269" i="1"/>
  <c r="BK269" i="1"/>
  <c r="BJ277" i="1"/>
  <c r="BK277" i="1"/>
  <c r="BJ272" i="1"/>
  <c r="BK272" i="1"/>
  <c r="BJ264" i="1"/>
  <c r="BK264" i="1"/>
  <c r="BJ273" i="1"/>
  <c r="BK273" i="1"/>
  <c r="BJ281" i="1"/>
  <c r="BK281" i="1"/>
  <c r="BJ289" i="1"/>
  <c r="BK289" i="1"/>
  <c r="BJ263" i="1"/>
  <c r="BK263" i="1"/>
  <c r="BL263" i="1"/>
  <c r="BJ285" i="1"/>
  <c r="BK285" i="1"/>
  <c r="BJ266" i="1"/>
  <c r="BK266" i="1"/>
  <c r="BJ267" i="1"/>
  <c r="BK267" i="1"/>
  <c r="BJ275" i="1"/>
  <c r="BK275" i="1"/>
  <c r="BJ283" i="1"/>
  <c r="BK283" i="1"/>
  <c r="BJ291" i="1"/>
  <c r="BK291" i="1"/>
  <c r="BK257" i="1"/>
  <c r="AN208" i="1"/>
  <c r="AN337" i="1"/>
  <c r="BK261" i="1"/>
  <c r="Q405" i="1"/>
  <c r="BP365" i="1"/>
  <c r="BR365" i="1"/>
  <c r="BP358" i="1"/>
  <c r="BR358" i="1"/>
  <c r="BP362" i="1"/>
  <c r="BR362" i="1"/>
  <c r="BP361" i="1"/>
  <c r="BR361" i="1"/>
  <c r="BP355" i="1"/>
  <c r="BR355" i="1"/>
  <c r="BP359" i="1"/>
  <c r="BR359" i="1"/>
  <c r="BP363" i="1"/>
  <c r="BR363" i="1"/>
  <c r="BP354" i="1"/>
  <c r="BR354" i="1"/>
  <c r="BP356" i="1"/>
  <c r="BR356" i="1"/>
  <c r="BP360" i="1"/>
  <c r="BR360" i="1"/>
  <c r="BP364" i="1"/>
  <c r="BR364" i="1"/>
  <c r="BP357" i="1"/>
  <c r="BR357" i="1"/>
  <c r="R401" i="1"/>
  <c r="BS236" i="1"/>
  <c r="BU236" i="1"/>
  <c r="BS239" i="1"/>
  <c r="BU239" i="1"/>
  <c r="BS246" i="1"/>
  <c r="BU246" i="1"/>
  <c r="BS233" i="1"/>
  <c r="BU233" i="1"/>
  <c r="BS241" i="1"/>
  <c r="BU241" i="1"/>
  <c r="BS247" i="1"/>
  <c r="BU247" i="1"/>
  <c r="BS248" i="1"/>
  <c r="BU248" i="1"/>
  <c r="BS249" i="1"/>
  <c r="BU249" i="1"/>
  <c r="BS235" i="1"/>
  <c r="BU235" i="1"/>
  <c r="BS237" i="1"/>
  <c r="BU237" i="1"/>
  <c r="BS238" i="1"/>
  <c r="BU238" i="1"/>
  <c r="BS240" i="1"/>
  <c r="BU240" i="1"/>
  <c r="BS242" i="1"/>
  <c r="BU242" i="1"/>
  <c r="BS250" i="1"/>
  <c r="BU250" i="1"/>
  <c r="BS232" i="1"/>
  <c r="BU232" i="1"/>
  <c r="BS243" i="1"/>
  <c r="BU243" i="1"/>
  <c r="BS244" i="1"/>
  <c r="BU244" i="1"/>
  <c r="BS245" i="1"/>
  <c r="BU245" i="1"/>
  <c r="BS251" i="1"/>
  <c r="BU251" i="1"/>
  <c r="BS255" i="1"/>
  <c r="BU255" i="1"/>
  <c r="BS256" i="1"/>
  <c r="BU256" i="1"/>
  <c r="BS257" i="1"/>
  <c r="BU257" i="1"/>
  <c r="BS258" i="1"/>
  <c r="BU258" i="1"/>
  <c r="BS252" i="1"/>
  <c r="BU252" i="1"/>
  <c r="BS253" i="1"/>
  <c r="BU253" i="1"/>
  <c r="BS259" i="1"/>
  <c r="BU259" i="1"/>
  <c r="BS260" i="1"/>
  <c r="BU260" i="1"/>
  <c r="BS261" i="1"/>
  <c r="BU261" i="1"/>
  <c r="BS254" i="1"/>
  <c r="BU254" i="1"/>
  <c r="BS262" i="1"/>
  <c r="BU262" i="1"/>
  <c r="BS234" i="1"/>
  <c r="BU234" i="1"/>
  <c r="S397" i="1"/>
  <c r="BV110" i="1"/>
  <c r="BX110" i="1"/>
  <c r="BV113" i="1"/>
  <c r="BX113" i="1"/>
  <c r="BV117" i="1"/>
  <c r="BX117" i="1"/>
  <c r="BV114" i="1"/>
  <c r="BX114" i="1"/>
  <c r="BV118" i="1"/>
  <c r="BX118" i="1"/>
  <c r="BV111" i="1"/>
  <c r="BX111" i="1"/>
  <c r="BV115" i="1"/>
  <c r="BX115" i="1"/>
  <c r="BV119" i="1"/>
  <c r="BX119" i="1"/>
  <c r="BV112" i="1"/>
  <c r="BX112" i="1"/>
  <c r="BV116" i="1"/>
  <c r="BX116" i="1"/>
  <c r="BV120" i="1"/>
  <c r="BX120" i="1"/>
  <c r="BV123" i="1"/>
  <c r="BX123" i="1"/>
  <c r="BV127" i="1"/>
  <c r="BX127" i="1"/>
  <c r="BV131" i="1"/>
  <c r="BX131" i="1"/>
  <c r="BV135" i="1"/>
  <c r="BX135" i="1"/>
  <c r="BV139" i="1"/>
  <c r="BX139" i="1"/>
  <c r="BV124" i="1"/>
  <c r="BX124" i="1"/>
  <c r="BV128" i="1"/>
  <c r="BX128" i="1"/>
  <c r="BV132" i="1"/>
  <c r="BX132" i="1"/>
  <c r="BV136" i="1"/>
  <c r="BX136" i="1"/>
  <c r="BV121" i="1"/>
  <c r="BX121" i="1"/>
  <c r="BV125" i="1"/>
  <c r="BX125" i="1"/>
  <c r="BV129" i="1"/>
  <c r="BX129" i="1"/>
  <c r="BV133" i="1"/>
  <c r="BX133" i="1"/>
  <c r="BV137" i="1"/>
  <c r="BX137" i="1"/>
  <c r="BV122" i="1"/>
  <c r="BX122" i="1"/>
  <c r="BV126" i="1"/>
  <c r="BX126" i="1"/>
  <c r="BV130" i="1"/>
  <c r="BX130" i="1"/>
  <c r="BV134" i="1"/>
  <c r="BX134" i="1"/>
  <c r="BV138" i="1"/>
  <c r="BX138" i="1"/>
  <c r="S404" i="1"/>
  <c r="BV324" i="1"/>
  <c r="BX324" i="1"/>
  <c r="BV327" i="1"/>
  <c r="BX327" i="1"/>
  <c r="BV331" i="1"/>
  <c r="BX331" i="1"/>
  <c r="BV334" i="1"/>
  <c r="BX334" i="1"/>
  <c r="BV342" i="1"/>
  <c r="BX342" i="1"/>
  <c r="BV346" i="1"/>
  <c r="BX346" i="1"/>
  <c r="BV348" i="1"/>
  <c r="BX348" i="1"/>
  <c r="BV351" i="1"/>
  <c r="BX351" i="1"/>
  <c r="BV326" i="1"/>
  <c r="BX326" i="1"/>
  <c r="BV330" i="1"/>
  <c r="BX330" i="1"/>
  <c r="BV333" i="1"/>
  <c r="BX333" i="1"/>
  <c r="BV338" i="1"/>
  <c r="BX338" i="1"/>
  <c r="BV353" i="1"/>
  <c r="BX353" i="1"/>
  <c r="BV328" i="1"/>
  <c r="BX328" i="1"/>
  <c r="BV332" i="1"/>
  <c r="BX332" i="1"/>
  <c r="BV339" i="1"/>
  <c r="BX339" i="1"/>
  <c r="BV343" i="1"/>
  <c r="BX343" i="1"/>
  <c r="BV341" i="1"/>
  <c r="BX341" i="1"/>
  <c r="BV345" i="1"/>
  <c r="BX345" i="1"/>
  <c r="BV350" i="1"/>
  <c r="BX350" i="1"/>
  <c r="BV325" i="1"/>
  <c r="BX325" i="1"/>
  <c r="BV329" i="1"/>
  <c r="BX329" i="1"/>
  <c r="BV335" i="1"/>
  <c r="BX335" i="1"/>
  <c r="BV337" i="1"/>
  <c r="BX337" i="1"/>
  <c r="BV340" i="1"/>
  <c r="BX340" i="1"/>
  <c r="BV344" i="1"/>
  <c r="BX344" i="1"/>
  <c r="BV347" i="1"/>
  <c r="BX347" i="1"/>
  <c r="BV349" i="1"/>
  <c r="BX349" i="1"/>
  <c r="BV352" i="1"/>
  <c r="BX352" i="1"/>
  <c r="BV336" i="1"/>
  <c r="BX336" i="1"/>
  <c r="S399" i="1"/>
  <c r="BV174" i="1"/>
  <c r="BX174" i="1"/>
  <c r="BV176" i="1"/>
  <c r="BX176" i="1"/>
  <c r="BV184" i="1"/>
  <c r="BX184" i="1"/>
  <c r="BV192" i="1"/>
  <c r="BX192" i="1"/>
  <c r="BV177" i="1"/>
  <c r="BX177" i="1"/>
  <c r="BV178" i="1"/>
  <c r="BX178" i="1"/>
  <c r="BV179" i="1"/>
  <c r="BX179" i="1"/>
  <c r="BV185" i="1"/>
  <c r="BX185" i="1"/>
  <c r="BV186" i="1"/>
  <c r="BX186" i="1"/>
  <c r="BV187" i="1"/>
  <c r="BX187" i="1"/>
  <c r="BV173" i="1"/>
  <c r="BX173" i="1"/>
  <c r="BV180" i="1"/>
  <c r="BX180" i="1"/>
  <c r="BV188" i="1"/>
  <c r="BX188" i="1"/>
  <c r="BV175" i="1"/>
  <c r="BX175" i="1"/>
  <c r="BV181" i="1"/>
  <c r="BX181" i="1"/>
  <c r="BV182" i="1"/>
  <c r="BX182" i="1"/>
  <c r="BV183" i="1"/>
  <c r="BX183" i="1"/>
  <c r="BV189" i="1"/>
  <c r="BX189" i="1"/>
  <c r="BV190" i="1"/>
  <c r="BX190" i="1"/>
  <c r="BV191" i="1"/>
  <c r="BX191" i="1"/>
  <c r="BV197" i="1"/>
  <c r="BX197" i="1"/>
  <c r="BV198" i="1"/>
  <c r="BX198" i="1"/>
  <c r="BV199" i="1"/>
  <c r="BX199" i="1"/>
  <c r="BV194" i="1"/>
  <c r="BX194" i="1"/>
  <c r="BV200" i="1"/>
  <c r="BX200" i="1"/>
  <c r="BV195" i="1"/>
  <c r="BX195" i="1"/>
  <c r="BV193" i="1"/>
  <c r="BX193" i="1"/>
  <c r="BV196" i="1"/>
  <c r="BX196" i="1"/>
  <c r="BV171" i="1"/>
  <c r="BX171" i="1"/>
  <c r="BV172" i="1"/>
  <c r="BX172" i="1"/>
  <c r="S394" i="1"/>
  <c r="BV23" i="1"/>
  <c r="BX23" i="1"/>
  <c r="BV27" i="1"/>
  <c r="BX27" i="1"/>
  <c r="BV31" i="1"/>
  <c r="BX31" i="1"/>
  <c r="BV20" i="1"/>
  <c r="BX20" i="1"/>
  <c r="BV24" i="1"/>
  <c r="BX24" i="1"/>
  <c r="BV28" i="1"/>
  <c r="BX28" i="1"/>
  <c r="BV32" i="1"/>
  <c r="BX32" i="1"/>
  <c r="BV21" i="1"/>
  <c r="BX21" i="1"/>
  <c r="BV25" i="1"/>
  <c r="BX25" i="1"/>
  <c r="BV29" i="1"/>
  <c r="BX29" i="1"/>
  <c r="BV22" i="1"/>
  <c r="BX22" i="1"/>
  <c r="BV26" i="1"/>
  <c r="BX26" i="1"/>
  <c r="BV30" i="1"/>
  <c r="BX30" i="1"/>
  <c r="BV36" i="1"/>
  <c r="BX36" i="1"/>
  <c r="BV40" i="1"/>
  <c r="BX40" i="1"/>
  <c r="BV44" i="1"/>
  <c r="BX44" i="1"/>
  <c r="BV48" i="1"/>
  <c r="BX48" i="1"/>
  <c r="BV37" i="1"/>
  <c r="BX37" i="1"/>
  <c r="BV41" i="1"/>
  <c r="BX41" i="1"/>
  <c r="BV45" i="1"/>
  <c r="BX45" i="1"/>
  <c r="BV49" i="1"/>
  <c r="BX49" i="1"/>
  <c r="BV33" i="1"/>
  <c r="BX33" i="1"/>
  <c r="BV34" i="1"/>
  <c r="BX34" i="1"/>
  <c r="BV38" i="1"/>
  <c r="BX38" i="1"/>
  <c r="BV42" i="1"/>
  <c r="BX42" i="1"/>
  <c r="BV46" i="1"/>
  <c r="BX46" i="1"/>
  <c r="BV50" i="1"/>
  <c r="BX50" i="1"/>
  <c r="BV35" i="1"/>
  <c r="BX35" i="1"/>
  <c r="BV39" i="1"/>
  <c r="BX39" i="1"/>
  <c r="BV43" i="1"/>
  <c r="BX43" i="1"/>
  <c r="BV47" i="1"/>
  <c r="BX47" i="1"/>
  <c r="S346" i="1"/>
  <c r="Q403" i="1"/>
  <c r="BP295" i="1"/>
  <c r="BR295" i="1"/>
  <c r="BP299" i="1"/>
  <c r="BR299" i="1"/>
  <c r="BP302" i="1"/>
  <c r="BR302" i="1"/>
  <c r="BP305" i="1"/>
  <c r="BR305" i="1"/>
  <c r="BP309" i="1"/>
  <c r="BR309" i="1"/>
  <c r="BP315" i="1"/>
  <c r="BR315" i="1"/>
  <c r="BP318" i="1"/>
  <c r="BR318" i="1"/>
  <c r="BP321" i="1"/>
  <c r="BR321" i="1"/>
  <c r="BP293" i="1"/>
  <c r="BR293" i="1"/>
  <c r="BP296" i="1"/>
  <c r="BR296" i="1"/>
  <c r="BP300" i="1"/>
  <c r="BR300" i="1"/>
  <c r="BP303" i="1"/>
  <c r="BR303" i="1"/>
  <c r="BP306" i="1"/>
  <c r="BR306" i="1"/>
  <c r="BP312" i="1"/>
  <c r="BR312" i="1"/>
  <c r="BP316" i="1"/>
  <c r="BR316" i="1"/>
  <c r="BP319" i="1"/>
  <c r="BR319" i="1"/>
  <c r="BP322" i="1"/>
  <c r="BR322" i="1"/>
  <c r="BP297" i="1"/>
  <c r="BR297" i="1"/>
  <c r="BP301" i="1"/>
  <c r="BR301" i="1"/>
  <c r="BP307" i="1"/>
  <c r="BR307" i="1"/>
  <c r="BP310" i="1"/>
  <c r="BR310" i="1"/>
  <c r="BP313" i="1"/>
  <c r="BR313" i="1"/>
  <c r="BP317" i="1"/>
  <c r="BR317" i="1"/>
  <c r="BP294" i="1"/>
  <c r="BR294" i="1"/>
  <c r="BP298" i="1"/>
  <c r="BR298" i="1"/>
  <c r="BP304" i="1"/>
  <c r="BR304" i="1"/>
  <c r="BP308" i="1"/>
  <c r="BR308" i="1"/>
  <c r="BP311" i="1"/>
  <c r="BR311" i="1"/>
  <c r="BP314" i="1"/>
  <c r="BR314" i="1"/>
  <c r="BP320" i="1"/>
  <c r="BR320" i="1"/>
  <c r="BP323" i="1"/>
  <c r="BR323" i="1"/>
  <c r="R400" i="1"/>
  <c r="BS201" i="1"/>
  <c r="BU201" i="1"/>
  <c r="BS203" i="1"/>
  <c r="BU203" i="1"/>
  <c r="BS206" i="1"/>
  <c r="BU206" i="1"/>
  <c r="BS210" i="1"/>
  <c r="BU210" i="1"/>
  <c r="BS214" i="1"/>
  <c r="BU214" i="1"/>
  <c r="BS218" i="1"/>
  <c r="BU218" i="1"/>
  <c r="BS222" i="1"/>
  <c r="BU222" i="1"/>
  <c r="BS226" i="1"/>
  <c r="BU226" i="1"/>
  <c r="BS204" i="1"/>
  <c r="BU204" i="1"/>
  <c r="BS207" i="1"/>
  <c r="BU207" i="1"/>
  <c r="BS211" i="1"/>
  <c r="BU211" i="1"/>
  <c r="BS215" i="1"/>
  <c r="BU215" i="1"/>
  <c r="BS219" i="1"/>
  <c r="BU219" i="1"/>
  <c r="BS223" i="1"/>
  <c r="BU223" i="1"/>
  <c r="BS227" i="1"/>
  <c r="BU227" i="1"/>
  <c r="BS230" i="1"/>
  <c r="BU230" i="1"/>
  <c r="BS231" i="1"/>
  <c r="BU231" i="1"/>
  <c r="BS208" i="1"/>
  <c r="BU208" i="1"/>
  <c r="BS212" i="1"/>
  <c r="BU212" i="1"/>
  <c r="BS216" i="1"/>
  <c r="BU216" i="1"/>
  <c r="BS220" i="1"/>
  <c r="BU220" i="1"/>
  <c r="BS224" i="1"/>
  <c r="BU224" i="1"/>
  <c r="BS202" i="1"/>
  <c r="BU202" i="1"/>
  <c r="BS205" i="1"/>
  <c r="BU205" i="1"/>
  <c r="BS209" i="1"/>
  <c r="BU209" i="1"/>
  <c r="BS213" i="1"/>
  <c r="BU213" i="1"/>
  <c r="BS217" i="1"/>
  <c r="BU217" i="1"/>
  <c r="BS221" i="1"/>
  <c r="BU221" i="1"/>
  <c r="BS225" i="1"/>
  <c r="BU225" i="1"/>
  <c r="BS229" i="1"/>
  <c r="BU229" i="1"/>
  <c r="BS228" i="1"/>
  <c r="BU228" i="1"/>
  <c r="R394" i="1"/>
  <c r="BS22" i="1"/>
  <c r="BU22" i="1"/>
  <c r="BS26" i="1"/>
  <c r="BU26" i="1"/>
  <c r="BS30" i="1"/>
  <c r="BU30" i="1"/>
  <c r="BS23" i="1"/>
  <c r="BU23" i="1"/>
  <c r="BS27" i="1"/>
  <c r="BU27" i="1"/>
  <c r="BS31" i="1"/>
  <c r="BU31" i="1"/>
  <c r="BS20" i="1"/>
  <c r="BU20" i="1"/>
  <c r="BS24" i="1"/>
  <c r="BU24" i="1"/>
  <c r="BS28" i="1"/>
  <c r="BU28" i="1"/>
  <c r="BS21" i="1"/>
  <c r="BU21" i="1"/>
  <c r="BS25" i="1"/>
  <c r="BU25" i="1"/>
  <c r="BS29" i="1"/>
  <c r="BU29" i="1"/>
  <c r="BS35" i="1"/>
  <c r="BU35" i="1"/>
  <c r="BS39" i="1"/>
  <c r="BU39" i="1"/>
  <c r="BS43" i="1"/>
  <c r="BU43" i="1"/>
  <c r="BS47" i="1"/>
  <c r="BU47" i="1"/>
  <c r="BS33" i="1"/>
  <c r="BU33" i="1"/>
  <c r="BS36" i="1"/>
  <c r="BU36" i="1"/>
  <c r="BS40" i="1"/>
  <c r="BU40" i="1"/>
  <c r="BS44" i="1"/>
  <c r="BU44" i="1"/>
  <c r="BS48" i="1"/>
  <c r="BU48" i="1"/>
  <c r="BS32" i="1"/>
  <c r="BU32" i="1"/>
  <c r="BS37" i="1"/>
  <c r="BU37" i="1"/>
  <c r="BS41" i="1"/>
  <c r="BU41" i="1"/>
  <c r="BS45" i="1"/>
  <c r="BU45" i="1"/>
  <c r="BS49" i="1"/>
  <c r="BU49" i="1"/>
  <c r="BS34" i="1"/>
  <c r="BU34" i="1"/>
  <c r="BS38" i="1"/>
  <c r="BU38" i="1"/>
  <c r="BS42" i="1"/>
  <c r="BU42" i="1"/>
  <c r="BS46" i="1"/>
  <c r="BU46" i="1"/>
  <c r="BS50" i="1"/>
  <c r="BU50" i="1"/>
  <c r="R346" i="1"/>
  <c r="R402" i="1"/>
  <c r="BS265" i="1"/>
  <c r="BU265" i="1"/>
  <c r="BS268" i="1"/>
  <c r="BU268" i="1"/>
  <c r="BS271" i="1"/>
  <c r="BU271" i="1"/>
  <c r="BS274" i="1"/>
  <c r="BU274" i="1"/>
  <c r="BS277" i="1"/>
  <c r="BU277" i="1"/>
  <c r="BS282" i="1"/>
  <c r="BU282" i="1"/>
  <c r="BS285" i="1"/>
  <c r="BU285" i="1"/>
  <c r="BS290" i="1"/>
  <c r="BU290" i="1"/>
  <c r="BS263" i="1"/>
  <c r="BU263" i="1"/>
  <c r="BS269" i="1"/>
  <c r="BU269" i="1"/>
  <c r="BS272" i="1"/>
  <c r="BU272" i="1"/>
  <c r="BS275" i="1"/>
  <c r="BU275" i="1"/>
  <c r="BS280" i="1"/>
  <c r="BU280" i="1"/>
  <c r="BS283" i="1"/>
  <c r="BU283" i="1"/>
  <c r="BS288" i="1"/>
  <c r="BU288" i="1"/>
  <c r="BS291" i="1"/>
  <c r="BU291" i="1"/>
  <c r="BS266" i="1"/>
  <c r="BU266" i="1"/>
  <c r="BS273" i="1"/>
  <c r="BU273" i="1"/>
  <c r="BS278" i="1"/>
  <c r="BU278" i="1"/>
  <c r="BS281" i="1"/>
  <c r="BU281" i="1"/>
  <c r="BS286" i="1"/>
  <c r="BU286" i="1"/>
  <c r="BS289" i="1"/>
  <c r="BU289" i="1"/>
  <c r="BS292" i="1"/>
  <c r="BU292" i="1"/>
  <c r="BS264" i="1"/>
  <c r="BU264" i="1"/>
  <c r="BS267" i="1"/>
  <c r="BU267" i="1"/>
  <c r="BS270" i="1"/>
  <c r="BU270" i="1"/>
  <c r="BS276" i="1"/>
  <c r="BU276" i="1"/>
  <c r="BS279" i="1"/>
  <c r="BU279" i="1"/>
  <c r="BS284" i="1"/>
  <c r="BU284" i="1"/>
  <c r="BS287" i="1"/>
  <c r="BU287" i="1"/>
  <c r="Q396" i="1"/>
  <c r="BP79" i="1"/>
  <c r="BR79" i="1"/>
  <c r="BP82" i="1"/>
  <c r="BR82" i="1"/>
  <c r="BP83" i="1"/>
  <c r="BR83" i="1"/>
  <c r="BP85" i="1"/>
  <c r="BR85" i="1"/>
  <c r="BP89" i="1"/>
  <c r="BR89" i="1"/>
  <c r="BP93" i="1"/>
  <c r="BR93" i="1"/>
  <c r="BP97" i="1"/>
  <c r="BR97" i="1"/>
  <c r="BP101" i="1"/>
  <c r="BR101" i="1"/>
  <c r="BP105" i="1"/>
  <c r="BR105" i="1"/>
  <c r="BP109" i="1"/>
  <c r="BR109" i="1"/>
  <c r="BP90" i="1"/>
  <c r="BR90" i="1"/>
  <c r="BP98" i="1"/>
  <c r="BR98" i="1"/>
  <c r="BP102" i="1"/>
  <c r="BR102" i="1"/>
  <c r="BP106" i="1"/>
  <c r="BR106" i="1"/>
  <c r="BP80" i="1"/>
  <c r="BR80" i="1"/>
  <c r="BP87" i="1"/>
  <c r="BR87" i="1"/>
  <c r="BP91" i="1"/>
  <c r="BR91" i="1"/>
  <c r="BP99" i="1"/>
  <c r="BR99" i="1"/>
  <c r="BP103" i="1"/>
  <c r="BR103" i="1"/>
  <c r="BP107" i="1"/>
  <c r="BR107" i="1"/>
  <c r="BP81" i="1"/>
  <c r="BR81" i="1"/>
  <c r="BP86" i="1"/>
  <c r="BR86" i="1"/>
  <c r="BP88" i="1"/>
  <c r="BR88" i="1"/>
  <c r="BP92" i="1"/>
  <c r="BR92" i="1"/>
  <c r="BP94" i="1"/>
  <c r="BR94" i="1"/>
  <c r="BP96" i="1"/>
  <c r="BR96" i="1"/>
  <c r="BP100" i="1"/>
  <c r="BR100" i="1"/>
  <c r="BP104" i="1"/>
  <c r="BR104" i="1"/>
  <c r="BP108" i="1"/>
  <c r="BR108" i="1"/>
  <c r="BP84" i="1"/>
  <c r="BR84" i="1"/>
  <c r="BP95" i="1"/>
  <c r="BR95" i="1"/>
  <c r="R398" i="1"/>
  <c r="BS144" i="1"/>
  <c r="BU144" i="1"/>
  <c r="BS148" i="1"/>
  <c r="BU148" i="1"/>
  <c r="BS152" i="1"/>
  <c r="BU152" i="1"/>
  <c r="BS156" i="1"/>
  <c r="BU156" i="1"/>
  <c r="BS158" i="1"/>
  <c r="BU158" i="1"/>
  <c r="BS170" i="1"/>
  <c r="BU170" i="1"/>
  <c r="BS141" i="1"/>
  <c r="BU141" i="1"/>
  <c r="BS145" i="1"/>
  <c r="BU145" i="1"/>
  <c r="BS149" i="1"/>
  <c r="BU149" i="1"/>
  <c r="BS153" i="1"/>
  <c r="BU153" i="1"/>
  <c r="BS157" i="1"/>
  <c r="BU157" i="1"/>
  <c r="BS162" i="1"/>
  <c r="BU162" i="1"/>
  <c r="BS164" i="1"/>
  <c r="BU164" i="1"/>
  <c r="BS165" i="1"/>
  <c r="BU165" i="1"/>
  <c r="BS167" i="1"/>
  <c r="BU167" i="1"/>
  <c r="BS142" i="1"/>
  <c r="BU142" i="1"/>
  <c r="BS146" i="1"/>
  <c r="BU146" i="1"/>
  <c r="BS150" i="1"/>
  <c r="BU150" i="1"/>
  <c r="BS154" i="1"/>
  <c r="BU154" i="1"/>
  <c r="BS159" i="1"/>
  <c r="BU159" i="1"/>
  <c r="BS160" i="1"/>
  <c r="BU160" i="1"/>
  <c r="BS140" i="1"/>
  <c r="BU140" i="1"/>
  <c r="BS143" i="1"/>
  <c r="BU143" i="1"/>
  <c r="BS147" i="1"/>
  <c r="BU147" i="1"/>
  <c r="BS151" i="1"/>
  <c r="BU151" i="1"/>
  <c r="BS155" i="1"/>
  <c r="BU155" i="1"/>
  <c r="BS163" i="1"/>
  <c r="BU163" i="1"/>
  <c r="BS166" i="1"/>
  <c r="BU166" i="1"/>
  <c r="BS168" i="1"/>
  <c r="BU168" i="1"/>
  <c r="BS169" i="1"/>
  <c r="BU169" i="1"/>
  <c r="BS161" i="1"/>
  <c r="BU161" i="1"/>
  <c r="BJ207" i="1"/>
  <c r="BK207" i="1"/>
  <c r="BJ202" i="1"/>
  <c r="BK202" i="1"/>
  <c r="BJ208" i="1"/>
  <c r="BK208" i="1"/>
  <c r="BJ216" i="1"/>
  <c r="BK216" i="1"/>
  <c r="BJ224" i="1"/>
  <c r="BK224" i="1"/>
  <c r="BJ205" i="1"/>
  <c r="BK205" i="1"/>
  <c r="BJ229" i="1"/>
  <c r="BK229" i="1"/>
  <c r="BJ217" i="1"/>
  <c r="BK217" i="1"/>
  <c r="BJ203" i="1"/>
  <c r="BK203" i="1"/>
  <c r="BJ214" i="1"/>
  <c r="BK214" i="1"/>
  <c r="BJ213" i="1"/>
  <c r="BK213" i="1"/>
  <c r="BJ221" i="1"/>
  <c r="BK221" i="1"/>
  <c r="BJ201" i="1"/>
  <c r="BK201" i="1"/>
  <c r="BJ210" i="1"/>
  <c r="BK210" i="1"/>
  <c r="BJ218" i="1"/>
  <c r="BK218" i="1"/>
  <c r="BJ226" i="1"/>
  <c r="BK226" i="1"/>
  <c r="BJ211" i="1"/>
  <c r="BK211" i="1"/>
  <c r="BJ209" i="1"/>
  <c r="BK209" i="1"/>
  <c r="BJ223" i="1"/>
  <c r="BK223" i="1"/>
  <c r="BJ222" i="1"/>
  <c r="BK222" i="1"/>
  <c r="BJ225" i="1"/>
  <c r="BK225" i="1"/>
  <c r="BJ204" i="1"/>
  <c r="BK204" i="1"/>
  <c r="BJ212" i="1"/>
  <c r="BK212" i="1"/>
  <c r="BJ220" i="1"/>
  <c r="BK220" i="1"/>
  <c r="BJ228" i="1"/>
  <c r="BK228" i="1"/>
  <c r="BJ219" i="1"/>
  <c r="BK219" i="1"/>
  <c r="BJ215" i="1"/>
  <c r="BK215" i="1"/>
  <c r="BJ227" i="1"/>
  <c r="BK227" i="1"/>
  <c r="BJ231" i="1"/>
  <c r="BK231" i="1"/>
  <c r="BJ206" i="1"/>
  <c r="BK206" i="1"/>
  <c r="BJ230" i="1"/>
  <c r="BK230" i="1"/>
  <c r="BK241" i="1"/>
  <c r="BK239" i="1"/>
  <c r="AM339" i="1"/>
  <c r="Y340" i="1"/>
  <c r="W400" i="1"/>
  <c r="X226" i="1"/>
  <c r="X237" i="1"/>
  <c r="AH212" i="1"/>
  <c r="X341" i="1"/>
  <c r="AA217" i="1"/>
  <c r="BO232" i="1"/>
  <c r="CZ232" i="1"/>
  <c r="Y341" i="1"/>
  <c r="W401" i="1"/>
  <c r="AH211" i="1"/>
  <c r="X340" i="1"/>
  <c r="CE201" i="1"/>
  <c r="CG201" i="1"/>
  <c r="Y342" i="1"/>
  <c r="CH272" i="1"/>
  <c r="CJ272" i="1"/>
  <c r="V237" i="1"/>
  <c r="Y338" i="1"/>
  <c r="CH150" i="1"/>
  <c r="CJ150" i="1"/>
  <c r="CH199" i="1"/>
  <c r="CJ199" i="1"/>
  <c r="Y344" i="1"/>
  <c r="CH343" i="1"/>
  <c r="CJ343" i="1"/>
  <c r="Y345" i="1"/>
  <c r="CH355" i="1"/>
  <c r="CJ355" i="1"/>
  <c r="T237" i="1"/>
  <c r="CH196" i="1"/>
  <c r="CJ196" i="1"/>
  <c r="R237" i="1"/>
  <c r="CH188" i="1"/>
  <c r="CJ188" i="1"/>
  <c r="CH191" i="1"/>
  <c r="CJ191" i="1"/>
  <c r="CH186" i="1"/>
  <c r="CJ186" i="1"/>
  <c r="CH187" i="1"/>
  <c r="CJ187" i="1"/>
  <c r="CH177" i="1"/>
  <c r="CJ177" i="1"/>
  <c r="W399" i="1"/>
  <c r="CH195" i="1"/>
  <c r="CJ195" i="1"/>
  <c r="CH175" i="1"/>
  <c r="CJ175" i="1"/>
  <c r="CH180" i="1"/>
  <c r="CJ180" i="1"/>
  <c r="CH250" i="1"/>
  <c r="CJ250" i="1"/>
  <c r="Y237" i="1"/>
  <c r="CH296" i="1"/>
  <c r="CJ296" i="1"/>
  <c r="CH300" i="1"/>
  <c r="CJ300" i="1"/>
  <c r="CH310" i="1"/>
  <c r="CJ310" i="1"/>
  <c r="CH322" i="1"/>
  <c r="CJ322" i="1"/>
  <c r="CH321" i="1"/>
  <c r="CJ321" i="1"/>
  <c r="CH303" i="1"/>
  <c r="CJ303" i="1"/>
  <c r="CH317" i="1"/>
  <c r="CJ317" i="1"/>
  <c r="CH316" i="1"/>
  <c r="CJ316" i="1"/>
  <c r="CH294" i="1"/>
  <c r="CJ294" i="1"/>
  <c r="CH298" i="1"/>
  <c r="CJ298" i="1"/>
  <c r="CH318" i="1"/>
  <c r="CJ318" i="1"/>
  <c r="CH295" i="1"/>
  <c r="CJ295" i="1"/>
  <c r="W403" i="1"/>
  <c r="CH302" i="1"/>
  <c r="CJ302" i="1"/>
  <c r="CH314" i="1"/>
  <c r="CJ314" i="1"/>
  <c r="CH323" i="1"/>
  <c r="CJ323" i="1"/>
  <c r="CH299" i="1"/>
  <c r="CJ299" i="1"/>
  <c r="CH319" i="1"/>
  <c r="CJ319" i="1"/>
  <c r="CH293" i="1"/>
  <c r="CJ293" i="1"/>
  <c r="CH306" i="1"/>
  <c r="CJ306" i="1"/>
  <c r="CH297" i="1"/>
  <c r="CJ297" i="1"/>
  <c r="CH315" i="1"/>
  <c r="CJ315" i="1"/>
  <c r="CH308" i="1"/>
  <c r="CJ308" i="1"/>
  <c r="CH313" i="1"/>
  <c r="CJ313" i="1"/>
  <c r="CH301" i="1"/>
  <c r="CJ301" i="1"/>
  <c r="W237" i="1"/>
  <c r="AC237" i="1"/>
  <c r="CH255" i="1"/>
  <c r="CJ255" i="1"/>
  <c r="AB227" i="1"/>
  <c r="Y336" i="1"/>
  <c r="CH98" i="1"/>
  <c r="CJ98" i="1"/>
  <c r="CH309" i="1"/>
  <c r="CJ309" i="1"/>
  <c r="CH311" i="1"/>
  <c r="CJ311" i="1"/>
  <c r="CH307" i="1"/>
  <c r="CJ307" i="1"/>
  <c r="CH305" i="1"/>
  <c r="CJ305" i="1"/>
  <c r="CH320" i="1"/>
  <c r="CJ320" i="1"/>
  <c r="CH312" i="1"/>
  <c r="CJ312" i="1"/>
  <c r="CH304" i="1"/>
  <c r="CJ304" i="1"/>
  <c r="CH181" i="1"/>
  <c r="CJ181" i="1"/>
  <c r="CH183" i="1"/>
  <c r="CJ183" i="1"/>
  <c r="CH194" i="1"/>
  <c r="CJ194" i="1"/>
  <c r="CH178" i="1"/>
  <c r="CJ178" i="1"/>
  <c r="AH208" i="1"/>
  <c r="X337" i="1"/>
  <c r="AH205" i="1"/>
  <c r="X334" i="1"/>
  <c r="CE22" i="1"/>
  <c r="CG22" i="1"/>
  <c r="CE282" i="1"/>
  <c r="CG282" i="1"/>
  <c r="CE286" i="1"/>
  <c r="CG286" i="1"/>
  <c r="CE277" i="1"/>
  <c r="CG277" i="1"/>
  <c r="CE292" i="1"/>
  <c r="CG292" i="1"/>
  <c r="CE266" i="1"/>
  <c r="CG266" i="1"/>
  <c r="CE291" i="1"/>
  <c r="CG291" i="1"/>
  <c r="CE278" i="1"/>
  <c r="CG278" i="1"/>
  <c r="CE288" i="1"/>
  <c r="CG288" i="1"/>
  <c r="CE273" i="1"/>
  <c r="CG273" i="1"/>
  <c r="CE269" i="1"/>
  <c r="CG269" i="1"/>
  <c r="CE263" i="1"/>
  <c r="CG263" i="1"/>
  <c r="CE274" i="1"/>
  <c r="CG274" i="1"/>
  <c r="CE285" i="1"/>
  <c r="CG285" i="1"/>
  <c r="CE272" i="1"/>
  <c r="CG272" i="1"/>
  <c r="CE264" i="1"/>
  <c r="CG264" i="1"/>
  <c r="CE283" i="1"/>
  <c r="CG283" i="1"/>
  <c r="CE290" i="1"/>
  <c r="CG290" i="1"/>
  <c r="CE281" i="1"/>
  <c r="CG281" i="1"/>
  <c r="CE267" i="1"/>
  <c r="CG267" i="1"/>
  <c r="V402" i="1"/>
  <c r="CE287" i="1"/>
  <c r="CG287" i="1"/>
  <c r="CE275" i="1"/>
  <c r="CG275" i="1"/>
  <c r="CE289" i="1"/>
  <c r="CG289" i="1"/>
  <c r="CE280" i="1"/>
  <c r="CG280" i="1"/>
  <c r="CE271" i="1"/>
  <c r="CG271" i="1"/>
  <c r="CE265" i="1"/>
  <c r="CG265" i="1"/>
  <c r="CE219" i="1"/>
  <c r="CG219" i="1"/>
  <c r="CE279" i="1"/>
  <c r="CG279" i="1"/>
  <c r="CE284" i="1"/>
  <c r="CG284" i="1"/>
  <c r="CE276" i="1"/>
  <c r="CG276" i="1"/>
  <c r="CE270" i="1"/>
  <c r="CG270" i="1"/>
  <c r="S217" i="1"/>
  <c r="U217" i="1"/>
  <c r="CE337" i="1"/>
  <c r="CG337" i="1"/>
  <c r="CE347" i="1"/>
  <c r="CG347" i="1"/>
  <c r="CE331" i="1"/>
  <c r="CG331" i="1"/>
  <c r="CE345" i="1"/>
  <c r="CG345" i="1"/>
  <c r="CE342" i="1"/>
  <c r="CG342" i="1"/>
  <c r="CE340" i="1"/>
  <c r="CG340" i="1"/>
  <c r="CE324" i="1"/>
  <c r="CG324" i="1"/>
  <c r="CE325" i="1"/>
  <c r="CG325" i="1"/>
  <c r="CE333" i="1"/>
  <c r="CG333" i="1"/>
  <c r="CE336" i="1"/>
  <c r="CG336" i="1"/>
  <c r="CE344" i="1"/>
  <c r="CG344" i="1"/>
  <c r="CE353" i="1"/>
  <c r="CG353" i="1"/>
  <c r="CE343" i="1"/>
  <c r="CG343" i="1"/>
  <c r="CE327" i="1"/>
  <c r="CG327" i="1"/>
  <c r="CE338" i="1"/>
  <c r="CG338" i="1"/>
  <c r="CE326" i="1"/>
  <c r="CG326" i="1"/>
  <c r="CE351" i="1"/>
  <c r="CG351" i="1"/>
  <c r="CE332" i="1"/>
  <c r="CG332" i="1"/>
  <c r="CE329" i="1"/>
  <c r="CG329" i="1"/>
  <c r="CE352" i="1"/>
  <c r="CG352" i="1"/>
  <c r="CE339" i="1"/>
  <c r="CG339" i="1"/>
  <c r="CE348" i="1"/>
  <c r="CG348" i="1"/>
  <c r="CE334" i="1"/>
  <c r="CG334" i="1"/>
  <c r="V404" i="1"/>
  <c r="AH216" i="1"/>
  <c r="X345" i="1"/>
  <c r="CE365" i="1"/>
  <c r="CG365" i="1"/>
  <c r="CE341" i="1"/>
  <c r="CG341" i="1"/>
  <c r="CE349" i="1"/>
  <c r="CG349" i="1"/>
  <c r="CE328" i="1"/>
  <c r="CG328" i="1"/>
  <c r="CE350" i="1"/>
  <c r="CG350" i="1"/>
  <c r="CE335" i="1"/>
  <c r="CG335" i="1"/>
  <c r="CE346" i="1"/>
  <c r="CG346" i="1"/>
  <c r="CB282" i="1"/>
  <c r="CD282" i="1"/>
  <c r="CB267" i="1"/>
  <c r="CD267" i="1"/>
  <c r="CB281" i="1"/>
  <c r="CD281" i="1"/>
  <c r="CB275" i="1"/>
  <c r="CD275" i="1"/>
  <c r="CB287" i="1"/>
  <c r="CD287" i="1"/>
  <c r="CB279" i="1"/>
  <c r="CD279" i="1"/>
  <c r="CB291" i="1"/>
  <c r="CD291" i="1"/>
  <c r="CB268" i="1"/>
  <c r="CD268" i="1"/>
  <c r="CB280" i="1"/>
  <c r="CD280" i="1"/>
  <c r="CB285" i="1"/>
  <c r="CD285" i="1"/>
  <c r="CB276" i="1"/>
  <c r="CD276" i="1"/>
  <c r="CB271" i="1"/>
  <c r="CD271" i="1"/>
  <c r="CB264" i="1"/>
  <c r="CD264" i="1"/>
  <c r="CB290" i="1"/>
  <c r="CD290" i="1"/>
  <c r="CB270" i="1"/>
  <c r="CD270" i="1"/>
  <c r="CB284" i="1"/>
  <c r="CD284" i="1"/>
  <c r="CB277" i="1"/>
  <c r="CD277" i="1"/>
  <c r="CB265" i="1"/>
  <c r="CD265" i="1"/>
  <c r="CB283" i="1"/>
  <c r="CD283" i="1"/>
  <c r="CB272" i="1"/>
  <c r="CD272" i="1"/>
  <c r="CB292" i="1"/>
  <c r="CD292" i="1"/>
  <c r="CB273" i="1"/>
  <c r="CD273" i="1"/>
  <c r="CB289" i="1"/>
  <c r="CD289" i="1"/>
  <c r="CB269" i="1"/>
  <c r="CD269" i="1"/>
  <c r="CB278" i="1"/>
  <c r="CD278" i="1"/>
  <c r="CB274" i="1"/>
  <c r="CD274" i="1"/>
  <c r="CB263" i="1"/>
  <c r="CD263" i="1"/>
  <c r="CB266" i="1"/>
  <c r="CD266" i="1"/>
  <c r="CB286" i="1"/>
  <c r="CD286" i="1"/>
  <c r="CB288" i="1"/>
  <c r="CD288" i="1"/>
  <c r="U402" i="1"/>
  <c r="CB323" i="1"/>
  <c r="CD323" i="1"/>
  <c r="CB317" i="1"/>
  <c r="CD317" i="1"/>
  <c r="CB310" i="1"/>
  <c r="CD310" i="1"/>
  <c r="CB295" i="1"/>
  <c r="CD295" i="1"/>
  <c r="CB308" i="1"/>
  <c r="CD308" i="1"/>
  <c r="CB294" i="1"/>
  <c r="CD294" i="1"/>
  <c r="CB312" i="1"/>
  <c r="CD312" i="1"/>
  <c r="CB296" i="1"/>
  <c r="CD296" i="1"/>
  <c r="CB92" i="1"/>
  <c r="CD92" i="1"/>
  <c r="CB80" i="1"/>
  <c r="CD80" i="1"/>
  <c r="CB106" i="1"/>
  <c r="CD106" i="1"/>
  <c r="CB100" i="1"/>
  <c r="CD100" i="1"/>
  <c r="CB91" i="1"/>
  <c r="CD91" i="1"/>
  <c r="CB94" i="1"/>
  <c r="CD94" i="1"/>
  <c r="CB102" i="1"/>
  <c r="CD102" i="1"/>
  <c r="CB87" i="1"/>
  <c r="CD87" i="1"/>
  <c r="CB101" i="1"/>
  <c r="CD101" i="1"/>
  <c r="CB81" i="1"/>
  <c r="CD81" i="1"/>
  <c r="CB105" i="1"/>
  <c r="CD105" i="1"/>
  <c r="CB79" i="1"/>
  <c r="CD79" i="1"/>
  <c r="CB96" i="1"/>
  <c r="CD96" i="1"/>
  <c r="CB318" i="1"/>
  <c r="CD318" i="1"/>
  <c r="CB301" i="1"/>
  <c r="CD301" i="1"/>
  <c r="CB309" i="1"/>
  <c r="CD309" i="1"/>
  <c r="CB320" i="1"/>
  <c r="CD320" i="1"/>
  <c r="CB304" i="1"/>
  <c r="CD304" i="1"/>
  <c r="CB293" i="1"/>
  <c r="CD293" i="1"/>
  <c r="CB311" i="1"/>
  <c r="CD311" i="1"/>
  <c r="CB82" i="1"/>
  <c r="CD82" i="1"/>
  <c r="CB104" i="1"/>
  <c r="CD104" i="1"/>
  <c r="CB88" i="1"/>
  <c r="CD88" i="1"/>
  <c r="CB86" i="1"/>
  <c r="CD86" i="1"/>
  <c r="CB98" i="1"/>
  <c r="CD98" i="1"/>
  <c r="CB313" i="1"/>
  <c r="CD313" i="1"/>
  <c r="CB307" i="1"/>
  <c r="CD307" i="1"/>
  <c r="CB321" i="1"/>
  <c r="CD321" i="1"/>
  <c r="CB305" i="1"/>
  <c r="CD305" i="1"/>
  <c r="CB319" i="1"/>
  <c r="CD319" i="1"/>
  <c r="CB303" i="1"/>
  <c r="CD303" i="1"/>
  <c r="CB322" i="1"/>
  <c r="CD322" i="1"/>
  <c r="AK346" i="1"/>
  <c r="U405" i="1"/>
  <c r="AM335" i="1"/>
  <c r="CB235" i="1"/>
  <c r="CD235" i="1"/>
  <c r="CB247" i="1"/>
  <c r="CD247" i="1"/>
  <c r="CB255" i="1"/>
  <c r="CD255" i="1"/>
  <c r="CB233" i="1"/>
  <c r="CD233" i="1"/>
  <c r="CB236" i="1"/>
  <c r="CD236" i="1"/>
  <c r="CB252" i="1"/>
  <c r="CD252" i="1"/>
  <c r="CB257" i="1"/>
  <c r="CD257" i="1"/>
  <c r="CB238" i="1"/>
  <c r="CD238" i="1"/>
  <c r="CB254" i="1"/>
  <c r="CD254" i="1"/>
  <c r="CB239" i="1"/>
  <c r="CD239" i="1"/>
  <c r="CB250" i="1"/>
  <c r="CD250" i="1"/>
  <c r="CB244" i="1"/>
  <c r="CD244" i="1"/>
  <c r="CB261" i="1"/>
  <c r="CD261" i="1"/>
  <c r="CB246" i="1"/>
  <c r="CD246" i="1"/>
  <c r="CB232" i="1"/>
  <c r="CD232" i="1"/>
  <c r="CB248" i="1"/>
  <c r="CD248" i="1"/>
  <c r="CB234" i="1"/>
  <c r="CD234" i="1"/>
  <c r="CB258" i="1"/>
  <c r="CD258" i="1"/>
  <c r="CB237" i="1"/>
  <c r="CD237" i="1"/>
  <c r="CB240" i="1"/>
  <c r="CD240" i="1"/>
  <c r="CB256" i="1"/>
  <c r="CD256" i="1"/>
  <c r="CB253" i="1"/>
  <c r="CD253" i="1"/>
  <c r="CB242" i="1"/>
  <c r="CD242" i="1"/>
  <c r="CB259" i="1"/>
  <c r="CD259" i="1"/>
  <c r="CB243" i="1"/>
  <c r="CD243" i="1"/>
  <c r="CB241" i="1"/>
  <c r="CD241" i="1"/>
  <c r="CB260" i="1"/>
  <c r="CD260" i="1"/>
  <c r="CB262" i="1"/>
  <c r="CD262" i="1"/>
  <c r="CB245" i="1"/>
  <c r="CD245" i="1"/>
  <c r="CB249" i="1"/>
  <c r="CD249" i="1"/>
  <c r="CB251" i="1"/>
  <c r="CD251" i="1"/>
  <c r="AL342" i="1"/>
  <c r="AM342" i="1"/>
  <c r="Z152" i="1"/>
  <c r="J152" i="1"/>
  <c r="D188" i="1"/>
  <c r="CB357" i="1"/>
  <c r="CD357" i="1"/>
  <c r="CB355" i="1"/>
  <c r="CD355" i="1"/>
  <c r="CB364" i="1"/>
  <c r="CD364" i="1"/>
  <c r="V335" i="1"/>
  <c r="W335" i="1"/>
  <c r="T145" i="1"/>
  <c r="S156" i="1"/>
  <c r="P470" i="1"/>
  <c r="P472" i="1"/>
  <c r="AL338" i="1"/>
  <c r="AM338" i="1"/>
  <c r="Z148" i="1"/>
  <c r="J148" i="1"/>
  <c r="D184" i="1"/>
  <c r="U401" i="1"/>
  <c r="D180" i="1"/>
  <c r="V339" i="1"/>
  <c r="W339" i="1"/>
  <c r="T149" i="1"/>
  <c r="U404" i="1"/>
  <c r="W344" i="1"/>
  <c r="U400" i="1"/>
  <c r="W340" i="1"/>
  <c r="CB359" i="1"/>
  <c r="CD359" i="1"/>
  <c r="CB358" i="1"/>
  <c r="CD358" i="1"/>
  <c r="CB365" i="1"/>
  <c r="CD365" i="1"/>
  <c r="U395" i="1"/>
  <c r="Z147" i="1"/>
  <c r="J147" i="1"/>
  <c r="D183" i="1"/>
  <c r="AL337" i="1"/>
  <c r="AM337" i="1"/>
  <c r="V337" i="1"/>
  <c r="W337" i="1"/>
  <c r="T147" i="1"/>
  <c r="U346" i="1"/>
  <c r="CB361" i="1"/>
  <c r="CD361" i="1"/>
  <c r="CB354" i="1"/>
  <c r="CD354" i="1"/>
  <c r="W334" i="1"/>
  <c r="U394" i="1"/>
  <c r="Z155" i="1"/>
  <c r="J155" i="1"/>
  <c r="D191" i="1"/>
  <c r="AL345" i="1"/>
  <c r="AM345" i="1"/>
  <c r="Z151" i="1"/>
  <c r="J151" i="1"/>
  <c r="D187" i="1"/>
  <c r="AL341" i="1"/>
  <c r="AM341" i="1"/>
  <c r="CB144" i="1"/>
  <c r="CD144" i="1"/>
  <c r="CB148" i="1"/>
  <c r="CD148" i="1"/>
  <c r="CB152" i="1"/>
  <c r="CD152" i="1"/>
  <c r="CB156" i="1"/>
  <c r="CD156" i="1"/>
  <c r="CB160" i="1"/>
  <c r="CD160" i="1"/>
  <c r="CB164" i="1"/>
  <c r="CD164" i="1"/>
  <c r="CB168" i="1"/>
  <c r="CD168" i="1"/>
  <c r="CB143" i="1"/>
  <c r="CD143" i="1"/>
  <c r="CB147" i="1"/>
  <c r="CD147" i="1"/>
  <c r="CB151" i="1"/>
  <c r="CD151" i="1"/>
  <c r="CB155" i="1"/>
  <c r="CD155" i="1"/>
  <c r="CB159" i="1"/>
  <c r="CD159" i="1"/>
  <c r="CB163" i="1"/>
  <c r="CD163" i="1"/>
  <c r="CB167" i="1"/>
  <c r="CD167" i="1"/>
  <c r="CB140" i="1"/>
  <c r="CD140" i="1"/>
  <c r="CB142" i="1"/>
  <c r="CD142" i="1"/>
  <c r="CB146" i="1"/>
  <c r="CD146" i="1"/>
  <c r="CB150" i="1"/>
  <c r="CD150" i="1"/>
  <c r="CB154" i="1"/>
  <c r="CD154" i="1"/>
  <c r="CB158" i="1"/>
  <c r="CD158" i="1"/>
  <c r="CB162" i="1"/>
  <c r="CD162" i="1"/>
  <c r="CB166" i="1"/>
  <c r="CD166" i="1"/>
  <c r="CB170" i="1"/>
  <c r="CD170" i="1"/>
  <c r="CB141" i="1"/>
  <c r="CD141" i="1"/>
  <c r="CB149" i="1"/>
  <c r="CD149" i="1"/>
  <c r="CB157" i="1"/>
  <c r="CD157" i="1"/>
  <c r="CB165" i="1"/>
  <c r="CD165" i="1"/>
  <c r="CB169" i="1"/>
  <c r="CD169" i="1"/>
  <c r="CB145" i="1"/>
  <c r="CD145" i="1"/>
  <c r="CB153" i="1"/>
  <c r="CD153" i="1"/>
  <c r="CB161" i="1"/>
  <c r="CD161" i="1"/>
  <c r="S59" i="1"/>
  <c r="AA59" i="1"/>
  <c r="F64" i="1"/>
  <c r="D105" i="1"/>
  <c r="AG342" i="1"/>
  <c r="S60" i="1"/>
  <c r="AA60" i="1"/>
  <c r="F78" i="1"/>
  <c r="D106" i="1"/>
  <c r="AH339" i="1"/>
  <c r="CH203" i="1"/>
  <c r="CJ203" i="1"/>
  <c r="CH260" i="1"/>
  <c r="CJ260" i="1"/>
  <c r="CH242" i="1"/>
  <c r="CJ242" i="1"/>
  <c r="CH257" i="1"/>
  <c r="CJ257" i="1"/>
  <c r="AA226" i="1"/>
  <c r="CH189" i="1"/>
  <c r="CJ189" i="1"/>
  <c r="CH200" i="1"/>
  <c r="CJ200" i="1"/>
  <c r="CH197" i="1"/>
  <c r="CJ197" i="1"/>
  <c r="CH185" i="1"/>
  <c r="CJ185" i="1"/>
  <c r="CH198" i="1"/>
  <c r="CJ198" i="1"/>
  <c r="CH190" i="1"/>
  <c r="CJ190" i="1"/>
  <c r="CH182" i="1"/>
  <c r="CJ182" i="1"/>
  <c r="CH171" i="1"/>
  <c r="CJ171" i="1"/>
  <c r="BO324" i="1"/>
  <c r="CZ324" i="1"/>
  <c r="CE156" i="1"/>
  <c r="CG156" i="1"/>
  <c r="CE152" i="1"/>
  <c r="CG152" i="1"/>
  <c r="V398" i="1"/>
  <c r="CE147" i="1"/>
  <c r="CG147" i="1"/>
  <c r="CE155" i="1"/>
  <c r="CG155" i="1"/>
  <c r="CE163" i="1"/>
  <c r="CG163" i="1"/>
  <c r="CE170" i="1"/>
  <c r="CG170" i="1"/>
  <c r="CE154" i="1"/>
  <c r="CG154" i="1"/>
  <c r="CE168" i="1"/>
  <c r="CG168" i="1"/>
  <c r="CE160" i="1"/>
  <c r="CG160" i="1"/>
  <c r="CE143" i="1"/>
  <c r="CG143" i="1"/>
  <c r="CE151" i="1"/>
  <c r="CG151" i="1"/>
  <c r="CE167" i="1"/>
  <c r="CG167" i="1"/>
  <c r="CE162" i="1"/>
  <c r="CG162" i="1"/>
  <c r="CE145" i="1"/>
  <c r="CG145" i="1"/>
  <c r="CE153" i="1"/>
  <c r="CG153" i="1"/>
  <c r="CE161" i="1"/>
  <c r="CG161" i="1"/>
  <c r="CE169" i="1"/>
  <c r="CG169" i="1"/>
  <c r="CE150" i="1"/>
  <c r="CG150" i="1"/>
  <c r="CE166" i="1"/>
  <c r="CG166" i="1"/>
  <c r="CE164" i="1"/>
  <c r="CG164" i="1"/>
  <c r="CE142" i="1"/>
  <c r="CG142" i="1"/>
  <c r="CE149" i="1"/>
  <c r="CG149" i="1"/>
  <c r="CE157" i="1"/>
  <c r="CG157" i="1"/>
  <c r="CE165" i="1"/>
  <c r="CG165" i="1"/>
  <c r="CE141" i="1"/>
  <c r="CG141" i="1"/>
  <c r="CE158" i="1"/>
  <c r="CG158" i="1"/>
  <c r="CE140" i="1"/>
  <c r="CG140" i="1"/>
  <c r="CE144" i="1"/>
  <c r="CG144" i="1"/>
  <c r="CE148" i="1"/>
  <c r="CG148" i="1"/>
  <c r="CE159" i="1"/>
  <c r="CG159" i="1"/>
  <c r="CE146" i="1"/>
  <c r="CG146" i="1"/>
  <c r="E210" i="1"/>
  <c r="BO355" i="1"/>
  <c r="CZ355" i="1"/>
  <c r="BL296" i="1"/>
  <c r="BL297" i="1"/>
  <c r="CH172" i="1"/>
  <c r="CJ172" i="1"/>
  <c r="CH179" i="1"/>
  <c r="CJ179" i="1"/>
  <c r="CH174" i="1"/>
  <c r="CJ174" i="1"/>
  <c r="CH193" i="1"/>
  <c r="CJ193" i="1"/>
  <c r="CH173" i="1"/>
  <c r="CJ173" i="1"/>
  <c r="CH192" i="1"/>
  <c r="CJ192" i="1"/>
  <c r="CH184" i="1"/>
  <c r="CJ184" i="1"/>
  <c r="CE90" i="1"/>
  <c r="CG90" i="1"/>
  <c r="CE100" i="1"/>
  <c r="CG100" i="1"/>
  <c r="CE96" i="1"/>
  <c r="CG96" i="1"/>
  <c r="CE84" i="1"/>
  <c r="CG84" i="1"/>
  <c r="CE79" i="1"/>
  <c r="CG79" i="1"/>
  <c r="CE86" i="1"/>
  <c r="CG86" i="1"/>
  <c r="CE83" i="1"/>
  <c r="CG83" i="1"/>
  <c r="CE93" i="1"/>
  <c r="CG93" i="1"/>
  <c r="E207" i="1"/>
  <c r="E212" i="1"/>
  <c r="BN51" i="1"/>
  <c r="BL52" i="1"/>
  <c r="BM51" i="1"/>
  <c r="V403" i="1"/>
  <c r="CE294" i="1"/>
  <c r="CG294" i="1"/>
  <c r="CE293" i="1"/>
  <c r="CG293" i="1"/>
  <c r="CE296" i="1"/>
  <c r="CG296" i="1"/>
  <c r="CE298" i="1"/>
  <c r="CG298" i="1"/>
  <c r="CE300" i="1"/>
  <c r="CG300" i="1"/>
  <c r="CE302" i="1"/>
  <c r="CG302" i="1"/>
  <c r="CE304" i="1"/>
  <c r="CG304" i="1"/>
  <c r="CE306" i="1"/>
  <c r="CG306" i="1"/>
  <c r="CE308" i="1"/>
  <c r="CG308" i="1"/>
  <c r="CE310" i="1"/>
  <c r="CG310" i="1"/>
  <c r="CE312" i="1"/>
  <c r="CG312" i="1"/>
  <c r="CE314" i="1"/>
  <c r="CG314" i="1"/>
  <c r="CE316" i="1"/>
  <c r="CG316" i="1"/>
  <c r="CE318" i="1"/>
  <c r="CG318" i="1"/>
  <c r="CE320" i="1"/>
  <c r="CG320" i="1"/>
  <c r="CE322" i="1"/>
  <c r="CG322" i="1"/>
  <c r="CE323" i="1"/>
  <c r="CG323" i="1"/>
  <c r="CE301" i="1"/>
  <c r="CG301" i="1"/>
  <c r="CE309" i="1"/>
  <c r="CG309" i="1"/>
  <c r="CE317" i="1"/>
  <c r="CG317" i="1"/>
  <c r="CE295" i="1"/>
  <c r="CG295" i="1"/>
  <c r="CE311" i="1"/>
  <c r="CG311" i="1"/>
  <c r="CE319" i="1"/>
  <c r="CG319" i="1"/>
  <c r="CE299" i="1"/>
  <c r="CG299" i="1"/>
  <c r="CE307" i="1"/>
  <c r="CG307" i="1"/>
  <c r="CE315" i="1"/>
  <c r="CG315" i="1"/>
  <c r="CE303" i="1"/>
  <c r="CG303" i="1"/>
  <c r="CE297" i="1"/>
  <c r="CG297" i="1"/>
  <c r="CE305" i="1"/>
  <c r="CG305" i="1"/>
  <c r="CE313" i="1"/>
  <c r="CG313" i="1"/>
  <c r="CE321" i="1"/>
  <c r="CG321" i="1"/>
  <c r="BM296" i="1"/>
  <c r="BN296" i="1"/>
  <c r="Y334" i="1"/>
  <c r="AN335" i="1"/>
  <c r="E208" i="1"/>
  <c r="BL358" i="1"/>
  <c r="BN327" i="1"/>
  <c r="BM327" i="1"/>
  <c r="BN141" i="1"/>
  <c r="BM141" i="1"/>
  <c r="CE26" i="1"/>
  <c r="CG26" i="1"/>
  <c r="CE28" i="1"/>
  <c r="CG28" i="1"/>
  <c r="CE34" i="1"/>
  <c r="CG34" i="1"/>
  <c r="CE36" i="1"/>
  <c r="CG36" i="1"/>
  <c r="CE23" i="1"/>
  <c r="CG23" i="1"/>
  <c r="CE31" i="1"/>
  <c r="CG31" i="1"/>
  <c r="CE47" i="1"/>
  <c r="CG47" i="1"/>
  <c r="CE50" i="1"/>
  <c r="CG50" i="1"/>
  <c r="CE42" i="1"/>
  <c r="CG42" i="1"/>
  <c r="CE46" i="1"/>
  <c r="CG46" i="1"/>
  <c r="CE40" i="1"/>
  <c r="CG40" i="1"/>
  <c r="CE44" i="1"/>
  <c r="CG44" i="1"/>
  <c r="CE35" i="1"/>
  <c r="CG35" i="1"/>
  <c r="CE45" i="1"/>
  <c r="CG45" i="1"/>
  <c r="CE29" i="1"/>
  <c r="CG29" i="1"/>
  <c r="CE41" i="1"/>
  <c r="CG41" i="1"/>
  <c r="BN110" i="1"/>
  <c r="BL111" i="1"/>
  <c r="BM110" i="1"/>
  <c r="V399" i="1"/>
  <c r="CE172" i="1"/>
  <c r="CG172" i="1"/>
  <c r="CE174" i="1"/>
  <c r="CG174" i="1"/>
  <c r="CE171" i="1"/>
  <c r="CG171" i="1"/>
  <c r="CE176" i="1"/>
  <c r="CG176" i="1"/>
  <c r="CE178" i="1"/>
  <c r="CG178" i="1"/>
  <c r="CE180" i="1"/>
  <c r="CG180" i="1"/>
  <c r="CE182" i="1"/>
  <c r="CG182" i="1"/>
  <c r="CE184" i="1"/>
  <c r="CG184" i="1"/>
  <c r="CE186" i="1"/>
  <c r="CG186" i="1"/>
  <c r="CE188" i="1"/>
  <c r="CG188" i="1"/>
  <c r="CE190" i="1"/>
  <c r="CG190" i="1"/>
  <c r="CE192" i="1"/>
  <c r="CG192" i="1"/>
  <c r="CE194" i="1"/>
  <c r="CG194" i="1"/>
  <c r="CE196" i="1"/>
  <c r="CG196" i="1"/>
  <c r="CE198" i="1"/>
  <c r="CG198" i="1"/>
  <c r="CE173" i="1"/>
  <c r="CG173" i="1"/>
  <c r="CE181" i="1"/>
  <c r="CG181" i="1"/>
  <c r="CE189" i="1"/>
  <c r="CG189" i="1"/>
  <c r="CE197" i="1"/>
  <c r="CG197" i="1"/>
  <c r="CE177" i="1"/>
  <c r="CG177" i="1"/>
  <c r="CE199" i="1"/>
  <c r="CG199" i="1"/>
  <c r="CE179" i="1"/>
  <c r="CG179" i="1"/>
  <c r="CE185" i="1"/>
  <c r="CG185" i="1"/>
  <c r="CE183" i="1"/>
  <c r="CG183" i="1"/>
  <c r="CE191" i="1"/>
  <c r="CG191" i="1"/>
  <c r="CE195" i="1"/>
  <c r="CG195" i="1"/>
  <c r="CE193" i="1"/>
  <c r="CG193" i="1"/>
  <c r="CE200" i="1"/>
  <c r="CG200" i="1"/>
  <c r="CE175" i="1"/>
  <c r="CG175" i="1"/>
  <c r="CE187" i="1"/>
  <c r="CG187" i="1"/>
  <c r="BO293" i="1"/>
  <c r="CZ293" i="1"/>
  <c r="BL328" i="1"/>
  <c r="BO325" i="1"/>
  <c r="CZ325" i="1"/>
  <c r="BM357" i="1"/>
  <c r="BN357" i="1"/>
  <c r="V395" i="1"/>
  <c r="CE51" i="1"/>
  <c r="CG51" i="1"/>
  <c r="CE52" i="1"/>
  <c r="CG52" i="1"/>
  <c r="CE54" i="1"/>
  <c r="CG54" i="1"/>
  <c r="CE56" i="1"/>
  <c r="CG56" i="1"/>
  <c r="CE58" i="1"/>
  <c r="CG58" i="1"/>
  <c r="CE59" i="1"/>
  <c r="CG59" i="1"/>
  <c r="CE61" i="1"/>
  <c r="CG61" i="1"/>
  <c r="CE63" i="1"/>
  <c r="CG63" i="1"/>
  <c r="CE65" i="1"/>
  <c r="CG65" i="1"/>
  <c r="CE67" i="1"/>
  <c r="CG67" i="1"/>
  <c r="CE69" i="1"/>
  <c r="CG69" i="1"/>
  <c r="CE71" i="1"/>
  <c r="CG71" i="1"/>
  <c r="CE73" i="1"/>
  <c r="CG73" i="1"/>
  <c r="CE75" i="1"/>
  <c r="CG75" i="1"/>
  <c r="CE57" i="1"/>
  <c r="CG57" i="1"/>
  <c r="CE53" i="1"/>
  <c r="CG53" i="1"/>
  <c r="CE62" i="1"/>
  <c r="CG62" i="1"/>
  <c r="CE70" i="1"/>
  <c r="CG70" i="1"/>
  <c r="CE64" i="1"/>
  <c r="CG64" i="1"/>
  <c r="CE72" i="1"/>
  <c r="CG72" i="1"/>
  <c r="CE77" i="1"/>
  <c r="CG77" i="1"/>
  <c r="CE60" i="1"/>
  <c r="CG60" i="1"/>
  <c r="CE66" i="1"/>
  <c r="CG66" i="1"/>
  <c r="CE76" i="1"/>
  <c r="CG76" i="1"/>
  <c r="CE55" i="1"/>
  <c r="CG55" i="1"/>
  <c r="CE68" i="1"/>
  <c r="CG68" i="1"/>
  <c r="CE74" i="1"/>
  <c r="CG74" i="1"/>
  <c r="CE78" i="1"/>
  <c r="CG78" i="1"/>
  <c r="BL359" i="1"/>
  <c r="BL360" i="1"/>
  <c r="BM326" i="1"/>
  <c r="BN326" i="1"/>
  <c r="V401" i="1"/>
  <c r="CE232" i="1"/>
  <c r="CG232" i="1"/>
  <c r="CE237" i="1"/>
  <c r="CG237" i="1"/>
  <c r="CE239" i="1"/>
  <c r="CG239" i="1"/>
  <c r="CE241" i="1"/>
  <c r="CG241" i="1"/>
  <c r="CE243" i="1"/>
  <c r="CG243" i="1"/>
  <c r="CE233" i="1"/>
  <c r="CG233" i="1"/>
  <c r="CE234" i="1"/>
  <c r="CG234" i="1"/>
  <c r="CE238" i="1"/>
  <c r="CG238" i="1"/>
  <c r="CE242" i="1"/>
  <c r="CG242" i="1"/>
  <c r="CE240" i="1"/>
  <c r="CG240" i="1"/>
  <c r="CE245" i="1"/>
  <c r="CG245" i="1"/>
  <c r="CE247" i="1"/>
  <c r="CG247" i="1"/>
  <c r="CE249" i="1"/>
  <c r="CG249" i="1"/>
  <c r="CE251" i="1"/>
  <c r="CG251" i="1"/>
  <c r="CE253" i="1"/>
  <c r="CG253" i="1"/>
  <c r="CE255" i="1"/>
  <c r="CG255" i="1"/>
  <c r="CE257" i="1"/>
  <c r="CG257" i="1"/>
  <c r="CE259" i="1"/>
  <c r="CG259" i="1"/>
  <c r="CE261" i="1"/>
  <c r="CG261" i="1"/>
  <c r="CE262" i="1"/>
  <c r="CG262" i="1"/>
  <c r="CE246" i="1"/>
  <c r="CG246" i="1"/>
  <c r="CE254" i="1"/>
  <c r="CG254" i="1"/>
  <c r="CE235" i="1"/>
  <c r="CG235" i="1"/>
  <c r="CE248" i="1"/>
  <c r="CG248" i="1"/>
  <c r="CE256" i="1"/>
  <c r="CG256" i="1"/>
  <c r="CE236" i="1"/>
  <c r="CG236" i="1"/>
  <c r="CE244" i="1"/>
  <c r="CG244" i="1"/>
  <c r="CE252" i="1"/>
  <c r="CG252" i="1"/>
  <c r="CE260" i="1"/>
  <c r="CG260" i="1"/>
  <c r="CE258" i="1"/>
  <c r="CG258" i="1"/>
  <c r="CE250" i="1"/>
  <c r="CG250" i="1"/>
  <c r="BN295" i="1"/>
  <c r="BM295" i="1"/>
  <c r="BM294" i="1"/>
  <c r="BN294" i="1"/>
  <c r="BM172" i="1"/>
  <c r="BN172" i="1"/>
  <c r="BL173" i="1"/>
  <c r="BO171" i="1"/>
  <c r="CZ171" i="1"/>
  <c r="BL142" i="1"/>
  <c r="V397" i="1"/>
  <c r="CE110" i="1"/>
  <c r="CG110" i="1"/>
  <c r="CE113" i="1"/>
  <c r="CG113" i="1"/>
  <c r="CE115" i="1"/>
  <c r="CG115" i="1"/>
  <c r="CE117" i="1"/>
  <c r="CG117" i="1"/>
  <c r="CE114" i="1"/>
  <c r="CG114" i="1"/>
  <c r="CE122" i="1"/>
  <c r="CG122" i="1"/>
  <c r="CE126" i="1"/>
  <c r="CG126" i="1"/>
  <c r="CE130" i="1"/>
  <c r="CG130" i="1"/>
  <c r="CE134" i="1"/>
  <c r="CG134" i="1"/>
  <c r="CE138" i="1"/>
  <c r="CG138" i="1"/>
  <c r="CE112" i="1"/>
  <c r="CG112" i="1"/>
  <c r="CE124" i="1"/>
  <c r="CG124" i="1"/>
  <c r="CE125" i="1"/>
  <c r="CG125" i="1"/>
  <c r="CE131" i="1"/>
  <c r="CG131" i="1"/>
  <c r="CE139" i="1"/>
  <c r="CG139" i="1"/>
  <c r="CE111" i="1"/>
  <c r="CG111" i="1"/>
  <c r="CE120" i="1"/>
  <c r="CG120" i="1"/>
  <c r="CE121" i="1"/>
  <c r="CG121" i="1"/>
  <c r="CE127" i="1"/>
  <c r="CG127" i="1"/>
  <c r="CE136" i="1"/>
  <c r="CG136" i="1"/>
  <c r="CE137" i="1"/>
  <c r="CG137" i="1"/>
  <c r="CE116" i="1"/>
  <c r="CG116" i="1"/>
  <c r="CE133" i="1"/>
  <c r="CG133" i="1"/>
  <c r="CE118" i="1"/>
  <c r="CG118" i="1"/>
  <c r="CE128" i="1"/>
  <c r="CG128" i="1"/>
  <c r="CE132" i="1"/>
  <c r="CG132" i="1"/>
  <c r="CE135" i="1"/>
  <c r="CG135" i="1"/>
  <c r="CE123" i="1"/>
  <c r="CG123" i="1"/>
  <c r="CE129" i="1"/>
  <c r="CG129" i="1"/>
  <c r="CE119" i="1"/>
  <c r="CG119" i="1"/>
  <c r="E216" i="1"/>
  <c r="BO140" i="1"/>
  <c r="CZ140" i="1"/>
  <c r="S63" i="1"/>
  <c r="AA63" i="1"/>
  <c r="F98" i="1"/>
  <c r="D108" i="1"/>
  <c r="W63" i="1"/>
  <c r="CH114" i="1"/>
  <c r="CJ114" i="1"/>
  <c r="CH124" i="1"/>
  <c r="CJ124" i="1"/>
  <c r="CH129" i="1"/>
  <c r="CJ129" i="1"/>
  <c r="CH115" i="1"/>
  <c r="CJ115" i="1"/>
  <c r="CH123" i="1"/>
  <c r="CJ123" i="1"/>
  <c r="CH127" i="1"/>
  <c r="CJ127" i="1"/>
  <c r="CH110" i="1"/>
  <c r="CJ110" i="1"/>
  <c r="CH130" i="1"/>
  <c r="CJ130" i="1"/>
  <c r="CE225" i="1"/>
  <c r="CG225" i="1"/>
  <c r="E209" i="1"/>
  <c r="CB103" i="1"/>
  <c r="CD103" i="1"/>
  <c r="CB109" i="1"/>
  <c r="CD109" i="1"/>
  <c r="CB85" i="1"/>
  <c r="CD85" i="1"/>
  <c r="CB108" i="1"/>
  <c r="CD108" i="1"/>
  <c r="CB84" i="1"/>
  <c r="CD84" i="1"/>
  <c r="CB306" i="1"/>
  <c r="CD306" i="1"/>
  <c r="CB300" i="1"/>
  <c r="CD300" i="1"/>
  <c r="CB316" i="1"/>
  <c r="CD316" i="1"/>
  <c r="CB298" i="1"/>
  <c r="CD298" i="1"/>
  <c r="CB314" i="1"/>
  <c r="CD314" i="1"/>
  <c r="CB299" i="1"/>
  <c r="CD299" i="1"/>
  <c r="CB315" i="1"/>
  <c r="CD315" i="1"/>
  <c r="CB302" i="1"/>
  <c r="CD302" i="1"/>
  <c r="CB297" i="1"/>
  <c r="CD297" i="1"/>
  <c r="BO326" i="1"/>
  <c r="CZ326" i="1"/>
  <c r="BO357" i="1"/>
  <c r="CZ357" i="1"/>
  <c r="CH349" i="1"/>
  <c r="CJ349" i="1"/>
  <c r="AI340" i="1"/>
  <c r="AI342" i="1"/>
  <c r="AI345" i="1"/>
  <c r="AI335" i="1"/>
  <c r="AI341" i="1"/>
  <c r="AI336" i="1"/>
  <c r="AI339" i="1"/>
  <c r="AI337" i="1"/>
  <c r="AI338" i="1"/>
  <c r="AI343" i="1"/>
  <c r="AI344" i="1"/>
  <c r="CH225" i="1"/>
  <c r="CJ225" i="1"/>
  <c r="CH201" i="1"/>
  <c r="CJ201" i="1"/>
  <c r="CH208" i="1"/>
  <c r="CJ208" i="1"/>
  <c r="CH213" i="1"/>
  <c r="CJ213" i="1"/>
  <c r="CH230" i="1"/>
  <c r="CJ230" i="1"/>
  <c r="CE80" i="1"/>
  <c r="CG80" i="1"/>
  <c r="CE105" i="1"/>
  <c r="CG105" i="1"/>
  <c r="V396" i="1"/>
  <c r="CE103" i="1"/>
  <c r="CG103" i="1"/>
  <c r="CE102" i="1"/>
  <c r="CG102" i="1"/>
  <c r="CE108" i="1"/>
  <c r="CG108" i="1"/>
  <c r="CE92" i="1"/>
  <c r="CG92" i="1"/>
  <c r="CE88" i="1"/>
  <c r="CG88" i="1"/>
  <c r="V400" i="1"/>
  <c r="CE213" i="1"/>
  <c r="CG213" i="1"/>
  <c r="CE82" i="1"/>
  <c r="CG82" i="1"/>
  <c r="CE97" i="1"/>
  <c r="CG97" i="1"/>
  <c r="CE99" i="1"/>
  <c r="CG99" i="1"/>
  <c r="CE95" i="1"/>
  <c r="CG95" i="1"/>
  <c r="CE94" i="1"/>
  <c r="CG94" i="1"/>
  <c r="CE106" i="1"/>
  <c r="CG106" i="1"/>
  <c r="CE85" i="1"/>
  <c r="CG85" i="1"/>
  <c r="CE87" i="1"/>
  <c r="CG87" i="1"/>
  <c r="E218" i="1"/>
  <c r="CE205" i="1"/>
  <c r="CG205" i="1"/>
  <c r="CE209" i="1"/>
  <c r="CG209" i="1"/>
  <c r="CE202" i="1"/>
  <c r="CG202" i="1"/>
  <c r="CE101" i="1"/>
  <c r="CG101" i="1"/>
  <c r="CE107" i="1"/>
  <c r="CG107" i="1"/>
  <c r="CE89" i="1"/>
  <c r="CG89" i="1"/>
  <c r="CE91" i="1"/>
  <c r="CG91" i="1"/>
  <c r="CE81" i="1"/>
  <c r="CG81" i="1"/>
  <c r="CE104" i="1"/>
  <c r="CG104" i="1"/>
  <c r="CE98" i="1"/>
  <c r="CG98" i="1"/>
  <c r="CE229" i="1"/>
  <c r="CG229" i="1"/>
  <c r="CE207" i="1"/>
  <c r="CG207" i="1"/>
  <c r="CE218" i="1"/>
  <c r="CG218" i="1"/>
  <c r="CH222" i="1"/>
  <c r="CJ222" i="1"/>
  <c r="CH227" i="1"/>
  <c r="CJ227" i="1"/>
  <c r="CH226" i="1"/>
  <c r="CJ226" i="1"/>
  <c r="CH205" i="1"/>
  <c r="CJ205" i="1"/>
  <c r="CH216" i="1"/>
  <c r="CJ216" i="1"/>
  <c r="CH215" i="1"/>
  <c r="CJ215" i="1"/>
  <c r="CH209" i="1"/>
  <c r="CJ209" i="1"/>
  <c r="CH224" i="1"/>
  <c r="CJ224" i="1"/>
  <c r="CH221" i="1"/>
  <c r="CJ221" i="1"/>
  <c r="CH211" i="1"/>
  <c r="CJ211" i="1"/>
  <c r="CH204" i="1"/>
  <c r="CJ204" i="1"/>
  <c r="CH229" i="1"/>
  <c r="CJ229" i="1"/>
  <c r="CH228" i="1"/>
  <c r="CJ228" i="1"/>
  <c r="CH217" i="1"/>
  <c r="CJ217" i="1"/>
  <c r="CH210" i="1"/>
  <c r="CJ210" i="1"/>
  <c r="CH206" i="1"/>
  <c r="CJ206" i="1"/>
  <c r="CH219" i="1"/>
  <c r="CJ219" i="1"/>
  <c r="CH212" i="1"/>
  <c r="CJ212" i="1"/>
  <c r="CH214" i="1"/>
  <c r="CJ214" i="1"/>
  <c r="CH220" i="1"/>
  <c r="CJ220" i="1"/>
  <c r="CH138" i="1"/>
  <c r="CJ138" i="1"/>
  <c r="CH135" i="1"/>
  <c r="CJ135" i="1"/>
  <c r="CH132" i="1"/>
  <c r="CJ132" i="1"/>
  <c r="CH113" i="1"/>
  <c r="CJ113" i="1"/>
  <c r="CH112" i="1"/>
  <c r="CJ112" i="1"/>
  <c r="W397" i="1"/>
  <c r="CH126" i="1"/>
  <c r="CJ126" i="1"/>
  <c r="CH119" i="1"/>
  <c r="CJ119" i="1"/>
  <c r="CH121" i="1"/>
  <c r="CJ121" i="1"/>
  <c r="CH139" i="1"/>
  <c r="CJ139" i="1"/>
  <c r="CH128" i="1"/>
  <c r="CJ128" i="1"/>
  <c r="CH134" i="1"/>
  <c r="CJ134" i="1"/>
  <c r="CH118" i="1"/>
  <c r="CJ118" i="1"/>
  <c r="CH131" i="1"/>
  <c r="CJ131" i="1"/>
  <c r="CH111" i="1"/>
  <c r="CJ111" i="1"/>
  <c r="CH122" i="1"/>
  <c r="CJ122" i="1"/>
  <c r="CH137" i="1"/>
  <c r="CJ137" i="1"/>
  <c r="CH116" i="1"/>
  <c r="CJ116" i="1"/>
  <c r="CH125" i="1"/>
  <c r="CJ125" i="1"/>
  <c r="CH117" i="1"/>
  <c r="CJ117" i="1"/>
  <c r="CH133" i="1"/>
  <c r="CJ133" i="1"/>
  <c r="CH136" i="1"/>
  <c r="CJ136" i="1"/>
  <c r="CH120" i="1"/>
  <c r="CJ120" i="1"/>
  <c r="BO327" i="1"/>
  <c r="CZ327" i="1"/>
  <c r="U399" i="1"/>
  <c r="T157" i="1"/>
  <c r="CH223" i="1"/>
  <c r="CJ223" i="1"/>
  <c r="E217" i="1"/>
  <c r="CH231" i="1"/>
  <c r="CJ231" i="1"/>
  <c r="BL201" i="1"/>
  <c r="BL221" i="1"/>
  <c r="R406" i="1"/>
  <c r="BJ28" i="1"/>
  <c r="BK28" i="1"/>
  <c r="BJ34" i="1"/>
  <c r="BK34" i="1"/>
  <c r="BJ50" i="1"/>
  <c r="BK50" i="1"/>
  <c r="BJ23" i="1"/>
  <c r="BK23" i="1"/>
  <c r="BJ31" i="1"/>
  <c r="BK31" i="1"/>
  <c r="BJ39" i="1"/>
  <c r="BK39" i="1"/>
  <c r="BJ47" i="1"/>
  <c r="BK47" i="1"/>
  <c r="BJ38" i="1"/>
  <c r="BK38" i="1"/>
  <c r="BJ32" i="1"/>
  <c r="BK32" i="1"/>
  <c r="BJ40" i="1"/>
  <c r="BK40" i="1"/>
  <c r="BJ37" i="1"/>
  <c r="BK37" i="1"/>
  <c r="BJ25" i="1"/>
  <c r="BK25" i="1"/>
  <c r="BJ33" i="1"/>
  <c r="BK33" i="1"/>
  <c r="BJ41" i="1"/>
  <c r="BK41" i="1"/>
  <c r="BJ49" i="1"/>
  <c r="BK49" i="1"/>
  <c r="BJ42" i="1"/>
  <c r="BK42" i="1"/>
  <c r="BJ26" i="1"/>
  <c r="BK26" i="1"/>
  <c r="BJ44" i="1"/>
  <c r="BK44" i="1"/>
  <c r="BJ20" i="1"/>
  <c r="BK20" i="1"/>
  <c r="BL20" i="1"/>
  <c r="BJ30" i="1"/>
  <c r="BK30" i="1"/>
  <c r="BJ36" i="1"/>
  <c r="BK36" i="1"/>
  <c r="BJ27" i="1"/>
  <c r="BK27" i="1"/>
  <c r="BJ35" i="1"/>
  <c r="BK35" i="1"/>
  <c r="BJ43" i="1"/>
  <c r="BK43" i="1"/>
  <c r="BJ22" i="1"/>
  <c r="BK22" i="1"/>
  <c r="BJ46" i="1"/>
  <c r="BK46" i="1"/>
  <c r="BJ21" i="1"/>
  <c r="BK21" i="1"/>
  <c r="BJ48" i="1"/>
  <c r="BK48" i="1"/>
  <c r="BJ29" i="1"/>
  <c r="BK29" i="1"/>
  <c r="BJ45" i="1"/>
  <c r="BK45" i="1"/>
  <c r="BJ24" i="1"/>
  <c r="BK24" i="1"/>
  <c r="BO141" i="1"/>
  <c r="CZ141" i="1"/>
  <c r="CH207" i="1"/>
  <c r="CJ207" i="1"/>
  <c r="CH218" i="1"/>
  <c r="CJ218" i="1"/>
  <c r="CH202" i="1"/>
  <c r="CJ202" i="1"/>
  <c r="CH279" i="1"/>
  <c r="CJ279" i="1"/>
  <c r="S406" i="1"/>
  <c r="BM263" i="1"/>
  <c r="BN263" i="1"/>
  <c r="BO263" i="1"/>
  <c r="CZ263" i="1"/>
  <c r="BL264" i="1"/>
  <c r="Q406" i="1"/>
  <c r="T406" i="1"/>
  <c r="BL234" i="1"/>
  <c r="BL235" i="1"/>
  <c r="BN233" i="1"/>
  <c r="BM233" i="1"/>
  <c r="BM79" i="1"/>
  <c r="BL80" i="1"/>
  <c r="BN79" i="1"/>
  <c r="AH341" i="1"/>
  <c r="AH334" i="1"/>
  <c r="W60" i="1"/>
  <c r="AG345" i="1"/>
  <c r="AG344" i="1"/>
  <c r="AG335" i="1"/>
  <c r="CH233" i="1"/>
  <c r="CJ233" i="1"/>
  <c r="CH239" i="1"/>
  <c r="CJ239" i="1"/>
  <c r="CH284" i="1"/>
  <c r="CJ284" i="1"/>
  <c r="CH270" i="1"/>
  <c r="CJ270" i="1"/>
  <c r="CH241" i="1"/>
  <c r="CJ241" i="1"/>
  <c r="CH251" i="1"/>
  <c r="CJ251" i="1"/>
  <c r="CH245" i="1"/>
  <c r="CJ245" i="1"/>
  <c r="CH281" i="1"/>
  <c r="CJ281" i="1"/>
  <c r="CH249" i="1"/>
  <c r="CJ249" i="1"/>
  <c r="CH252" i="1"/>
  <c r="CJ252" i="1"/>
  <c r="CH234" i="1"/>
  <c r="CJ234" i="1"/>
  <c r="CH232" i="1"/>
  <c r="CJ232" i="1"/>
  <c r="CH247" i="1"/>
  <c r="CJ247" i="1"/>
  <c r="CH244" i="1"/>
  <c r="CJ244" i="1"/>
  <c r="CH277" i="1"/>
  <c r="CJ277" i="1"/>
  <c r="CH265" i="1"/>
  <c r="CJ265" i="1"/>
  <c r="CH235" i="1"/>
  <c r="CJ235" i="1"/>
  <c r="CH238" i="1"/>
  <c r="CJ238" i="1"/>
  <c r="CH259" i="1"/>
  <c r="CJ259" i="1"/>
  <c r="CH254" i="1"/>
  <c r="CJ254" i="1"/>
  <c r="CH262" i="1"/>
  <c r="CJ262" i="1"/>
  <c r="CH282" i="1"/>
  <c r="CJ282" i="1"/>
  <c r="CH268" i="1"/>
  <c r="CJ268" i="1"/>
  <c r="CH256" i="1"/>
  <c r="CJ256" i="1"/>
  <c r="CH328" i="1"/>
  <c r="CJ328" i="1"/>
  <c r="CH283" i="1"/>
  <c r="CJ283" i="1"/>
  <c r="CH258" i="1"/>
  <c r="CJ258" i="1"/>
  <c r="CH285" i="1"/>
  <c r="CJ285" i="1"/>
  <c r="CH166" i="1"/>
  <c r="CJ166" i="1"/>
  <c r="CH248" i="1"/>
  <c r="CJ248" i="1"/>
  <c r="CH276" i="1"/>
  <c r="CJ276" i="1"/>
  <c r="CH278" i="1"/>
  <c r="CJ278" i="1"/>
  <c r="CH158" i="1"/>
  <c r="CJ158" i="1"/>
  <c r="CH261" i="1"/>
  <c r="CJ261" i="1"/>
  <c r="CH240" i="1"/>
  <c r="CJ240" i="1"/>
  <c r="CH344" i="1"/>
  <c r="CJ344" i="1"/>
  <c r="CH253" i="1"/>
  <c r="CJ253" i="1"/>
  <c r="CH266" i="1"/>
  <c r="CJ266" i="1"/>
  <c r="W402" i="1"/>
  <c r="CH291" i="1"/>
  <c r="CJ291" i="1"/>
  <c r="CH269" i="1"/>
  <c r="CJ269" i="1"/>
  <c r="CH292" i="1"/>
  <c r="CJ292" i="1"/>
  <c r="CH154" i="1"/>
  <c r="CJ154" i="1"/>
  <c r="CH160" i="1"/>
  <c r="CJ160" i="1"/>
  <c r="E214" i="1"/>
  <c r="CE230" i="1"/>
  <c r="CG230" i="1"/>
  <c r="CE210" i="1"/>
  <c r="CG210" i="1"/>
  <c r="CE223" i="1"/>
  <c r="CG223" i="1"/>
  <c r="CE226" i="1"/>
  <c r="CG226" i="1"/>
  <c r="CE217" i="1"/>
  <c r="CG217" i="1"/>
  <c r="CE224" i="1"/>
  <c r="CG224" i="1"/>
  <c r="AN217" i="1"/>
  <c r="CE212" i="1"/>
  <c r="CG212" i="1"/>
  <c r="CE227" i="1"/>
  <c r="CG227" i="1"/>
  <c r="CE222" i="1"/>
  <c r="CG222" i="1"/>
  <c r="CE228" i="1"/>
  <c r="CG228" i="1"/>
  <c r="CE231" i="1"/>
  <c r="CG231" i="1"/>
  <c r="CH168" i="1"/>
  <c r="CJ168" i="1"/>
  <c r="CH145" i="1"/>
  <c r="CJ145" i="1"/>
  <c r="CH151" i="1"/>
  <c r="CJ151" i="1"/>
  <c r="CH146" i="1"/>
  <c r="CJ146" i="1"/>
  <c r="CH246" i="1"/>
  <c r="CJ246" i="1"/>
  <c r="CH243" i="1"/>
  <c r="CJ243" i="1"/>
  <c r="CH236" i="1"/>
  <c r="CJ236" i="1"/>
  <c r="CH237" i="1"/>
  <c r="CJ237" i="1"/>
  <c r="CH274" i="1"/>
  <c r="CJ274" i="1"/>
  <c r="CH275" i="1"/>
  <c r="CJ275" i="1"/>
  <c r="CH287" i="1"/>
  <c r="CJ287" i="1"/>
  <c r="CH280" i="1"/>
  <c r="CJ280" i="1"/>
  <c r="CH273" i="1"/>
  <c r="CJ273" i="1"/>
  <c r="CE211" i="1"/>
  <c r="CG211" i="1"/>
  <c r="CE220" i="1"/>
  <c r="CG220" i="1"/>
  <c r="CE215" i="1"/>
  <c r="CG215" i="1"/>
  <c r="CE221" i="1"/>
  <c r="CG221" i="1"/>
  <c r="CE214" i="1"/>
  <c r="CG214" i="1"/>
  <c r="CE204" i="1"/>
  <c r="CG204" i="1"/>
  <c r="CE208" i="1"/>
  <c r="CG208" i="1"/>
  <c r="CE216" i="1"/>
  <c r="CG216" i="1"/>
  <c r="CE206" i="1"/>
  <c r="CG206" i="1"/>
  <c r="CE203" i="1"/>
  <c r="CG203" i="1"/>
  <c r="W398" i="1"/>
  <c r="CH148" i="1"/>
  <c r="CJ148" i="1"/>
  <c r="CH164" i="1"/>
  <c r="CJ164" i="1"/>
  <c r="CH153" i="1"/>
  <c r="CJ153" i="1"/>
  <c r="CH140" i="1"/>
  <c r="CJ140" i="1"/>
  <c r="CH142" i="1"/>
  <c r="CJ142" i="1"/>
  <c r="CH289" i="1"/>
  <c r="CJ289" i="1"/>
  <c r="CH271" i="1"/>
  <c r="CJ271" i="1"/>
  <c r="CH288" i="1"/>
  <c r="CJ288" i="1"/>
  <c r="CH143" i="1"/>
  <c r="CJ143" i="1"/>
  <c r="CH162" i="1"/>
  <c r="CJ162" i="1"/>
  <c r="CH161" i="1"/>
  <c r="CJ161" i="1"/>
  <c r="CH144" i="1"/>
  <c r="CJ144" i="1"/>
  <c r="CH169" i="1"/>
  <c r="CJ169" i="1"/>
  <c r="CH159" i="1"/>
  <c r="CJ159" i="1"/>
  <c r="CH156" i="1"/>
  <c r="CJ156" i="1"/>
  <c r="CH149" i="1"/>
  <c r="CJ149" i="1"/>
  <c r="CH141" i="1"/>
  <c r="CJ141" i="1"/>
  <c r="CH340" i="1"/>
  <c r="CJ340" i="1"/>
  <c r="CH350" i="1"/>
  <c r="CJ350" i="1"/>
  <c r="CH351" i="1"/>
  <c r="CJ351" i="1"/>
  <c r="CH290" i="1"/>
  <c r="CJ290" i="1"/>
  <c r="CH337" i="1"/>
  <c r="CJ337" i="1"/>
  <c r="CH267" i="1"/>
  <c r="CJ267" i="1"/>
  <c r="CH286" i="1"/>
  <c r="CJ286" i="1"/>
  <c r="CH263" i="1"/>
  <c r="CJ263" i="1"/>
  <c r="CH264" i="1"/>
  <c r="CJ264" i="1"/>
  <c r="CH165" i="1"/>
  <c r="CJ165" i="1"/>
  <c r="CH155" i="1"/>
  <c r="CJ155" i="1"/>
  <c r="CH147" i="1"/>
  <c r="CJ147" i="1"/>
  <c r="CH152" i="1"/>
  <c r="CJ152" i="1"/>
  <c r="CH157" i="1"/>
  <c r="CJ157" i="1"/>
  <c r="CH163" i="1"/>
  <c r="CJ163" i="1"/>
  <c r="CH167" i="1"/>
  <c r="CJ167" i="1"/>
  <c r="CH170" i="1"/>
  <c r="CJ170" i="1"/>
  <c r="CH93" i="1"/>
  <c r="CJ93" i="1"/>
  <c r="CH339" i="1"/>
  <c r="CJ339" i="1"/>
  <c r="CH341" i="1"/>
  <c r="CJ341" i="1"/>
  <c r="CH335" i="1"/>
  <c r="CJ335" i="1"/>
  <c r="W404" i="1"/>
  <c r="CH82" i="1"/>
  <c r="CJ82" i="1"/>
  <c r="CH347" i="1"/>
  <c r="CJ347" i="1"/>
  <c r="CH330" i="1"/>
  <c r="CJ330" i="1"/>
  <c r="CH345" i="1"/>
  <c r="CJ345" i="1"/>
  <c r="CH334" i="1"/>
  <c r="CJ334" i="1"/>
  <c r="CH327" i="1"/>
  <c r="CJ327" i="1"/>
  <c r="CH364" i="1"/>
  <c r="CJ364" i="1"/>
  <c r="CH348" i="1"/>
  <c r="CJ348" i="1"/>
  <c r="CH363" i="1"/>
  <c r="CJ363" i="1"/>
  <c r="CH342" i="1"/>
  <c r="CJ342" i="1"/>
  <c r="CH324" i="1"/>
  <c r="CJ324" i="1"/>
  <c r="CH346" i="1"/>
  <c r="CJ346" i="1"/>
  <c r="CH332" i="1"/>
  <c r="CJ332" i="1"/>
  <c r="CH336" i="1"/>
  <c r="CJ336" i="1"/>
  <c r="CH338" i="1"/>
  <c r="CJ338" i="1"/>
  <c r="CH326" i="1"/>
  <c r="CJ326" i="1"/>
  <c r="CH325" i="1"/>
  <c r="CJ325" i="1"/>
  <c r="CH331" i="1"/>
  <c r="CJ331" i="1"/>
  <c r="CH352" i="1"/>
  <c r="CJ352" i="1"/>
  <c r="CH333" i="1"/>
  <c r="CJ333" i="1"/>
  <c r="CH353" i="1"/>
  <c r="CJ353" i="1"/>
  <c r="CH329" i="1"/>
  <c r="CJ329" i="1"/>
  <c r="W405" i="1"/>
  <c r="CH359" i="1"/>
  <c r="CJ359" i="1"/>
  <c r="CH358" i="1"/>
  <c r="CJ358" i="1"/>
  <c r="CH356" i="1"/>
  <c r="CJ356" i="1"/>
  <c r="CH357" i="1"/>
  <c r="CJ357" i="1"/>
  <c r="CH361" i="1"/>
  <c r="CJ361" i="1"/>
  <c r="CH362" i="1"/>
  <c r="CJ362" i="1"/>
  <c r="CH365" i="1"/>
  <c r="CJ365" i="1"/>
  <c r="CH354" i="1"/>
  <c r="CJ354" i="1"/>
  <c r="CH360" i="1"/>
  <c r="CJ360" i="1"/>
  <c r="CH105" i="1"/>
  <c r="CJ105" i="1"/>
  <c r="W396" i="1"/>
  <c r="CH104" i="1"/>
  <c r="CJ104" i="1"/>
  <c r="CH92" i="1"/>
  <c r="CJ92" i="1"/>
  <c r="CH87" i="1"/>
  <c r="CJ87" i="1"/>
  <c r="CH96" i="1"/>
  <c r="CJ96" i="1"/>
  <c r="CH80" i="1"/>
  <c r="CJ80" i="1"/>
  <c r="CH86" i="1"/>
  <c r="CJ86" i="1"/>
  <c r="CH108" i="1"/>
  <c r="CJ108" i="1"/>
  <c r="CH102" i="1"/>
  <c r="CJ102" i="1"/>
  <c r="CH85" i="1"/>
  <c r="CJ85" i="1"/>
  <c r="CH107" i="1"/>
  <c r="CJ107" i="1"/>
  <c r="CH89" i="1"/>
  <c r="CJ89" i="1"/>
  <c r="CH103" i="1"/>
  <c r="CJ103" i="1"/>
  <c r="CH90" i="1"/>
  <c r="CJ90" i="1"/>
  <c r="CH84" i="1"/>
  <c r="CJ84" i="1"/>
  <c r="CH79" i="1"/>
  <c r="CJ79" i="1"/>
  <c r="CH100" i="1"/>
  <c r="CJ100" i="1"/>
  <c r="CH97" i="1"/>
  <c r="CJ97" i="1"/>
  <c r="CH109" i="1"/>
  <c r="CJ109" i="1"/>
  <c r="CH81" i="1"/>
  <c r="CJ81" i="1"/>
  <c r="CH94" i="1"/>
  <c r="CJ94" i="1"/>
  <c r="CH101" i="1"/>
  <c r="CJ101" i="1"/>
  <c r="CH91" i="1"/>
  <c r="CJ91" i="1"/>
  <c r="CH99" i="1"/>
  <c r="CJ99" i="1"/>
  <c r="CH95" i="1"/>
  <c r="CJ95" i="1"/>
  <c r="CH88" i="1"/>
  <c r="CJ88" i="1"/>
  <c r="CH83" i="1"/>
  <c r="CJ83" i="1"/>
  <c r="CH106" i="1"/>
  <c r="CJ106" i="1"/>
  <c r="CE27" i="1"/>
  <c r="CG27" i="1"/>
  <c r="V394" i="1"/>
  <c r="CE37" i="1"/>
  <c r="CG37" i="1"/>
  <c r="CE33" i="1"/>
  <c r="CG33" i="1"/>
  <c r="CE43" i="1"/>
  <c r="CG43" i="1"/>
  <c r="CE20" i="1"/>
  <c r="CG20" i="1"/>
  <c r="CE32" i="1"/>
  <c r="CG32" i="1"/>
  <c r="CE24" i="1"/>
  <c r="CG24" i="1"/>
  <c r="AH217" i="1"/>
  <c r="CE49" i="1"/>
  <c r="CG49" i="1"/>
  <c r="CE48" i="1"/>
  <c r="CG48" i="1"/>
  <c r="CE21" i="1"/>
  <c r="CG21" i="1"/>
  <c r="CE25" i="1"/>
  <c r="CG25" i="1"/>
  <c r="CE39" i="1"/>
  <c r="CG39" i="1"/>
  <c r="CE38" i="1"/>
  <c r="CG38" i="1"/>
  <c r="CE30" i="1"/>
  <c r="CG30" i="1"/>
  <c r="CE357" i="1"/>
  <c r="CG357" i="1"/>
  <c r="CE358" i="1"/>
  <c r="CG358" i="1"/>
  <c r="CE361" i="1"/>
  <c r="CG361" i="1"/>
  <c r="CE359" i="1"/>
  <c r="CG359" i="1"/>
  <c r="CE362" i="1"/>
  <c r="CG362" i="1"/>
  <c r="CE363" i="1"/>
  <c r="CG363" i="1"/>
  <c r="CE360" i="1"/>
  <c r="CG360" i="1"/>
  <c r="CE354" i="1"/>
  <c r="CG354" i="1"/>
  <c r="V405" i="1"/>
  <c r="X346" i="1"/>
  <c r="CE364" i="1"/>
  <c r="CG364" i="1"/>
  <c r="CE356" i="1"/>
  <c r="CG356" i="1"/>
  <c r="CE355" i="1"/>
  <c r="CG355" i="1"/>
  <c r="V346" i="1"/>
  <c r="BO172" i="1"/>
  <c r="CZ172" i="1"/>
  <c r="Z157" i="1"/>
  <c r="D192" i="1"/>
  <c r="CB204" i="1"/>
  <c r="CD204" i="1"/>
  <c r="CB217" i="1"/>
  <c r="CD217" i="1"/>
  <c r="CB201" i="1"/>
  <c r="CD201" i="1"/>
  <c r="CB216" i="1"/>
  <c r="CD216" i="1"/>
  <c r="CB202" i="1"/>
  <c r="CD202" i="1"/>
  <c r="CB218" i="1"/>
  <c r="CD218" i="1"/>
  <c r="CB207" i="1"/>
  <c r="CD207" i="1"/>
  <c r="CB231" i="1"/>
  <c r="CD231" i="1"/>
  <c r="CB209" i="1"/>
  <c r="CD209" i="1"/>
  <c r="CB208" i="1"/>
  <c r="CD208" i="1"/>
  <c r="CB210" i="1"/>
  <c r="CD210" i="1"/>
  <c r="CB211" i="1"/>
  <c r="CD211" i="1"/>
  <c r="CB213" i="1"/>
  <c r="CD213" i="1"/>
  <c r="CB228" i="1"/>
  <c r="CD228" i="1"/>
  <c r="CB230" i="1"/>
  <c r="CD230" i="1"/>
  <c r="CB205" i="1"/>
  <c r="CD205" i="1"/>
  <c r="CB221" i="1"/>
  <c r="CD221" i="1"/>
  <c r="CB203" i="1"/>
  <c r="CD203" i="1"/>
  <c r="CB220" i="1"/>
  <c r="CD220" i="1"/>
  <c r="CB206" i="1"/>
  <c r="CD206" i="1"/>
  <c r="CB222" i="1"/>
  <c r="CD222" i="1"/>
  <c r="CB223" i="1"/>
  <c r="CD223" i="1"/>
  <c r="CB219" i="1"/>
  <c r="CD219" i="1"/>
  <c r="CB225" i="1"/>
  <c r="CD225" i="1"/>
  <c r="CB224" i="1"/>
  <c r="CD224" i="1"/>
  <c r="CB226" i="1"/>
  <c r="CD226" i="1"/>
  <c r="CB215" i="1"/>
  <c r="CD215" i="1"/>
  <c r="CB229" i="1"/>
  <c r="CD229" i="1"/>
  <c r="CB212" i="1"/>
  <c r="CD212" i="1"/>
  <c r="CB214" i="1"/>
  <c r="CD214" i="1"/>
  <c r="CB227" i="1"/>
  <c r="CD227" i="1"/>
  <c r="W346" i="1"/>
  <c r="AM346" i="1"/>
  <c r="D341" i="1"/>
  <c r="Q470" i="1"/>
  <c r="CB121" i="1"/>
  <c r="CD121" i="1"/>
  <c r="CB137" i="1"/>
  <c r="CD137" i="1"/>
  <c r="CB124" i="1"/>
  <c r="CD124" i="1"/>
  <c r="CB111" i="1"/>
  <c r="CD111" i="1"/>
  <c r="CB127" i="1"/>
  <c r="CD127" i="1"/>
  <c r="CB110" i="1"/>
  <c r="CD110" i="1"/>
  <c r="CB114" i="1"/>
  <c r="CD114" i="1"/>
  <c r="CB113" i="1"/>
  <c r="CD113" i="1"/>
  <c r="CB116" i="1"/>
  <c r="CD116" i="1"/>
  <c r="CB132" i="1"/>
  <c r="CD132" i="1"/>
  <c r="CB135" i="1"/>
  <c r="CD135" i="1"/>
  <c r="CB126" i="1"/>
  <c r="CD126" i="1"/>
  <c r="CB139" i="1"/>
  <c r="CD139" i="1"/>
  <c r="CB125" i="1"/>
  <c r="CD125" i="1"/>
  <c r="CB112" i="1"/>
  <c r="CD112" i="1"/>
  <c r="CB128" i="1"/>
  <c r="CD128" i="1"/>
  <c r="CB115" i="1"/>
  <c r="CD115" i="1"/>
  <c r="CB131" i="1"/>
  <c r="CD131" i="1"/>
  <c r="CB118" i="1"/>
  <c r="CD118" i="1"/>
  <c r="CB122" i="1"/>
  <c r="CD122" i="1"/>
  <c r="CB129" i="1"/>
  <c r="CD129" i="1"/>
  <c r="CB119" i="1"/>
  <c r="CD119" i="1"/>
  <c r="CB130" i="1"/>
  <c r="CD130" i="1"/>
  <c r="CB117" i="1"/>
  <c r="CD117" i="1"/>
  <c r="CB133" i="1"/>
  <c r="CD133" i="1"/>
  <c r="CB120" i="1"/>
  <c r="CD120" i="1"/>
  <c r="CB136" i="1"/>
  <c r="CD136" i="1"/>
  <c r="CB123" i="1"/>
  <c r="CD123" i="1"/>
  <c r="CB134" i="1"/>
  <c r="CD134" i="1"/>
  <c r="CB138" i="1"/>
  <c r="CD138" i="1"/>
  <c r="CB182" i="1"/>
  <c r="CD182" i="1"/>
  <c r="CB176" i="1"/>
  <c r="CD176" i="1"/>
  <c r="CB189" i="1"/>
  <c r="CD189" i="1"/>
  <c r="CB193" i="1"/>
  <c r="CD193" i="1"/>
  <c r="CB181" i="1"/>
  <c r="CD181" i="1"/>
  <c r="CB185" i="1"/>
  <c r="CD185" i="1"/>
  <c r="CB197" i="1"/>
  <c r="CD197" i="1"/>
  <c r="CB186" i="1"/>
  <c r="CD186" i="1"/>
  <c r="CB177" i="1"/>
  <c r="CD177" i="1"/>
  <c r="CB192" i="1"/>
  <c r="CD192" i="1"/>
  <c r="CB175" i="1"/>
  <c r="CD175" i="1"/>
  <c r="CB191" i="1"/>
  <c r="CD191" i="1"/>
  <c r="CB194" i="1"/>
  <c r="CD194" i="1"/>
  <c r="CB184" i="1"/>
  <c r="CD184" i="1"/>
  <c r="CB183" i="1"/>
  <c r="CD183" i="1"/>
  <c r="CB190" i="1"/>
  <c r="CD190" i="1"/>
  <c r="CB173" i="1"/>
  <c r="CD173" i="1"/>
  <c r="CB188" i="1"/>
  <c r="CD188" i="1"/>
  <c r="CB187" i="1"/>
  <c r="CD187" i="1"/>
  <c r="CB198" i="1"/>
  <c r="CD198" i="1"/>
  <c r="CB174" i="1"/>
  <c r="CD174" i="1"/>
  <c r="CB180" i="1"/>
  <c r="CD180" i="1"/>
  <c r="CB196" i="1"/>
  <c r="CD196" i="1"/>
  <c r="CB179" i="1"/>
  <c r="CD179" i="1"/>
  <c r="CB195" i="1"/>
  <c r="CD195" i="1"/>
  <c r="CB172" i="1"/>
  <c r="CD172" i="1"/>
  <c r="CB178" i="1"/>
  <c r="CD178" i="1"/>
  <c r="CB200" i="1"/>
  <c r="CD200" i="1"/>
  <c r="CB199" i="1"/>
  <c r="CD199" i="1"/>
  <c r="CB171" i="1"/>
  <c r="CD171" i="1"/>
  <c r="CB26" i="1"/>
  <c r="CD26" i="1"/>
  <c r="CB43" i="1"/>
  <c r="CD43" i="1"/>
  <c r="CB29" i="1"/>
  <c r="CD29" i="1"/>
  <c r="CB42" i="1"/>
  <c r="CD42" i="1"/>
  <c r="CB41" i="1"/>
  <c r="CD41" i="1"/>
  <c r="CB28" i="1"/>
  <c r="CD28" i="1"/>
  <c r="CB48" i="1"/>
  <c r="CD48" i="1"/>
  <c r="CB31" i="1"/>
  <c r="CD31" i="1"/>
  <c r="CB35" i="1"/>
  <c r="CD35" i="1"/>
  <c r="CB34" i="1"/>
  <c r="CD34" i="1"/>
  <c r="CB49" i="1"/>
  <c r="CD49" i="1"/>
  <c r="CB36" i="1"/>
  <c r="CD36" i="1"/>
  <c r="CB22" i="1"/>
  <c r="CD22" i="1"/>
  <c r="CB25" i="1"/>
  <c r="CD25" i="1"/>
  <c r="CB37" i="1"/>
  <c r="CD37" i="1"/>
  <c r="CB40" i="1"/>
  <c r="CD40" i="1"/>
  <c r="CB30" i="1"/>
  <c r="CD30" i="1"/>
  <c r="CB47" i="1"/>
  <c r="CD47" i="1"/>
  <c r="CB33" i="1"/>
  <c r="CD33" i="1"/>
  <c r="CB46" i="1"/>
  <c r="CD46" i="1"/>
  <c r="CB45" i="1"/>
  <c r="CD45" i="1"/>
  <c r="CB32" i="1"/>
  <c r="CD32" i="1"/>
  <c r="CB23" i="1"/>
  <c r="CD23" i="1"/>
  <c r="CB44" i="1"/>
  <c r="CD44" i="1"/>
  <c r="CB21" i="1"/>
  <c r="CD21" i="1"/>
  <c r="CB50" i="1"/>
  <c r="CD50" i="1"/>
  <c r="CB27" i="1"/>
  <c r="CD27" i="1"/>
  <c r="CB39" i="1"/>
  <c r="CD39" i="1"/>
  <c r="CB38" i="1"/>
  <c r="CD38" i="1"/>
  <c r="CB24" i="1"/>
  <c r="CD24" i="1"/>
  <c r="CB20" i="1"/>
  <c r="CD20" i="1"/>
  <c r="CB326" i="1"/>
  <c r="CD326" i="1"/>
  <c r="CB325" i="1"/>
  <c r="CD325" i="1"/>
  <c r="CB337" i="1"/>
  <c r="CD337" i="1"/>
  <c r="CB348" i="1"/>
  <c r="CD348" i="1"/>
  <c r="CB340" i="1"/>
  <c r="CD340" i="1"/>
  <c r="CB328" i="1"/>
  <c r="CD328" i="1"/>
  <c r="CB345" i="1"/>
  <c r="CD345" i="1"/>
  <c r="CB336" i="1"/>
  <c r="CD336" i="1"/>
  <c r="CB350" i="1"/>
  <c r="CD350" i="1"/>
  <c r="CB346" i="1"/>
  <c r="CD346" i="1"/>
  <c r="CB351" i="1"/>
  <c r="CD351" i="1"/>
  <c r="CB347" i="1"/>
  <c r="CD347" i="1"/>
  <c r="CB341" i="1"/>
  <c r="CD341" i="1"/>
  <c r="CB330" i="1"/>
  <c r="CD330" i="1"/>
  <c r="CB329" i="1"/>
  <c r="CD329" i="1"/>
  <c r="CB342" i="1"/>
  <c r="CD342" i="1"/>
  <c r="CB349" i="1"/>
  <c r="CD349" i="1"/>
  <c r="CB344" i="1"/>
  <c r="CD344" i="1"/>
  <c r="CB332" i="1"/>
  <c r="CD332" i="1"/>
  <c r="CB353" i="1"/>
  <c r="CD353" i="1"/>
  <c r="CB343" i="1"/>
  <c r="CD343" i="1"/>
  <c r="CB334" i="1"/>
  <c r="CD334" i="1"/>
  <c r="CB327" i="1"/>
  <c r="CD327" i="1"/>
  <c r="CB333" i="1"/>
  <c r="CD333" i="1"/>
  <c r="CB338" i="1"/>
  <c r="CD338" i="1"/>
  <c r="CB324" i="1"/>
  <c r="CD324" i="1"/>
  <c r="CB335" i="1"/>
  <c r="CD335" i="1"/>
  <c r="CB331" i="1"/>
  <c r="CD331" i="1"/>
  <c r="CB352" i="1"/>
  <c r="CD352" i="1"/>
  <c r="CB339" i="1"/>
  <c r="CD339" i="1"/>
  <c r="CB58" i="1"/>
  <c r="CD58" i="1"/>
  <c r="CB61" i="1"/>
  <c r="CD61" i="1"/>
  <c r="CB66" i="1"/>
  <c r="CD66" i="1"/>
  <c r="CB55" i="1"/>
  <c r="CD55" i="1"/>
  <c r="CB77" i="1"/>
  <c r="CD77" i="1"/>
  <c r="CB63" i="1"/>
  <c r="CD63" i="1"/>
  <c r="CB65" i="1"/>
  <c r="CD65" i="1"/>
  <c r="CB56" i="1"/>
  <c r="CD56" i="1"/>
  <c r="CB73" i="1"/>
  <c r="CD73" i="1"/>
  <c r="CB60" i="1"/>
  <c r="CD60" i="1"/>
  <c r="CB54" i="1"/>
  <c r="CD54" i="1"/>
  <c r="CB64" i="1"/>
  <c r="CD64" i="1"/>
  <c r="CB70" i="1"/>
  <c r="CD70" i="1"/>
  <c r="CB71" i="1"/>
  <c r="CD71" i="1"/>
  <c r="CB68" i="1"/>
  <c r="CD68" i="1"/>
  <c r="CB72" i="1"/>
  <c r="CD72" i="1"/>
  <c r="CB62" i="1"/>
  <c r="CD62" i="1"/>
  <c r="CB52" i="1"/>
  <c r="CD52" i="1"/>
  <c r="CB67" i="1"/>
  <c r="CD67" i="1"/>
  <c r="CB76" i="1"/>
  <c r="CD76" i="1"/>
  <c r="CB74" i="1"/>
  <c r="CD74" i="1"/>
  <c r="CB57" i="1"/>
  <c r="CD57" i="1"/>
  <c r="CB78" i="1"/>
  <c r="CD78" i="1"/>
  <c r="CB75" i="1"/>
  <c r="CD75" i="1"/>
  <c r="CB69" i="1"/>
  <c r="CD69" i="1"/>
  <c r="CB53" i="1"/>
  <c r="CD53" i="1"/>
  <c r="CB59" i="1"/>
  <c r="CD59" i="1"/>
  <c r="CB51" i="1"/>
  <c r="CD51" i="1"/>
  <c r="J156" i="1"/>
  <c r="AL346" i="1"/>
  <c r="U397" i="1"/>
  <c r="U406" i="1"/>
  <c r="AG336" i="1"/>
  <c r="AG337" i="1"/>
  <c r="AH337" i="1"/>
  <c r="AH345" i="1"/>
  <c r="AH342" i="1"/>
  <c r="AG339" i="1"/>
  <c r="AH335" i="1"/>
  <c r="W59" i="1"/>
  <c r="AG340" i="1"/>
  <c r="AG338" i="1"/>
  <c r="AG341" i="1"/>
  <c r="AG343" i="1"/>
  <c r="AG334" i="1"/>
  <c r="AH344" i="1"/>
  <c r="AH343" i="1"/>
  <c r="AH338" i="1"/>
  <c r="AH340" i="1"/>
  <c r="AH336" i="1"/>
  <c r="BM297" i="1"/>
  <c r="BN297" i="1"/>
  <c r="BO296" i="1"/>
  <c r="CZ296" i="1"/>
  <c r="BO295" i="1"/>
  <c r="CZ295" i="1"/>
  <c r="BO110" i="1"/>
  <c r="CZ110" i="1"/>
  <c r="BL361" i="1"/>
  <c r="BN361" i="1"/>
  <c r="BO51" i="1"/>
  <c r="CZ51" i="1"/>
  <c r="BL298" i="1"/>
  <c r="BM298" i="1"/>
  <c r="E219" i="1"/>
  <c r="AB226" i="1"/>
  <c r="AA237" i="1"/>
  <c r="BM142" i="1"/>
  <c r="BN142" i="1"/>
  <c r="BL143" i="1"/>
  <c r="BL144" i="1"/>
  <c r="BL145" i="1"/>
  <c r="BN328" i="1"/>
  <c r="BM328" i="1"/>
  <c r="BL112" i="1"/>
  <c r="BL113" i="1"/>
  <c r="BM52" i="1"/>
  <c r="BN52" i="1"/>
  <c r="BO294" i="1"/>
  <c r="CZ294" i="1"/>
  <c r="BM359" i="1"/>
  <c r="BN359" i="1"/>
  <c r="BL329" i="1"/>
  <c r="BM173" i="1"/>
  <c r="BN173" i="1"/>
  <c r="BL174" i="1"/>
  <c r="BL175" i="1"/>
  <c r="BN111" i="1"/>
  <c r="BM111" i="1"/>
  <c r="BN360" i="1"/>
  <c r="BM360" i="1"/>
  <c r="W394" i="1"/>
  <c r="CH22" i="1"/>
  <c r="CJ22" i="1"/>
  <c r="CH24" i="1"/>
  <c r="CJ24" i="1"/>
  <c r="CH26" i="1"/>
  <c r="CJ26" i="1"/>
  <c r="CH28" i="1"/>
  <c r="CJ28" i="1"/>
  <c r="CH30" i="1"/>
  <c r="CJ30" i="1"/>
  <c r="CH32" i="1"/>
  <c r="CJ32" i="1"/>
  <c r="CH34" i="1"/>
  <c r="CJ34" i="1"/>
  <c r="CH36" i="1"/>
  <c r="CJ36" i="1"/>
  <c r="CH38" i="1"/>
  <c r="CJ38" i="1"/>
  <c r="CH40" i="1"/>
  <c r="CJ40" i="1"/>
  <c r="CH42" i="1"/>
  <c r="CJ42" i="1"/>
  <c r="CH44" i="1"/>
  <c r="CJ44" i="1"/>
  <c r="CH46" i="1"/>
  <c r="CJ46" i="1"/>
  <c r="CH48" i="1"/>
  <c r="CJ48" i="1"/>
  <c r="CH27" i="1"/>
  <c r="CJ27" i="1"/>
  <c r="CH35" i="1"/>
  <c r="CJ35" i="1"/>
  <c r="CH21" i="1"/>
  <c r="CJ21" i="1"/>
  <c r="CH29" i="1"/>
  <c r="CJ29" i="1"/>
  <c r="CH37" i="1"/>
  <c r="CJ37" i="1"/>
  <c r="CH41" i="1"/>
  <c r="CJ41" i="1"/>
  <c r="CH45" i="1"/>
  <c r="CJ45" i="1"/>
  <c r="CH49" i="1"/>
  <c r="CJ49" i="1"/>
  <c r="CH23" i="1"/>
  <c r="CJ23" i="1"/>
  <c r="CH25" i="1"/>
  <c r="CJ25" i="1"/>
  <c r="CH50" i="1"/>
  <c r="CJ50" i="1"/>
  <c r="CH20" i="1"/>
  <c r="CJ20" i="1"/>
  <c r="CH39" i="1"/>
  <c r="CJ39" i="1"/>
  <c r="CH47" i="1"/>
  <c r="CJ47" i="1"/>
  <c r="CH31" i="1"/>
  <c r="CJ31" i="1"/>
  <c r="CH33" i="1"/>
  <c r="CJ33" i="1"/>
  <c r="CH43" i="1"/>
  <c r="CJ43" i="1"/>
  <c r="BN298" i="1"/>
  <c r="BL299" i="1"/>
  <c r="BL362" i="1"/>
  <c r="BL363" i="1"/>
  <c r="BL364" i="1"/>
  <c r="BN358" i="1"/>
  <c r="BM358" i="1"/>
  <c r="BL53" i="1"/>
  <c r="AJ340" i="1"/>
  <c r="AJ345" i="1"/>
  <c r="AJ338" i="1"/>
  <c r="AJ344" i="1"/>
  <c r="AJ339" i="1"/>
  <c r="AJ343" i="1"/>
  <c r="AJ334" i="1"/>
  <c r="AJ337" i="1"/>
  <c r="AJ342" i="1"/>
  <c r="AJ336" i="1"/>
  <c r="AJ341" i="1"/>
  <c r="AJ335" i="1"/>
  <c r="D109" i="1"/>
  <c r="BM361" i="1"/>
  <c r="BO361" i="1"/>
  <c r="CZ361" i="1"/>
  <c r="AI346" i="1"/>
  <c r="D339" i="1"/>
  <c r="Q468" i="1"/>
  <c r="BO79" i="1"/>
  <c r="CZ79" i="1"/>
  <c r="BN235" i="1"/>
  <c r="BM235" i="1"/>
  <c r="BO328" i="1"/>
  <c r="CZ328" i="1"/>
  <c r="BO297" i="1"/>
  <c r="CZ297" i="1"/>
  <c r="BL81" i="1"/>
  <c r="BM80" i="1"/>
  <c r="BN80" i="1"/>
  <c r="BM264" i="1"/>
  <c r="BN264" i="1"/>
  <c r="BO264" i="1"/>
  <c r="CZ264" i="1"/>
  <c r="BL265" i="1"/>
  <c r="BM234" i="1"/>
  <c r="BN234" i="1"/>
  <c r="BL236" i="1"/>
  <c r="BL21" i="1"/>
  <c r="BL22" i="1"/>
  <c r="BM20" i="1"/>
  <c r="BN20" i="1"/>
  <c r="BN221" i="1"/>
  <c r="BM221" i="1"/>
  <c r="BO360" i="1"/>
  <c r="CZ360" i="1"/>
  <c r="BO233" i="1"/>
  <c r="CZ233" i="1"/>
  <c r="BM201" i="1"/>
  <c r="BN201" i="1"/>
  <c r="BL202" i="1"/>
  <c r="V406" i="1"/>
  <c r="AG346" i="1"/>
  <c r="D337" i="1"/>
  <c r="Q466" i="1"/>
  <c r="AH346" i="1"/>
  <c r="D338" i="1"/>
  <c r="Q467" i="1"/>
  <c r="BO359" i="1"/>
  <c r="CZ359" i="1"/>
  <c r="BO142" i="1"/>
  <c r="CZ142" i="1"/>
  <c r="BO358" i="1"/>
  <c r="CZ358" i="1"/>
  <c r="BO111" i="1"/>
  <c r="CZ111" i="1"/>
  <c r="Y335" i="1"/>
  <c r="AB237" i="1"/>
  <c r="BN364" i="1"/>
  <c r="BM364" i="1"/>
  <c r="BL365" i="1"/>
  <c r="BM145" i="1"/>
  <c r="BN145" i="1"/>
  <c r="BO298" i="1"/>
  <c r="CZ298" i="1"/>
  <c r="BN299" i="1"/>
  <c r="BM299" i="1"/>
  <c r="BO299" i="1"/>
  <c r="CZ299" i="1"/>
  <c r="BL300" i="1"/>
  <c r="BL301" i="1"/>
  <c r="BM113" i="1"/>
  <c r="BN113" i="1"/>
  <c r="BN329" i="1"/>
  <c r="BM329" i="1"/>
  <c r="BN144" i="1"/>
  <c r="BM144" i="1"/>
  <c r="BN362" i="1"/>
  <c r="BM362" i="1"/>
  <c r="BL330" i="1"/>
  <c r="BM174" i="1"/>
  <c r="BN174" i="1"/>
  <c r="BL176" i="1"/>
  <c r="BO173" i="1"/>
  <c r="CZ173" i="1"/>
  <c r="BO52" i="1"/>
  <c r="CZ52" i="1"/>
  <c r="BM112" i="1"/>
  <c r="BN112" i="1"/>
  <c r="BL114" i="1"/>
  <c r="BM143" i="1"/>
  <c r="BN143" i="1"/>
  <c r="BL146" i="1"/>
  <c r="BM53" i="1"/>
  <c r="BN53" i="1"/>
  <c r="BL54" i="1"/>
  <c r="BM363" i="1"/>
  <c r="BN363" i="1"/>
  <c r="BN175" i="1"/>
  <c r="BM175" i="1"/>
  <c r="BO175" i="1"/>
  <c r="CZ175" i="1"/>
  <c r="AJ346" i="1"/>
  <c r="D340" i="1"/>
  <c r="Q469" i="1"/>
  <c r="BO221" i="1"/>
  <c r="CZ221" i="1"/>
  <c r="BO235" i="1"/>
  <c r="CZ235" i="1"/>
  <c r="BO20" i="1"/>
  <c r="CZ20" i="1"/>
  <c r="BO80" i="1"/>
  <c r="CZ80" i="1"/>
  <c r="BM22" i="1"/>
  <c r="BN22" i="1"/>
  <c r="BN202" i="1"/>
  <c r="BM202" i="1"/>
  <c r="BL203" i="1"/>
  <c r="BL23" i="1"/>
  <c r="BO234" i="1"/>
  <c r="CZ234" i="1"/>
  <c r="BM21" i="1"/>
  <c r="BN21" i="1"/>
  <c r="BL266" i="1"/>
  <c r="BL267" i="1"/>
  <c r="BM265" i="1"/>
  <c r="BN265" i="1"/>
  <c r="BL82" i="1"/>
  <c r="BM81" i="1"/>
  <c r="BN81" i="1"/>
  <c r="BO201" i="1"/>
  <c r="CZ201" i="1"/>
  <c r="BL237" i="1"/>
  <c r="BN236" i="1"/>
  <c r="BM236" i="1"/>
  <c r="Q472" i="1"/>
  <c r="P473" i="1"/>
  <c r="CH51" i="1"/>
  <c r="CJ51" i="1"/>
  <c r="CH54" i="1"/>
  <c r="CJ54" i="1"/>
  <c r="CH66" i="1"/>
  <c r="CJ66" i="1"/>
  <c r="CH74" i="1"/>
  <c r="CJ74" i="1"/>
  <c r="CH77" i="1"/>
  <c r="CJ77" i="1"/>
  <c r="CH67" i="1"/>
  <c r="CJ67" i="1"/>
  <c r="CH78" i="1"/>
  <c r="CJ78" i="1"/>
  <c r="CH60" i="1"/>
  <c r="CJ60" i="1"/>
  <c r="CH76" i="1"/>
  <c r="CJ76" i="1"/>
  <c r="CH75" i="1"/>
  <c r="CJ75" i="1"/>
  <c r="CH56" i="1"/>
  <c r="CJ56" i="1"/>
  <c r="CH62" i="1"/>
  <c r="CJ62" i="1"/>
  <c r="CH70" i="1"/>
  <c r="CJ70" i="1"/>
  <c r="CH65" i="1"/>
  <c r="CJ65" i="1"/>
  <c r="CH58" i="1"/>
  <c r="CJ58" i="1"/>
  <c r="CH63" i="1"/>
  <c r="CJ63" i="1"/>
  <c r="W395" i="1"/>
  <c r="W406" i="1"/>
  <c r="CH53" i="1"/>
  <c r="CJ53" i="1"/>
  <c r="CH64" i="1"/>
  <c r="CJ64" i="1"/>
  <c r="CH72" i="1"/>
  <c r="CJ72" i="1"/>
  <c r="CH73" i="1"/>
  <c r="CJ73" i="1"/>
  <c r="CH59" i="1"/>
  <c r="CJ59" i="1"/>
  <c r="CH71" i="1"/>
  <c r="CJ71" i="1"/>
  <c r="CH69" i="1"/>
  <c r="CJ69" i="1"/>
  <c r="CH55" i="1"/>
  <c r="CJ55" i="1"/>
  <c r="CH68" i="1"/>
  <c r="CJ68" i="1"/>
  <c r="CH57" i="1"/>
  <c r="CJ57" i="1"/>
  <c r="CH52" i="1"/>
  <c r="CJ52" i="1"/>
  <c r="CH61" i="1"/>
  <c r="CJ61" i="1"/>
  <c r="Y346" i="1"/>
  <c r="BO112" i="1"/>
  <c r="CZ112" i="1"/>
  <c r="BO144" i="1"/>
  <c r="CZ144" i="1"/>
  <c r="BO145" i="1"/>
  <c r="CZ145" i="1"/>
  <c r="BN301" i="1"/>
  <c r="BM301" i="1"/>
  <c r="BL177" i="1"/>
  <c r="BO363" i="1"/>
  <c r="CZ363" i="1"/>
  <c r="BO53" i="1"/>
  <c r="CZ53" i="1"/>
  <c r="BM300" i="1"/>
  <c r="BN300" i="1"/>
  <c r="BM365" i="1"/>
  <c r="BN365" i="1"/>
  <c r="BM54" i="1"/>
  <c r="BN54" i="1"/>
  <c r="BM146" i="1"/>
  <c r="BN146" i="1"/>
  <c r="BO143" i="1"/>
  <c r="CZ143" i="1"/>
  <c r="BO174" i="1"/>
  <c r="CZ174" i="1"/>
  <c r="BO362" i="1"/>
  <c r="CZ362" i="1"/>
  <c r="BO113" i="1"/>
  <c r="CZ113" i="1"/>
  <c r="BO364" i="1"/>
  <c r="CZ364" i="1"/>
  <c r="BM176" i="1"/>
  <c r="BN176" i="1"/>
  <c r="BN330" i="1"/>
  <c r="BM330" i="1"/>
  <c r="BL331" i="1"/>
  <c r="BN114" i="1"/>
  <c r="BM114" i="1"/>
  <c r="BL115" i="1"/>
  <c r="BO329" i="1"/>
  <c r="CZ329" i="1"/>
  <c r="BL302" i="1"/>
  <c r="BL147" i="1"/>
  <c r="BL55" i="1"/>
  <c r="BL56" i="1"/>
  <c r="BO236" i="1"/>
  <c r="CZ236" i="1"/>
  <c r="BO54" i="1"/>
  <c r="CZ54" i="1"/>
  <c r="BO301" i="1"/>
  <c r="CZ301" i="1"/>
  <c r="BO365" i="1"/>
  <c r="CZ365" i="1"/>
  <c r="BM23" i="1"/>
  <c r="BN23" i="1"/>
  <c r="BL24" i="1"/>
  <c r="BL25" i="1"/>
  <c r="BN237" i="1"/>
  <c r="BM237" i="1"/>
  <c r="BO81" i="1"/>
  <c r="CZ81" i="1"/>
  <c r="BO265" i="1"/>
  <c r="CZ265" i="1"/>
  <c r="BO21" i="1"/>
  <c r="CZ21" i="1"/>
  <c r="BL204" i="1"/>
  <c r="BL205" i="1"/>
  <c r="BM203" i="1"/>
  <c r="BN203" i="1"/>
  <c r="BO22" i="1"/>
  <c r="CZ22" i="1"/>
  <c r="BN267" i="1"/>
  <c r="BM267" i="1"/>
  <c r="BN82" i="1"/>
  <c r="BM82" i="1"/>
  <c r="BL83" i="1"/>
  <c r="BN266" i="1"/>
  <c r="BM266" i="1"/>
  <c r="BO266" i="1"/>
  <c r="CZ266" i="1"/>
  <c r="BL268" i="1"/>
  <c r="BO202" i="1"/>
  <c r="CZ202" i="1"/>
  <c r="BL238" i="1"/>
  <c r="BO300" i="1"/>
  <c r="CZ300" i="1"/>
  <c r="BO330" i="1"/>
  <c r="CZ330" i="1"/>
  <c r="BO146" i="1"/>
  <c r="CZ146" i="1"/>
  <c r="BL116" i="1"/>
  <c r="BL117" i="1"/>
  <c r="BM56" i="1"/>
  <c r="BN56" i="1"/>
  <c r="BM147" i="1"/>
  <c r="BN147" i="1"/>
  <c r="BO176" i="1"/>
  <c r="CZ176" i="1"/>
  <c r="BL148" i="1"/>
  <c r="BL303" i="1"/>
  <c r="BM115" i="1"/>
  <c r="BN115" i="1"/>
  <c r="BO114" i="1"/>
  <c r="CZ114" i="1"/>
  <c r="BL332" i="1"/>
  <c r="BL178" i="1"/>
  <c r="BM331" i="1"/>
  <c r="BN331" i="1"/>
  <c r="BN55" i="1"/>
  <c r="BM55" i="1"/>
  <c r="BL57" i="1"/>
  <c r="BM302" i="1"/>
  <c r="BN302" i="1"/>
  <c r="BN177" i="1"/>
  <c r="BM177" i="1"/>
  <c r="P253" i="1"/>
  <c r="P256" i="1"/>
  <c r="BO23" i="1"/>
  <c r="CZ23" i="1"/>
  <c r="BO115" i="1"/>
  <c r="CZ115" i="1"/>
  <c r="BM116" i="1"/>
  <c r="BN116" i="1"/>
  <c r="BO82" i="1"/>
  <c r="CZ82" i="1"/>
  <c r="BO177" i="1"/>
  <c r="CZ177" i="1"/>
  <c r="BN205" i="1"/>
  <c r="BM205" i="1"/>
  <c r="BO147" i="1"/>
  <c r="CZ147" i="1"/>
  <c r="BN268" i="1"/>
  <c r="BM268" i="1"/>
  <c r="BM83" i="1"/>
  <c r="BN83" i="1"/>
  <c r="BL84" i="1"/>
  <c r="BO267" i="1"/>
  <c r="CZ267" i="1"/>
  <c r="BO203" i="1"/>
  <c r="CZ203" i="1"/>
  <c r="BO237" i="1"/>
  <c r="CZ237" i="1"/>
  <c r="BL239" i="1"/>
  <c r="BL240" i="1"/>
  <c r="BN238" i="1"/>
  <c r="BM238" i="1"/>
  <c r="BN204" i="1"/>
  <c r="BM204" i="1"/>
  <c r="BO204" i="1"/>
  <c r="CZ204" i="1"/>
  <c r="BL206" i="1"/>
  <c r="BN24" i="1"/>
  <c r="BM24" i="1"/>
  <c r="BL26" i="1"/>
  <c r="BL27" i="1"/>
  <c r="BM25" i="1"/>
  <c r="BN25" i="1"/>
  <c r="BL269" i="1"/>
  <c r="BL118" i="1"/>
  <c r="BM118" i="1"/>
  <c r="BM117" i="1"/>
  <c r="BN117" i="1"/>
  <c r="BO331" i="1"/>
  <c r="CZ331" i="1"/>
  <c r="BO55" i="1"/>
  <c r="CZ55" i="1"/>
  <c r="BN332" i="1"/>
  <c r="BM332" i="1"/>
  <c r="BN57" i="1"/>
  <c r="BM57" i="1"/>
  <c r="BN118" i="1"/>
  <c r="BO302" i="1"/>
  <c r="CZ302" i="1"/>
  <c r="BM178" i="1"/>
  <c r="BN178" i="1"/>
  <c r="BL179" i="1"/>
  <c r="BN303" i="1"/>
  <c r="BM303" i="1"/>
  <c r="BL304" i="1"/>
  <c r="BL119" i="1"/>
  <c r="BO56" i="1"/>
  <c r="CZ56" i="1"/>
  <c r="BN148" i="1"/>
  <c r="BM148" i="1"/>
  <c r="BL58" i="1"/>
  <c r="BL333" i="1"/>
  <c r="BL149" i="1"/>
  <c r="B331" i="1"/>
  <c r="BO268" i="1"/>
  <c r="CZ268" i="1"/>
  <c r="BO116" i="1"/>
  <c r="CZ116" i="1"/>
  <c r="BO117" i="1"/>
  <c r="CZ117" i="1"/>
  <c r="BO24" i="1"/>
  <c r="CZ24" i="1"/>
  <c r="BO148" i="1"/>
  <c r="CZ148" i="1"/>
  <c r="BO303" i="1"/>
  <c r="CZ303" i="1"/>
  <c r="BO25" i="1"/>
  <c r="CZ25" i="1"/>
  <c r="BL85" i="1"/>
  <c r="BL86" i="1"/>
  <c r="BO83" i="1"/>
  <c r="CZ83" i="1"/>
  <c r="BO205" i="1"/>
  <c r="CZ205" i="1"/>
  <c r="BN240" i="1"/>
  <c r="BM240" i="1"/>
  <c r="BM27" i="1"/>
  <c r="BN27" i="1"/>
  <c r="BL241" i="1"/>
  <c r="BL207" i="1"/>
  <c r="BL208" i="1"/>
  <c r="BN206" i="1"/>
  <c r="BM206" i="1"/>
  <c r="BM239" i="1"/>
  <c r="BN239" i="1"/>
  <c r="BL270" i="1"/>
  <c r="BN269" i="1"/>
  <c r="BM269" i="1"/>
  <c r="BL242" i="1"/>
  <c r="BL243" i="1"/>
  <c r="BM84" i="1"/>
  <c r="BN84" i="1"/>
  <c r="BL28" i="1"/>
  <c r="BL29" i="1"/>
  <c r="BM26" i="1"/>
  <c r="BN26" i="1"/>
  <c r="BO238" i="1"/>
  <c r="CZ238" i="1"/>
  <c r="BO332" i="1"/>
  <c r="CZ332" i="1"/>
  <c r="BM304" i="1"/>
  <c r="BN304" i="1"/>
  <c r="BL305" i="1"/>
  <c r="BO178" i="1"/>
  <c r="CZ178" i="1"/>
  <c r="BM119" i="1"/>
  <c r="BN119" i="1"/>
  <c r="BL120" i="1"/>
  <c r="BN179" i="1"/>
  <c r="BM179" i="1"/>
  <c r="BM149" i="1"/>
  <c r="BN149" i="1"/>
  <c r="BL150" i="1"/>
  <c r="BN333" i="1"/>
  <c r="BM333" i="1"/>
  <c r="BL334" i="1"/>
  <c r="BL180" i="1"/>
  <c r="BO57" i="1"/>
  <c r="CZ57" i="1"/>
  <c r="BM58" i="1"/>
  <c r="BN58" i="1"/>
  <c r="BL59" i="1"/>
  <c r="BO118" i="1"/>
  <c r="CZ118" i="1"/>
  <c r="J331" i="1"/>
  <c r="AB342" i="1"/>
  <c r="AB343" i="1"/>
  <c r="AB340" i="1"/>
  <c r="AB334" i="1"/>
  <c r="AB335" i="1"/>
  <c r="AB345" i="1"/>
  <c r="AB341" i="1"/>
  <c r="AB337" i="1"/>
  <c r="AB338" i="1"/>
  <c r="AB336" i="1"/>
  <c r="AB339" i="1"/>
  <c r="AB344" i="1"/>
  <c r="F331" i="1"/>
  <c r="K271" i="1"/>
  <c r="D274" i="1"/>
  <c r="D275" i="1"/>
  <c r="Z334" i="1"/>
  <c r="Z341" i="1"/>
  <c r="Z336" i="1"/>
  <c r="Z342" i="1"/>
  <c r="Z335" i="1"/>
  <c r="Z345" i="1"/>
  <c r="Z337" i="1"/>
  <c r="Z340" i="1"/>
  <c r="Z343" i="1"/>
  <c r="Z338" i="1"/>
  <c r="Z344" i="1"/>
  <c r="Z339" i="1"/>
  <c r="BO269" i="1"/>
  <c r="CZ269" i="1"/>
  <c r="BM86" i="1"/>
  <c r="BN86" i="1"/>
  <c r="BL87" i="1"/>
  <c r="BM87" i="1"/>
  <c r="BO239" i="1"/>
  <c r="CZ239" i="1"/>
  <c r="BN85" i="1"/>
  <c r="BO179" i="1"/>
  <c r="CZ179" i="1"/>
  <c r="BO119" i="1"/>
  <c r="CZ119" i="1"/>
  <c r="BO206" i="1"/>
  <c r="CZ206" i="1"/>
  <c r="BM85" i="1"/>
  <c r="BO240" i="1"/>
  <c r="CZ240" i="1"/>
  <c r="BM243" i="1"/>
  <c r="BN243" i="1"/>
  <c r="BN29" i="1"/>
  <c r="BM29" i="1"/>
  <c r="BL30" i="1"/>
  <c r="BL31" i="1"/>
  <c r="BM208" i="1"/>
  <c r="BN208" i="1"/>
  <c r="BL271" i="1"/>
  <c r="BO27" i="1"/>
  <c r="CZ27" i="1"/>
  <c r="BL88" i="1"/>
  <c r="BO26" i="1"/>
  <c r="CZ26" i="1"/>
  <c r="BO84" i="1"/>
  <c r="CZ84" i="1"/>
  <c r="BM28" i="1"/>
  <c r="BN28" i="1"/>
  <c r="BM242" i="1"/>
  <c r="BN242" i="1"/>
  <c r="BN270" i="1"/>
  <c r="BM270" i="1"/>
  <c r="BM207" i="1"/>
  <c r="BN207" i="1"/>
  <c r="BL209" i="1"/>
  <c r="BM241" i="1"/>
  <c r="BN241" i="1"/>
  <c r="BL244" i="1"/>
  <c r="BO86" i="1"/>
  <c r="CZ86" i="1"/>
  <c r="BO58" i="1"/>
  <c r="CZ58" i="1"/>
  <c r="BO149" i="1"/>
  <c r="CZ149" i="1"/>
  <c r="BM180" i="1"/>
  <c r="BN180" i="1"/>
  <c r="BN305" i="1"/>
  <c r="BM305" i="1"/>
  <c r="BL306" i="1"/>
  <c r="BL60" i="1"/>
  <c r="BL181" i="1"/>
  <c r="BM150" i="1"/>
  <c r="BN150" i="1"/>
  <c r="BL151" i="1"/>
  <c r="BL121" i="1"/>
  <c r="BN334" i="1"/>
  <c r="BM334" i="1"/>
  <c r="BL335" i="1"/>
  <c r="BO304" i="1"/>
  <c r="CZ304" i="1"/>
  <c r="BM59" i="1"/>
  <c r="BN59" i="1"/>
  <c r="BO333" i="1"/>
  <c r="CZ333" i="1"/>
  <c r="BN120" i="1"/>
  <c r="BM120" i="1"/>
  <c r="AC341" i="1"/>
  <c r="AC334" i="1"/>
  <c r="AC338" i="1"/>
  <c r="AC342" i="1"/>
  <c r="AC335" i="1"/>
  <c r="AC340" i="1"/>
  <c r="AC336" i="1"/>
  <c r="AC337" i="1"/>
  <c r="AC344" i="1"/>
  <c r="AC339" i="1"/>
  <c r="AC345" i="1"/>
  <c r="AC343" i="1"/>
  <c r="CQ148" i="1"/>
  <c r="CS148" i="1"/>
  <c r="CQ146" i="1"/>
  <c r="CS146" i="1"/>
  <c r="CQ168" i="1"/>
  <c r="CS168" i="1"/>
  <c r="CQ155" i="1"/>
  <c r="CS155" i="1"/>
  <c r="CQ147" i="1"/>
  <c r="CS147" i="1"/>
  <c r="CQ140" i="1"/>
  <c r="CS140" i="1"/>
  <c r="CQ151" i="1"/>
  <c r="CS151" i="1"/>
  <c r="CQ154" i="1"/>
  <c r="CS154" i="1"/>
  <c r="CQ144" i="1"/>
  <c r="CS144" i="1"/>
  <c r="CQ156" i="1"/>
  <c r="CS156" i="1"/>
  <c r="CQ142" i="1"/>
  <c r="CS142" i="1"/>
  <c r="CQ167" i="1"/>
  <c r="CS167" i="1"/>
  <c r="CQ165" i="1"/>
  <c r="CS165" i="1"/>
  <c r="CQ158" i="1"/>
  <c r="CS158" i="1"/>
  <c r="CQ152" i="1"/>
  <c r="CS152" i="1"/>
  <c r="CQ160" i="1"/>
  <c r="CS160" i="1"/>
  <c r="CQ143" i="1"/>
  <c r="CS143" i="1"/>
  <c r="CQ161" i="1"/>
  <c r="CS161" i="1"/>
  <c r="CQ149" i="1"/>
  <c r="CS149" i="1"/>
  <c r="CQ157" i="1"/>
  <c r="CS157" i="1"/>
  <c r="CQ164" i="1"/>
  <c r="CS164" i="1"/>
  <c r="CQ162" i="1"/>
  <c r="CS162" i="1"/>
  <c r="CQ166" i="1"/>
  <c r="CS166" i="1"/>
  <c r="Z398" i="1"/>
  <c r="CQ170" i="1"/>
  <c r="CS170" i="1"/>
  <c r="CQ169" i="1"/>
  <c r="CS169" i="1"/>
  <c r="CQ141" i="1"/>
  <c r="CS141" i="1"/>
  <c r="CQ159" i="1"/>
  <c r="CS159" i="1"/>
  <c r="CQ150" i="1"/>
  <c r="CS150" i="1"/>
  <c r="CQ145" i="1"/>
  <c r="CS145" i="1"/>
  <c r="CQ163" i="1"/>
  <c r="CS163" i="1"/>
  <c r="CQ153" i="1"/>
  <c r="CS153" i="1"/>
  <c r="CQ294" i="1"/>
  <c r="CS294" i="1"/>
  <c r="CQ307" i="1"/>
  <c r="CS307" i="1"/>
  <c r="CQ296" i="1"/>
  <c r="CS296" i="1"/>
  <c r="CQ313" i="1"/>
  <c r="CS313" i="1"/>
  <c r="CQ322" i="1"/>
  <c r="CS322" i="1"/>
  <c r="CQ317" i="1"/>
  <c r="CS317" i="1"/>
  <c r="CQ318" i="1"/>
  <c r="CS318" i="1"/>
  <c r="CQ302" i="1"/>
  <c r="CS302" i="1"/>
  <c r="Z403" i="1"/>
  <c r="CQ303" i="1"/>
  <c r="CS303" i="1"/>
  <c r="CQ297" i="1"/>
  <c r="CS297" i="1"/>
  <c r="CQ308" i="1"/>
  <c r="CS308" i="1"/>
  <c r="CQ316" i="1"/>
  <c r="CS316" i="1"/>
  <c r="CQ320" i="1"/>
  <c r="CS320" i="1"/>
  <c r="CQ293" i="1"/>
  <c r="CS293" i="1"/>
  <c r="CQ311" i="1"/>
  <c r="CS311" i="1"/>
  <c r="CQ310" i="1"/>
  <c r="CS310" i="1"/>
  <c r="CQ309" i="1"/>
  <c r="CS309" i="1"/>
  <c r="CQ305" i="1"/>
  <c r="CS305" i="1"/>
  <c r="CQ321" i="1"/>
  <c r="CS321" i="1"/>
  <c r="CQ315" i="1"/>
  <c r="CS315" i="1"/>
  <c r="CQ300" i="1"/>
  <c r="CS300" i="1"/>
  <c r="CQ323" i="1"/>
  <c r="CS323" i="1"/>
  <c r="CQ319" i="1"/>
  <c r="CS319" i="1"/>
  <c r="CQ301" i="1"/>
  <c r="CS301" i="1"/>
  <c r="CQ304" i="1"/>
  <c r="CS304" i="1"/>
  <c r="CQ295" i="1"/>
  <c r="CS295" i="1"/>
  <c r="CQ312" i="1"/>
  <c r="CS312" i="1"/>
  <c r="CQ314" i="1"/>
  <c r="CS314" i="1"/>
  <c r="CQ299" i="1"/>
  <c r="CS299" i="1"/>
  <c r="CQ306" i="1"/>
  <c r="CS306" i="1"/>
  <c r="CQ298" i="1"/>
  <c r="CS298" i="1"/>
  <c r="CQ324" i="1"/>
  <c r="CS324" i="1"/>
  <c r="CQ334" i="1"/>
  <c r="CS334" i="1"/>
  <c r="CQ350" i="1"/>
  <c r="CS350" i="1"/>
  <c r="CQ333" i="1"/>
  <c r="CS333" i="1"/>
  <c r="CQ351" i="1"/>
  <c r="CS351" i="1"/>
  <c r="CQ344" i="1"/>
  <c r="CS344" i="1"/>
  <c r="CQ341" i="1"/>
  <c r="CS341" i="1"/>
  <c r="CQ343" i="1"/>
  <c r="CS343" i="1"/>
  <c r="CQ325" i="1"/>
  <c r="CS325" i="1"/>
  <c r="CQ342" i="1"/>
  <c r="CS342" i="1"/>
  <c r="CQ340" i="1"/>
  <c r="CS340" i="1"/>
  <c r="CQ352" i="1"/>
  <c r="CS352" i="1"/>
  <c r="CQ329" i="1"/>
  <c r="CS329" i="1"/>
  <c r="CQ348" i="1"/>
  <c r="CS348" i="1"/>
  <c r="CQ326" i="1"/>
  <c r="CS326" i="1"/>
  <c r="CQ346" i="1"/>
  <c r="CS346" i="1"/>
  <c r="CQ335" i="1"/>
  <c r="CS335" i="1"/>
  <c r="CQ327" i="1"/>
  <c r="CS327" i="1"/>
  <c r="CQ332" i="1"/>
  <c r="CS332" i="1"/>
  <c r="CQ331" i="1"/>
  <c r="CS331" i="1"/>
  <c r="CQ330" i="1"/>
  <c r="CS330" i="1"/>
  <c r="CQ337" i="1"/>
  <c r="CS337" i="1"/>
  <c r="CQ336" i="1"/>
  <c r="CS336" i="1"/>
  <c r="CQ328" i="1"/>
  <c r="CS328" i="1"/>
  <c r="CQ345" i="1"/>
  <c r="CS345" i="1"/>
  <c r="CQ349" i="1"/>
  <c r="CS349" i="1"/>
  <c r="Z404" i="1"/>
  <c r="CQ353" i="1"/>
  <c r="CS353" i="1"/>
  <c r="CQ338" i="1"/>
  <c r="CS338" i="1"/>
  <c r="CQ347" i="1"/>
  <c r="CS347" i="1"/>
  <c r="CQ339" i="1"/>
  <c r="CS339" i="1"/>
  <c r="CQ122" i="1"/>
  <c r="CS122" i="1"/>
  <c r="CQ138" i="1"/>
  <c r="CS138" i="1"/>
  <c r="CQ125" i="1"/>
  <c r="CS125" i="1"/>
  <c r="CQ139" i="1"/>
  <c r="CS139" i="1"/>
  <c r="CQ116" i="1"/>
  <c r="CS116" i="1"/>
  <c r="CQ132" i="1"/>
  <c r="CS132" i="1"/>
  <c r="CQ112" i="1"/>
  <c r="CS112" i="1"/>
  <c r="CQ127" i="1"/>
  <c r="CS127" i="1"/>
  <c r="CQ118" i="1"/>
  <c r="CS118" i="1"/>
  <c r="CQ113" i="1"/>
  <c r="CS113" i="1"/>
  <c r="CQ133" i="1"/>
  <c r="CS133" i="1"/>
  <c r="CQ115" i="1"/>
  <c r="CS115" i="1"/>
  <c r="CQ111" i="1"/>
  <c r="CS111" i="1"/>
  <c r="CQ136" i="1"/>
  <c r="CS136" i="1"/>
  <c r="CQ126" i="1"/>
  <c r="CS126" i="1"/>
  <c r="CQ117" i="1"/>
  <c r="CS117" i="1"/>
  <c r="CQ137" i="1"/>
  <c r="CS137" i="1"/>
  <c r="CQ123" i="1"/>
  <c r="CS123" i="1"/>
  <c r="CQ119" i="1"/>
  <c r="CS119" i="1"/>
  <c r="CQ120" i="1"/>
  <c r="CS120" i="1"/>
  <c r="CQ121" i="1"/>
  <c r="CS121" i="1"/>
  <c r="CQ124" i="1"/>
  <c r="CS124" i="1"/>
  <c r="CQ114" i="1"/>
  <c r="CS114" i="1"/>
  <c r="CQ129" i="1"/>
  <c r="CS129" i="1"/>
  <c r="CQ131" i="1"/>
  <c r="CS131" i="1"/>
  <c r="CQ130" i="1"/>
  <c r="CS130" i="1"/>
  <c r="Z397" i="1"/>
  <c r="CQ135" i="1"/>
  <c r="CS135" i="1"/>
  <c r="CQ134" i="1"/>
  <c r="CS134" i="1"/>
  <c r="CQ110" i="1"/>
  <c r="CS110" i="1"/>
  <c r="CQ128" i="1"/>
  <c r="CS128" i="1"/>
  <c r="CQ59" i="1"/>
  <c r="CS59" i="1"/>
  <c r="CQ63" i="1"/>
  <c r="CS63" i="1"/>
  <c r="CQ64" i="1"/>
  <c r="CS64" i="1"/>
  <c r="CQ78" i="1"/>
  <c r="CS78" i="1"/>
  <c r="CQ62" i="1"/>
  <c r="CS62" i="1"/>
  <c r="CQ51" i="1"/>
  <c r="CS51" i="1"/>
  <c r="CQ70" i="1"/>
  <c r="CS70" i="1"/>
  <c r="CQ66" i="1"/>
  <c r="CS66" i="1"/>
  <c r="CQ58" i="1"/>
  <c r="CS58" i="1"/>
  <c r="CQ68" i="1"/>
  <c r="CS68" i="1"/>
  <c r="Z395" i="1"/>
  <c r="CQ71" i="1"/>
  <c r="CS71" i="1"/>
  <c r="CQ52" i="1"/>
  <c r="CS52" i="1"/>
  <c r="CQ56" i="1"/>
  <c r="CS56" i="1"/>
  <c r="CQ75" i="1"/>
  <c r="CS75" i="1"/>
  <c r="CQ60" i="1"/>
  <c r="CS60" i="1"/>
  <c r="CQ53" i="1"/>
  <c r="CS53" i="1"/>
  <c r="CQ67" i="1"/>
  <c r="CS67" i="1"/>
  <c r="CQ65" i="1"/>
  <c r="CS65" i="1"/>
  <c r="CQ61" i="1"/>
  <c r="CS61" i="1"/>
  <c r="CQ54" i="1"/>
  <c r="CS54" i="1"/>
  <c r="CQ69" i="1"/>
  <c r="CS69" i="1"/>
  <c r="CQ72" i="1"/>
  <c r="CS72" i="1"/>
  <c r="CQ73" i="1"/>
  <c r="CS73" i="1"/>
  <c r="CQ57" i="1"/>
  <c r="CS57" i="1"/>
  <c r="CQ55" i="1"/>
  <c r="CS55" i="1"/>
  <c r="CQ76" i="1"/>
  <c r="CS76" i="1"/>
  <c r="CQ74" i="1"/>
  <c r="CS74" i="1"/>
  <c r="CQ77" i="1"/>
  <c r="CS77" i="1"/>
  <c r="CQ272" i="1"/>
  <c r="CS272" i="1"/>
  <c r="CQ288" i="1"/>
  <c r="CS288" i="1"/>
  <c r="CQ270" i="1"/>
  <c r="CS270" i="1"/>
  <c r="CQ292" i="1"/>
  <c r="CS292" i="1"/>
  <c r="CQ279" i="1"/>
  <c r="CS279" i="1"/>
  <c r="CQ277" i="1"/>
  <c r="CS277" i="1"/>
  <c r="CQ273" i="1"/>
  <c r="CS273" i="1"/>
  <c r="CQ290" i="1"/>
  <c r="CS290" i="1"/>
  <c r="Z402" i="1"/>
  <c r="CQ284" i="1"/>
  <c r="CS284" i="1"/>
  <c r="CQ283" i="1"/>
  <c r="CS283" i="1"/>
  <c r="CQ265" i="1"/>
  <c r="CS265" i="1"/>
  <c r="CQ275" i="1"/>
  <c r="CS275" i="1"/>
  <c r="CQ274" i="1"/>
  <c r="CS274" i="1"/>
  <c r="CQ268" i="1"/>
  <c r="CS268" i="1"/>
  <c r="CQ263" i="1"/>
  <c r="CS263" i="1"/>
  <c r="CQ285" i="1"/>
  <c r="CS285" i="1"/>
  <c r="CQ266" i="1"/>
  <c r="CS266" i="1"/>
  <c r="CQ278" i="1"/>
  <c r="CS278" i="1"/>
  <c r="CQ271" i="1"/>
  <c r="CS271" i="1"/>
  <c r="CQ267" i="1"/>
  <c r="CS267" i="1"/>
  <c r="CQ281" i="1"/>
  <c r="CS281" i="1"/>
  <c r="CQ291" i="1"/>
  <c r="CS291" i="1"/>
  <c r="CQ269" i="1"/>
  <c r="CS269" i="1"/>
  <c r="CQ282" i="1"/>
  <c r="CS282" i="1"/>
  <c r="CQ276" i="1"/>
  <c r="CS276" i="1"/>
  <c r="CQ286" i="1"/>
  <c r="CS286" i="1"/>
  <c r="CQ287" i="1"/>
  <c r="CS287" i="1"/>
  <c r="CQ280" i="1"/>
  <c r="CS280" i="1"/>
  <c r="CQ264" i="1"/>
  <c r="CS264" i="1"/>
  <c r="CQ289" i="1"/>
  <c r="CS289" i="1"/>
  <c r="CQ179" i="1"/>
  <c r="CS179" i="1"/>
  <c r="CQ195" i="1"/>
  <c r="CS195" i="1"/>
  <c r="CQ182" i="1"/>
  <c r="CS182" i="1"/>
  <c r="CQ198" i="1"/>
  <c r="CS198" i="1"/>
  <c r="CQ181" i="1"/>
  <c r="CS181" i="1"/>
  <c r="CQ197" i="1"/>
  <c r="CS197" i="1"/>
  <c r="CQ185" i="1"/>
  <c r="CS185" i="1"/>
  <c r="CQ184" i="1"/>
  <c r="CS184" i="1"/>
  <c r="CQ183" i="1"/>
  <c r="CS183" i="1"/>
  <c r="CQ173" i="1"/>
  <c r="CS173" i="1"/>
  <c r="CQ194" i="1"/>
  <c r="CS194" i="1"/>
  <c r="CQ188" i="1"/>
  <c r="CS188" i="1"/>
  <c r="CQ176" i="1"/>
  <c r="CS176" i="1"/>
  <c r="CQ193" i="1"/>
  <c r="CS193" i="1"/>
  <c r="CQ187" i="1"/>
  <c r="CS187" i="1"/>
  <c r="CQ178" i="1"/>
  <c r="CS178" i="1"/>
  <c r="CQ200" i="1"/>
  <c r="CS200" i="1"/>
  <c r="CQ189" i="1"/>
  <c r="CS189" i="1"/>
  <c r="CQ192" i="1"/>
  <c r="CS192" i="1"/>
  <c r="Z399" i="1"/>
  <c r="CQ191" i="1"/>
  <c r="CS191" i="1"/>
  <c r="CQ186" i="1"/>
  <c r="CS186" i="1"/>
  <c r="CQ199" i="1"/>
  <c r="CS199" i="1"/>
  <c r="CQ196" i="1"/>
  <c r="CS196" i="1"/>
  <c r="CQ190" i="1"/>
  <c r="CS190" i="1"/>
  <c r="CQ171" i="1"/>
  <c r="CS171" i="1"/>
  <c r="CQ172" i="1"/>
  <c r="CS172" i="1"/>
  <c r="CQ175" i="1"/>
  <c r="CS175" i="1"/>
  <c r="CQ174" i="1"/>
  <c r="CS174" i="1"/>
  <c r="CQ180" i="1"/>
  <c r="CS180" i="1"/>
  <c r="CQ177" i="1"/>
  <c r="CS177" i="1"/>
  <c r="CQ238" i="1"/>
  <c r="CS238" i="1"/>
  <c r="CQ245" i="1"/>
  <c r="CS245" i="1"/>
  <c r="CQ261" i="1"/>
  <c r="CS261" i="1"/>
  <c r="CQ239" i="1"/>
  <c r="CS239" i="1"/>
  <c r="CQ255" i="1"/>
  <c r="CS255" i="1"/>
  <c r="CQ235" i="1"/>
  <c r="CS235" i="1"/>
  <c r="CQ250" i="1"/>
  <c r="CS250" i="1"/>
  <c r="CQ247" i="1"/>
  <c r="CS247" i="1"/>
  <c r="CQ233" i="1"/>
  <c r="CS233" i="1"/>
  <c r="CQ249" i="1"/>
  <c r="CS249" i="1"/>
  <c r="CQ258" i="1"/>
  <c r="CS258" i="1"/>
  <c r="CQ254" i="1"/>
  <c r="CS254" i="1"/>
  <c r="CQ243" i="1"/>
  <c r="CS243" i="1"/>
  <c r="CQ260" i="1"/>
  <c r="CS260" i="1"/>
  <c r="CQ242" i="1"/>
  <c r="CS242" i="1"/>
  <c r="CQ253" i="1"/>
  <c r="CS253" i="1"/>
  <c r="CQ259" i="1"/>
  <c r="CS259" i="1"/>
  <c r="CQ262" i="1"/>
  <c r="CS262" i="1"/>
  <c r="CQ236" i="1"/>
  <c r="CS236" i="1"/>
  <c r="CQ246" i="1"/>
  <c r="CS246" i="1"/>
  <c r="Z401" i="1"/>
  <c r="CQ257" i="1"/>
  <c r="CS257" i="1"/>
  <c r="CQ234" i="1"/>
  <c r="CS234" i="1"/>
  <c r="CQ232" i="1"/>
  <c r="CS232" i="1"/>
  <c r="CQ256" i="1"/>
  <c r="CS256" i="1"/>
  <c r="CQ244" i="1"/>
  <c r="CS244" i="1"/>
  <c r="CQ237" i="1"/>
  <c r="CS237" i="1"/>
  <c r="CQ240" i="1"/>
  <c r="CS240" i="1"/>
  <c r="CQ248" i="1"/>
  <c r="CS248" i="1"/>
  <c r="CQ241" i="1"/>
  <c r="CS241" i="1"/>
  <c r="CQ252" i="1"/>
  <c r="CS252" i="1"/>
  <c r="CQ251" i="1"/>
  <c r="CS251" i="1"/>
  <c r="CQ21" i="1"/>
  <c r="CS21" i="1"/>
  <c r="CQ37" i="1"/>
  <c r="CS37" i="1"/>
  <c r="CQ30" i="1"/>
  <c r="CS30" i="1"/>
  <c r="CQ44" i="1"/>
  <c r="CS44" i="1"/>
  <c r="CQ23" i="1"/>
  <c r="CS23" i="1"/>
  <c r="CQ47" i="1"/>
  <c r="CS47" i="1"/>
  <c r="CQ26" i="1"/>
  <c r="CS26" i="1"/>
  <c r="CQ46" i="1"/>
  <c r="CS46" i="1"/>
  <c r="CQ25" i="1"/>
  <c r="CS25" i="1"/>
  <c r="CQ41" i="1"/>
  <c r="CS41" i="1"/>
  <c r="CQ32" i="1"/>
  <c r="CS32" i="1"/>
  <c r="CQ48" i="1"/>
  <c r="CS48" i="1"/>
  <c r="CQ34" i="1"/>
  <c r="CS34" i="1"/>
  <c r="CQ49" i="1"/>
  <c r="CS49" i="1"/>
  <c r="CQ27" i="1"/>
  <c r="CS27" i="1"/>
  <c r="CQ24" i="1"/>
  <c r="CS24" i="1"/>
  <c r="CQ20" i="1"/>
  <c r="CS20" i="1"/>
  <c r="CQ50" i="1"/>
  <c r="CS50" i="1"/>
  <c r="CQ43" i="1"/>
  <c r="CS43" i="1"/>
  <c r="CQ31" i="1"/>
  <c r="CS31" i="1"/>
  <c r="Z394" i="1"/>
  <c r="CQ28" i="1"/>
  <c r="CS28" i="1"/>
  <c r="CQ22" i="1"/>
  <c r="CS22" i="1"/>
  <c r="CQ38" i="1"/>
  <c r="CS38" i="1"/>
  <c r="AB346" i="1"/>
  <c r="CQ29" i="1"/>
  <c r="CS29" i="1"/>
  <c r="CQ36" i="1"/>
  <c r="CS36" i="1"/>
  <c r="CQ35" i="1"/>
  <c r="CS35" i="1"/>
  <c r="CQ39" i="1"/>
  <c r="CS39" i="1"/>
  <c r="CQ33" i="1"/>
  <c r="CS33" i="1"/>
  <c r="CQ40" i="1"/>
  <c r="CS40" i="1"/>
  <c r="CQ42" i="1"/>
  <c r="CS42" i="1"/>
  <c r="CQ45" i="1"/>
  <c r="CS45" i="1"/>
  <c r="CQ80" i="1"/>
  <c r="CS80" i="1"/>
  <c r="CQ95" i="1"/>
  <c r="CS95" i="1"/>
  <c r="CQ109" i="1"/>
  <c r="CS109" i="1"/>
  <c r="CQ98" i="1"/>
  <c r="CS98" i="1"/>
  <c r="CQ88" i="1"/>
  <c r="CS88" i="1"/>
  <c r="CQ104" i="1"/>
  <c r="CS104" i="1"/>
  <c r="CQ101" i="1"/>
  <c r="CS101" i="1"/>
  <c r="CQ108" i="1"/>
  <c r="CS108" i="1"/>
  <c r="CQ81" i="1"/>
  <c r="CS81" i="1"/>
  <c r="CQ103" i="1"/>
  <c r="CS103" i="1"/>
  <c r="CQ94" i="1"/>
  <c r="CS94" i="1"/>
  <c r="CQ89" i="1"/>
  <c r="CS89" i="1"/>
  <c r="CQ84" i="1"/>
  <c r="CS84" i="1"/>
  <c r="CQ92" i="1"/>
  <c r="CS92" i="1"/>
  <c r="Z396" i="1"/>
  <c r="CQ87" i="1"/>
  <c r="CS87" i="1"/>
  <c r="CQ107" i="1"/>
  <c r="CS107" i="1"/>
  <c r="CQ102" i="1"/>
  <c r="CS102" i="1"/>
  <c r="CQ96" i="1"/>
  <c r="CS96" i="1"/>
  <c r="CQ85" i="1"/>
  <c r="CS85" i="1"/>
  <c r="CQ83" i="1"/>
  <c r="CS83" i="1"/>
  <c r="CQ86" i="1"/>
  <c r="CS86" i="1"/>
  <c r="CQ97" i="1"/>
  <c r="CS97" i="1"/>
  <c r="CQ79" i="1"/>
  <c r="CS79" i="1"/>
  <c r="CQ90" i="1"/>
  <c r="CS90" i="1"/>
  <c r="CQ105" i="1"/>
  <c r="CS105" i="1"/>
  <c r="CQ91" i="1"/>
  <c r="CS91" i="1"/>
  <c r="CQ106" i="1"/>
  <c r="CS106" i="1"/>
  <c r="CQ100" i="1"/>
  <c r="CS100" i="1"/>
  <c r="CQ99" i="1"/>
  <c r="CS99" i="1"/>
  <c r="CQ82" i="1"/>
  <c r="CS82" i="1"/>
  <c r="CQ93" i="1"/>
  <c r="CS93" i="1"/>
  <c r="CQ354" i="1"/>
  <c r="CS354" i="1"/>
  <c r="CQ364" i="1"/>
  <c r="CS364" i="1"/>
  <c r="CQ362" i="1"/>
  <c r="CS362" i="1"/>
  <c r="Z405" i="1"/>
  <c r="CQ360" i="1"/>
  <c r="CS360" i="1"/>
  <c r="CQ357" i="1"/>
  <c r="CS357" i="1"/>
  <c r="CQ365" i="1"/>
  <c r="CS365" i="1"/>
  <c r="CQ363" i="1"/>
  <c r="CS363" i="1"/>
  <c r="CQ358" i="1"/>
  <c r="CS358" i="1"/>
  <c r="CQ359" i="1"/>
  <c r="CS359" i="1"/>
  <c r="CQ361" i="1"/>
  <c r="CS361" i="1"/>
  <c r="CQ355" i="1"/>
  <c r="CS355" i="1"/>
  <c r="CQ356" i="1"/>
  <c r="CS356" i="1"/>
  <c r="CQ204" i="1"/>
  <c r="CS204" i="1"/>
  <c r="CQ217" i="1"/>
  <c r="CS217" i="1"/>
  <c r="CQ223" i="1"/>
  <c r="CS223" i="1"/>
  <c r="CQ210" i="1"/>
  <c r="CS210" i="1"/>
  <c r="CQ230" i="1"/>
  <c r="CS230" i="1"/>
  <c r="CQ218" i="1"/>
  <c r="CS218" i="1"/>
  <c r="CQ228" i="1"/>
  <c r="CS228" i="1"/>
  <c r="CQ224" i="1"/>
  <c r="CS224" i="1"/>
  <c r="CQ205" i="1"/>
  <c r="CS205" i="1"/>
  <c r="CQ214" i="1"/>
  <c r="CS214" i="1"/>
  <c r="CQ208" i="1"/>
  <c r="CS208" i="1"/>
  <c r="CQ231" i="1"/>
  <c r="CS231" i="1"/>
  <c r="CQ220" i="1"/>
  <c r="CS220" i="1"/>
  <c r="CQ206" i="1"/>
  <c r="CS206" i="1"/>
  <c r="CQ209" i="1"/>
  <c r="CS209" i="1"/>
  <c r="CQ215" i="1"/>
  <c r="CS215" i="1"/>
  <c r="CQ211" i="1"/>
  <c r="CS211" i="1"/>
  <c r="CQ201" i="1"/>
  <c r="CS201" i="1"/>
  <c r="CQ221" i="1"/>
  <c r="CS221" i="1"/>
  <c r="CQ207" i="1"/>
  <c r="CS207" i="1"/>
  <c r="CQ213" i="1"/>
  <c r="CS213" i="1"/>
  <c r="CQ227" i="1"/>
  <c r="CS227" i="1"/>
  <c r="CQ222" i="1"/>
  <c r="CS222" i="1"/>
  <c r="CQ202" i="1"/>
  <c r="CS202" i="1"/>
  <c r="CQ229" i="1"/>
  <c r="CS229" i="1"/>
  <c r="CQ216" i="1"/>
  <c r="CS216" i="1"/>
  <c r="CQ212" i="1"/>
  <c r="CS212" i="1"/>
  <c r="CQ225" i="1"/>
  <c r="CS225" i="1"/>
  <c r="CQ203" i="1"/>
  <c r="CS203" i="1"/>
  <c r="CQ226" i="1"/>
  <c r="CS226" i="1"/>
  <c r="Z400" i="1"/>
  <c r="CQ219" i="1"/>
  <c r="CS219" i="1"/>
  <c r="AD336" i="1"/>
  <c r="AD340" i="1"/>
  <c r="AD335" i="1"/>
  <c r="AD341" i="1"/>
  <c r="AD344" i="1"/>
  <c r="AD342" i="1"/>
  <c r="AD345" i="1"/>
  <c r="AD338" i="1"/>
  <c r="AD334" i="1"/>
  <c r="AD339" i="1"/>
  <c r="AD343" i="1"/>
  <c r="AD337" i="1"/>
  <c r="X398" i="1"/>
  <c r="CK143" i="1"/>
  <c r="CM143" i="1"/>
  <c r="CK140" i="1"/>
  <c r="CM140" i="1"/>
  <c r="CK141" i="1"/>
  <c r="CM141" i="1"/>
  <c r="CK142" i="1"/>
  <c r="CM142" i="1"/>
  <c r="CK146" i="1"/>
  <c r="CM146" i="1"/>
  <c r="CK150" i="1"/>
  <c r="CM150" i="1"/>
  <c r="CK154" i="1"/>
  <c r="CM154" i="1"/>
  <c r="CK155" i="1"/>
  <c r="CM155" i="1"/>
  <c r="CK158" i="1"/>
  <c r="CM158" i="1"/>
  <c r="CK162" i="1"/>
  <c r="CM162" i="1"/>
  <c r="CK166" i="1"/>
  <c r="CM166" i="1"/>
  <c r="CK151" i="1"/>
  <c r="CM151" i="1"/>
  <c r="CK152" i="1"/>
  <c r="CM152" i="1"/>
  <c r="CK153" i="1"/>
  <c r="CM153" i="1"/>
  <c r="CK157" i="1"/>
  <c r="CM157" i="1"/>
  <c r="CK161" i="1"/>
  <c r="CM161" i="1"/>
  <c r="CK165" i="1"/>
  <c r="CM165" i="1"/>
  <c r="CK169" i="1"/>
  <c r="CM169" i="1"/>
  <c r="CK145" i="1"/>
  <c r="CM145" i="1"/>
  <c r="CK148" i="1"/>
  <c r="CM148" i="1"/>
  <c r="CK160" i="1"/>
  <c r="CM160" i="1"/>
  <c r="CK168" i="1"/>
  <c r="CM168" i="1"/>
  <c r="CK147" i="1"/>
  <c r="CM147" i="1"/>
  <c r="CK163" i="1"/>
  <c r="CM163" i="1"/>
  <c r="CK164" i="1"/>
  <c r="CM164" i="1"/>
  <c r="CK149" i="1"/>
  <c r="CM149" i="1"/>
  <c r="CK167" i="1"/>
  <c r="CM167" i="1"/>
  <c r="CK170" i="1"/>
  <c r="CM170" i="1"/>
  <c r="CK144" i="1"/>
  <c r="CM144" i="1"/>
  <c r="CK156" i="1"/>
  <c r="CM156" i="1"/>
  <c r="CK159" i="1"/>
  <c r="CM159" i="1"/>
  <c r="X403" i="1"/>
  <c r="CK297" i="1"/>
  <c r="CM297" i="1"/>
  <c r="CK301" i="1"/>
  <c r="CM301" i="1"/>
  <c r="CK305" i="1"/>
  <c r="CM305" i="1"/>
  <c r="CK309" i="1"/>
  <c r="CM309" i="1"/>
  <c r="CK313" i="1"/>
  <c r="CM313" i="1"/>
  <c r="CK317" i="1"/>
  <c r="CM317" i="1"/>
  <c r="CK321" i="1"/>
  <c r="CM321" i="1"/>
  <c r="CK323" i="1"/>
  <c r="CM323" i="1"/>
  <c r="CK306" i="1"/>
  <c r="CM306" i="1"/>
  <c r="CK307" i="1"/>
  <c r="CM307" i="1"/>
  <c r="CK308" i="1"/>
  <c r="CM308" i="1"/>
  <c r="CK322" i="1"/>
  <c r="CM322" i="1"/>
  <c r="CK293" i="1"/>
  <c r="CM293" i="1"/>
  <c r="CK302" i="1"/>
  <c r="CM302" i="1"/>
  <c r="CK303" i="1"/>
  <c r="CM303" i="1"/>
  <c r="CK304" i="1"/>
  <c r="CM304" i="1"/>
  <c r="CK318" i="1"/>
  <c r="CM318" i="1"/>
  <c r="CK319" i="1"/>
  <c r="CM319" i="1"/>
  <c r="CK320" i="1"/>
  <c r="CM320" i="1"/>
  <c r="CK300" i="1"/>
  <c r="CM300" i="1"/>
  <c r="CK314" i="1"/>
  <c r="CM314" i="1"/>
  <c r="CK298" i="1"/>
  <c r="CM298" i="1"/>
  <c r="CK294" i="1"/>
  <c r="CM294" i="1"/>
  <c r="CK310" i="1"/>
  <c r="CM310" i="1"/>
  <c r="CK312" i="1"/>
  <c r="CM312" i="1"/>
  <c r="CK296" i="1"/>
  <c r="CM296" i="1"/>
  <c r="CK299" i="1"/>
  <c r="CM299" i="1"/>
  <c r="CK311" i="1"/>
  <c r="CM311" i="1"/>
  <c r="CK316" i="1"/>
  <c r="CM316" i="1"/>
  <c r="CK295" i="1"/>
  <c r="CM295" i="1"/>
  <c r="CK315" i="1"/>
  <c r="CM315" i="1"/>
  <c r="X401" i="1"/>
  <c r="CK235" i="1"/>
  <c r="CM235" i="1"/>
  <c r="CK236" i="1"/>
  <c r="CM236" i="1"/>
  <c r="CK240" i="1"/>
  <c r="CM240" i="1"/>
  <c r="CK244" i="1"/>
  <c r="CM244" i="1"/>
  <c r="CK234" i="1"/>
  <c r="CM234" i="1"/>
  <c r="CK239" i="1"/>
  <c r="CM239" i="1"/>
  <c r="CK243" i="1"/>
  <c r="CM243" i="1"/>
  <c r="CK247" i="1"/>
  <c r="CM247" i="1"/>
  <c r="CK251" i="1"/>
  <c r="CM251" i="1"/>
  <c r="CK255" i="1"/>
  <c r="CM255" i="1"/>
  <c r="CK259" i="1"/>
  <c r="CM259" i="1"/>
  <c r="CK238" i="1"/>
  <c r="CM238" i="1"/>
  <c r="CK252" i="1"/>
  <c r="CM252" i="1"/>
  <c r="CK253" i="1"/>
  <c r="CM253" i="1"/>
  <c r="CK254" i="1"/>
  <c r="CM254" i="1"/>
  <c r="CK262" i="1"/>
  <c r="CM262" i="1"/>
  <c r="CK233" i="1"/>
  <c r="CM233" i="1"/>
  <c r="CK241" i="1"/>
  <c r="CM241" i="1"/>
  <c r="CK248" i="1"/>
  <c r="CM248" i="1"/>
  <c r="CK249" i="1"/>
  <c r="CM249" i="1"/>
  <c r="CK250" i="1"/>
  <c r="CM250" i="1"/>
  <c r="CK237" i="1"/>
  <c r="CM237" i="1"/>
  <c r="CK245" i="1"/>
  <c r="CM245" i="1"/>
  <c r="CK257" i="1"/>
  <c r="CM257" i="1"/>
  <c r="CK246" i="1"/>
  <c r="CM246" i="1"/>
  <c r="CK260" i="1"/>
  <c r="CM260" i="1"/>
  <c r="CK232" i="1"/>
  <c r="CM232" i="1"/>
  <c r="CK242" i="1"/>
  <c r="CM242" i="1"/>
  <c r="CK256" i="1"/>
  <c r="CM256" i="1"/>
  <c r="CK258" i="1"/>
  <c r="CM258" i="1"/>
  <c r="CK261" i="1"/>
  <c r="CM261" i="1"/>
  <c r="X399" i="1"/>
  <c r="CK171" i="1"/>
  <c r="CM171" i="1"/>
  <c r="CK172" i="1"/>
  <c r="CM172" i="1"/>
  <c r="CK177" i="1"/>
  <c r="CM177" i="1"/>
  <c r="CK181" i="1"/>
  <c r="CM181" i="1"/>
  <c r="CK185" i="1"/>
  <c r="CM185" i="1"/>
  <c r="CK189" i="1"/>
  <c r="CM189" i="1"/>
  <c r="CK193" i="1"/>
  <c r="CM193" i="1"/>
  <c r="CK197" i="1"/>
  <c r="CM197" i="1"/>
  <c r="CK175" i="1"/>
  <c r="CM175" i="1"/>
  <c r="CK176" i="1"/>
  <c r="CM176" i="1"/>
  <c r="CK180" i="1"/>
  <c r="CM180" i="1"/>
  <c r="CK184" i="1"/>
  <c r="CM184" i="1"/>
  <c r="CK188" i="1"/>
  <c r="CM188" i="1"/>
  <c r="CK192" i="1"/>
  <c r="CM192" i="1"/>
  <c r="CK196" i="1"/>
  <c r="CM196" i="1"/>
  <c r="CK173" i="1"/>
  <c r="CM173" i="1"/>
  <c r="CK179" i="1"/>
  <c r="CM179" i="1"/>
  <c r="CK187" i="1"/>
  <c r="CM187" i="1"/>
  <c r="CK195" i="1"/>
  <c r="CM195" i="1"/>
  <c r="CK174" i="1"/>
  <c r="CM174" i="1"/>
  <c r="CK182" i="1"/>
  <c r="CM182" i="1"/>
  <c r="CK190" i="1"/>
  <c r="CM190" i="1"/>
  <c r="CK198" i="1"/>
  <c r="CM198" i="1"/>
  <c r="CK200" i="1"/>
  <c r="CM200" i="1"/>
  <c r="CK191" i="1"/>
  <c r="CM191" i="1"/>
  <c r="CK178" i="1"/>
  <c r="CM178" i="1"/>
  <c r="CK194" i="1"/>
  <c r="CM194" i="1"/>
  <c r="CK183" i="1"/>
  <c r="CM183" i="1"/>
  <c r="CK186" i="1"/>
  <c r="CM186" i="1"/>
  <c r="CK199" i="1"/>
  <c r="CM199" i="1"/>
  <c r="X400" i="1"/>
  <c r="CK201" i="1"/>
  <c r="CM201" i="1"/>
  <c r="CK202" i="1"/>
  <c r="CM202" i="1"/>
  <c r="CK207" i="1"/>
  <c r="CM207" i="1"/>
  <c r="CK211" i="1"/>
  <c r="CM211" i="1"/>
  <c r="CK215" i="1"/>
  <c r="CM215" i="1"/>
  <c r="CK219" i="1"/>
  <c r="CM219" i="1"/>
  <c r="CK203" i="1"/>
  <c r="CM203" i="1"/>
  <c r="CK204" i="1"/>
  <c r="CM204" i="1"/>
  <c r="CK208" i="1"/>
  <c r="CM208" i="1"/>
  <c r="CK209" i="1"/>
  <c r="CM209" i="1"/>
  <c r="CK210" i="1"/>
  <c r="CM210" i="1"/>
  <c r="CK221" i="1"/>
  <c r="CM221" i="1"/>
  <c r="CK225" i="1"/>
  <c r="CM225" i="1"/>
  <c r="CK229" i="1"/>
  <c r="CM229" i="1"/>
  <c r="CK231" i="1"/>
  <c r="CM231" i="1"/>
  <c r="CK205" i="1"/>
  <c r="CM205" i="1"/>
  <c r="CK206" i="1"/>
  <c r="CM206" i="1"/>
  <c r="CK220" i="1"/>
  <c r="CM220" i="1"/>
  <c r="CK224" i="1"/>
  <c r="CM224" i="1"/>
  <c r="CK228" i="1"/>
  <c r="CM228" i="1"/>
  <c r="CK213" i="1"/>
  <c r="CM213" i="1"/>
  <c r="CK227" i="1"/>
  <c r="CM227" i="1"/>
  <c r="CK218" i="1"/>
  <c r="CM218" i="1"/>
  <c r="CK222" i="1"/>
  <c r="CM222" i="1"/>
  <c r="CK230" i="1"/>
  <c r="CM230" i="1"/>
  <c r="CK212" i="1"/>
  <c r="CM212" i="1"/>
  <c r="CK214" i="1"/>
  <c r="CM214" i="1"/>
  <c r="CK216" i="1"/>
  <c r="CM216" i="1"/>
  <c r="CK217" i="1"/>
  <c r="CM217" i="1"/>
  <c r="CK223" i="1"/>
  <c r="CM223" i="1"/>
  <c r="CK226" i="1"/>
  <c r="CM226" i="1"/>
  <c r="X402" i="1"/>
  <c r="CK265" i="1"/>
  <c r="CM265" i="1"/>
  <c r="CK266" i="1"/>
  <c r="CM266" i="1"/>
  <c r="CK270" i="1"/>
  <c r="CM270" i="1"/>
  <c r="CK274" i="1"/>
  <c r="CM274" i="1"/>
  <c r="CK278" i="1"/>
  <c r="CM278" i="1"/>
  <c r="CK282" i="1"/>
  <c r="CM282" i="1"/>
  <c r="CK286" i="1"/>
  <c r="CM286" i="1"/>
  <c r="CK290" i="1"/>
  <c r="CM290" i="1"/>
  <c r="CK292" i="1"/>
  <c r="CM292" i="1"/>
  <c r="CK264" i="1"/>
  <c r="CM264" i="1"/>
  <c r="CK279" i="1"/>
  <c r="CM279" i="1"/>
  <c r="CK280" i="1"/>
  <c r="CM280" i="1"/>
  <c r="CK281" i="1"/>
  <c r="CM281" i="1"/>
  <c r="CK275" i="1"/>
  <c r="CM275" i="1"/>
  <c r="CK276" i="1"/>
  <c r="CM276" i="1"/>
  <c r="CK277" i="1"/>
  <c r="CM277" i="1"/>
  <c r="CK291" i="1"/>
  <c r="CM291" i="1"/>
  <c r="CK268" i="1"/>
  <c r="CM268" i="1"/>
  <c r="CK283" i="1"/>
  <c r="CM283" i="1"/>
  <c r="CK285" i="1"/>
  <c r="CM285" i="1"/>
  <c r="CK288" i="1"/>
  <c r="CM288" i="1"/>
  <c r="CK271" i="1"/>
  <c r="CM271" i="1"/>
  <c r="CK263" i="1"/>
  <c r="CM263" i="1"/>
  <c r="CK273" i="1"/>
  <c r="CM273" i="1"/>
  <c r="CK287" i="1"/>
  <c r="CM287" i="1"/>
  <c r="CK267" i="1"/>
  <c r="CM267" i="1"/>
  <c r="CK269" i="1"/>
  <c r="CM269" i="1"/>
  <c r="CK272" i="1"/>
  <c r="CM272" i="1"/>
  <c r="CK284" i="1"/>
  <c r="CM284" i="1"/>
  <c r="CK289" i="1"/>
  <c r="CM289" i="1"/>
  <c r="X394" i="1"/>
  <c r="CK23" i="1"/>
  <c r="CM23" i="1"/>
  <c r="CK27" i="1"/>
  <c r="CM27" i="1"/>
  <c r="CK20" i="1"/>
  <c r="CM20" i="1"/>
  <c r="CK28" i="1"/>
  <c r="CM28" i="1"/>
  <c r="CK29" i="1"/>
  <c r="CM29" i="1"/>
  <c r="CK30" i="1"/>
  <c r="CM30" i="1"/>
  <c r="CK31" i="1"/>
  <c r="CM31" i="1"/>
  <c r="CK35" i="1"/>
  <c r="CM35" i="1"/>
  <c r="CK39" i="1"/>
  <c r="CM39" i="1"/>
  <c r="CK24" i="1"/>
  <c r="CM24" i="1"/>
  <c r="CK25" i="1"/>
  <c r="CM25" i="1"/>
  <c r="CK26" i="1"/>
  <c r="CM26" i="1"/>
  <c r="CK34" i="1"/>
  <c r="CM34" i="1"/>
  <c r="CK38" i="1"/>
  <c r="CM38" i="1"/>
  <c r="CK42" i="1"/>
  <c r="CM42" i="1"/>
  <c r="CK46" i="1"/>
  <c r="CM46" i="1"/>
  <c r="CK22" i="1"/>
  <c r="CM22" i="1"/>
  <c r="CK36" i="1"/>
  <c r="CM36" i="1"/>
  <c r="CK43" i="1"/>
  <c r="CM43" i="1"/>
  <c r="CK44" i="1"/>
  <c r="CM44" i="1"/>
  <c r="CK45" i="1"/>
  <c r="CM45" i="1"/>
  <c r="CK21" i="1"/>
  <c r="CM21" i="1"/>
  <c r="CK37" i="1"/>
  <c r="CM37" i="1"/>
  <c r="CK41" i="1"/>
  <c r="CM41" i="1"/>
  <c r="CK47" i="1"/>
  <c r="CM47" i="1"/>
  <c r="CK32" i="1"/>
  <c r="CM32" i="1"/>
  <c r="CK48" i="1"/>
  <c r="CM48" i="1"/>
  <c r="CK50" i="1"/>
  <c r="CM50" i="1"/>
  <c r="CK40" i="1"/>
  <c r="CM40" i="1"/>
  <c r="CK49" i="1"/>
  <c r="CM49" i="1"/>
  <c r="CK33" i="1"/>
  <c r="CM33" i="1"/>
  <c r="Z346" i="1"/>
  <c r="X405" i="1"/>
  <c r="CK358" i="1"/>
  <c r="CM358" i="1"/>
  <c r="CK362" i="1"/>
  <c r="CM362" i="1"/>
  <c r="CK355" i="1"/>
  <c r="CM355" i="1"/>
  <c r="CK359" i="1"/>
  <c r="CM359" i="1"/>
  <c r="CK360" i="1"/>
  <c r="CM360" i="1"/>
  <c r="CK361" i="1"/>
  <c r="CM361" i="1"/>
  <c r="CK356" i="1"/>
  <c r="CM356" i="1"/>
  <c r="CK357" i="1"/>
  <c r="CM357" i="1"/>
  <c r="CK354" i="1"/>
  <c r="CM354" i="1"/>
  <c r="CK364" i="1"/>
  <c r="CM364" i="1"/>
  <c r="CK363" i="1"/>
  <c r="CM363" i="1"/>
  <c r="CK365" i="1"/>
  <c r="CM365" i="1"/>
  <c r="X395" i="1"/>
  <c r="CK51" i="1"/>
  <c r="CM51" i="1"/>
  <c r="CK53" i="1"/>
  <c r="CM53" i="1"/>
  <c r="CK57" i="1"/>
  <c r="CM57" i="1"/>
  <c r="CK61" i="1"/>
  <c r="CM61" i="1"/>
  <c r="CK54" i="1"/>
  <c r="CM54" i="1"/>
  <c r="CK55" i="1"/>
  <c r="CM55" i="1"/>
  <c r="CK56" i="1"/>
  <c r="CM56" i="1"/>
  <c r="CK66" i="1"/>
  <c r="CM66" i="1"/>
  <c r="CK70" i="1"/>
  <c r="CM70" i="1"/>
  <c r="CK74" i="1"/>
  <c r="CM74" i="1"/>
  <c r="CK52" i="1"/>
  <c r="CM52" i="1"/>
  <c r="CK58" i="1"/>
  <c r="CM58" i="1"/>
  <c r="CK62" i="1"/>
  <c r="CM62" i="1"/>
  <c r="CK67" i="1"/>
  <c r="CM67" i="1"/>
  <c r="CK68" i="1"/>
  <c r="CM68" i="1"/>
  <c r="CK69" i="1"/>
  <c r="CM69" i="1"/>
  <c r="CK78" i="1"/>
  <c r="CM78" i="1"/>
  <c r="CK59" i="1"/>
  <c r="CM59" i="1"/>
  <c r="CK63" i="1"/>
  <c r="CM63" i="1"/>
  <c r="CK64" i="1"/>
  <c r="CM64" i="1"/>
  <c r="CK65" i="1"/>
  <c r="CM65" i="1"/>
  <c r="CK60" i="1"/>
  <c r="CM60" i="1"/>
  <c r="CK72" i="1"/>
  <c r="CM72" i="1"/>
  <c r="CK77" i="1"/>
  <c r="CM77" i="1"/>
  <c r="CK76" i="1"/>
  <c r="CM76" i="1"/>
  <c r="CK71" i="1"/>
  <c r="CM71" i="1"/>
  <c r="CK75" i="1"/>
  <c r="CM75" i="1"/>
  <c r="CK73" i="1"/>
  <c r="CM73" i="1"/>
  <c r="X404" i="1"/>
  <c r="CK328" i="1"/>
  <c r="CM328" i="1"/>
  <c r="CK332" i="1"/>
  <c r="CM332" i="1"/>
  <c r="CK336" i="1"/>
  <c r="CM336" i="1"/>
  <c r="CK340" i="1"/>
  <c r="CM340" i="1"/>
  <c r="CK344" i="1"/>
  <c r="CM344" i="1"/>
  <c r="CK348" i="1"/>
  <c r="CM348" i="1"/>
  <c r="CK352" i="1"/>
  <c r="CM352" i="1"/>
  <c r="CK324" i="1"/>
  <c r="CM324" i="1"/>
  <c r="CK333" i="1"/>
  <c r="CM333" i="1"/>
  <c r="CK334" i="1"/>
  <c r="CM334" i="1"/>
  <c r="CK335" i="1"/>
  <c r="CM335" i="1"/>
  <c r="CK349" i="1"/>
  <c r="CM349" i="1"/>
  <c r="CK350" i="1"/>
  <c r="CM350" i="1"/>
  <c r="CK351" i="1"/>
  <c r="CM351" i="1"/>
  <c r="CK325" i="1"/>
  <c r="CM325" i="1"/>
  <c r="CK329" i="1"/>
  <c r="CM329" i="1"/>
  <c r="CK330" i="1"/>
  <c r="CM330" i="1"/>
  <c r="CK331" i="1"/>
  <c r="CM331" i="1"/>
  <c r="CK345" i="1"/>
  <c r="CM345" i="1"/>
  <c r="CK346" i="1"/>
  <c r="CM346" i="1"/>
  <c r="CK347" i="1"/>
  <c r="CM347" i="1"/>
  <c r="CK353" i="1"/>
  <c r="CM353" i="1"/>
  <c r="CK327" i="1"/>
  <c r="CM327" i="1"/>
  <c r="CK341" i="1"/>
  <c r="CM341" i="1"/>
  <c r="CK343" i="1"/>
  <c r="CM343" i="1"/>
  <c r="CK337" i="1"/>
  <c r="CM337" i="1"/>
  <c r="CK326" i="1"/>
  <c r="CM326" i="1"/>
  <c r="CK338" i="1"/>
  <c r="CM338" i="1"/>
  <c r="CK339" i="1"/>
  <c r="CM339" i="1"/>
  <c r="CK342" i="1"/>
  <c r="CM342" i="1"/>
  <c r="X397" i="1"/>
  <c r="CK110" i="1"/>
  <c r="CM110" i="1"/>
  <c r="CK111" i="1"/>
  <c r="CM111" i="1"/>
  <c r="CK112" i="1"/>
  <c r="CM112" i="1"/>
  <c r="CK116" i="1"/>
  <c r="CM116" i="1"/>
  <c r="CK120" i="1"/>
  <c r="CM120" i="1"/>
  <c r="CK124" i="1"/>
  <c r="CM124" i="1"/>
  <c r="CK128" i="1"/>
  <c r="CM128" i="1"/>
  <c r="CK132" i="1"/>
  <c r="CM132" i="1"/>
  <c r="CK136" i="1"/>
  <c r="CM136" i="1"/>
  <c r="CK115" i="1"/>
  <c r="CM115" i="1"/>
  <c r="CK119" i="1"/>
  <c r="CM119" i="1"/>
  <c r="CK123" i="1"/>
  <c r="CM123" i="1"/>
  <c r="CK127" i="1"/>
  <c r="CM127" i="1"/>
  <c r="CK131" i="1"/>
  <c r="CM131" i="1"/>
  <c r="CK135" i="1"/>
  <c r="CM135" i="1"/>
  <c r="CK114" i="1"/>
  <c r="CM114" i="1"/>
  <c r="CK122" i="1"/>
  <c r="CM122" i="1"/>
  <c r="CK130" i="1"/>
  <c r="CM130" i="1"/>
  <c r="CK138" i="1"/>
  <c r="CM138" i="1"/>
  <c r="CK117" i="1"/>
  <c r="CM117" i="1"/>
  <c r="CK125" i="1"/>
  <c r="CM125" i="1"/>
  <c r="CK133" i="1"/>
  <c r="CM133" i="1"/>
  <c r="CK118" i="1"/>
  <c r="CM118" i="1"/>
  <c r="CK134" i="1"/>
  <c r="CM134" i="1"/>
  <c r="CK121" i="1"/>
  <c r="CM121" i="1"/>
  <c r="CK137" i="1"/>
  <c r="CM137" i="1"/>
  <c r="CK126" i="1"/>
  <c r="CM126" i="1"/>
  <c r="CK129" i="1"/>
  <c r="CM129" i="1"/>
  <c r="CK139" i="1"/>
  <c r="CM139" i="1"/>
  <c r="CK113" i="1"/>
  <c r="CM113" i="1"/>
  <c r="X396" i="1"/>
  <c r="CK79" i="1"/>
  <c r="CM79" i="1"/>
  <c r="CK80" i="1"/>
  <c r="CM80" i="1"/>
  <c r="CK81" i="1"/>
  <c r="CM81" i="1"/>
  <c r="CK85" i="1"/>
  <c r="CM85" i="1"/>
  <c r="CK89" i="1"/>
  <c r="CM89" i="1"/>
  <c r="CK93" i="1"/>
  <c r="CM93" i="1"/>
  <c r="CK97" i="1"/>
  <c r="CM97" i="1"/>
  <c r="CK101" i="1"/>
  <c r="CM101" i="1"/>
  <c r="CK105" i="1"/>
  <c r="CM105" i="1"/>
  <c r="CK88" i="1"/>
  <c r="CM88" i="1"/>
  <c r="CK92" i="1"/>
  <c r="CM92" i="1"/>
  <c r="CK96" i="1"/>
  <c r="CM96" i="1"/>
  <c r="CK100" i="1"/>
  <c r="CM100" i="1"/>
  <c r="CK104" i="1"/>
  <c r="CM104" i="1"/>
  <c r="CK108" i="1"/>
  <c r="CM108" i="1"/>
  <c r="CK83" i="1"/>
  <c r="CM83" i="1"/>
  <c r="CK87" i="1"/>
  <c r="CM87" i="1"/>
  <c r="CK95" i="1"/>
  <c r="CM95" i="1"/>
  <c r="CK103" i="1"/>
  <c r="CM103" i="1"/>
  <c r="CK82" i="1"/>
  <c r="CM82" i="1"/>
  <c r="CK90" i="1"/>
  <c r="CM90" i="1"/>
  <c r="CK98" i="1"/>
  <c r="CM98" i="1"/>
  <c r="CK106" i="1"/>
  <c r="CM106" i="1"/>
  <c r="CK109" i="1"/>
  <c r="CM109" i="1"/>
  <c r="CK84" i="1"/>
  <c r="CM84" i="1"/>
  <c r="CK94" i="1"/>
  <c r="CM94" i="1"/>
  <c r="CK99" i="1"/>
  <c r="CM99" i="1"/>
  <c r="CK86" i="1"/>
  <c r="CM86" i="1"/>
  <c r="CK107" i="1"/>
  <c r="CM107" i="1"/>
  <c r="CK91" i="1"/>
  <c r="CM91" i="1"/>
  <c r="CK102" i="1"/>
  <c r="CM102" i="1"/>
  <c r="BO85" i="1"/>
  <c r="CZ85" i="1"/>
  <c r="BN87" i="1"/>
  <c r="BO270" i="1"/>
  <c r="CZ270" i="1"/>
  <c r="BO28" i="1"/>
  <c r="CZ28" i="1"/>
  <c r="BO120" i="1"/>
  <c r="CZ120" i="1"/>
  <c r="BO305" i="1"/>
  <c r="CZ305" i="1"/>
  <c r="BO207" i="1"/>
  <c r="CZ207" i="1"/>
  <c r="BN31" i="1"/>
  <c r="BM31" i="1"/>
  <c r="BM244" i="1"/>
  <c r="BN244" i="1"/>
  <c r="BM30" i="1"/>
  <c r="BN30" i="1"/>
  <c r="BL245" i="1"/>
  <c r="BN209" i="1"/>
  <c r="BL210" i="1"/>
  <c r="BL211" i="1"/>
  <c r="BM209" i="1"/>
  <c r="BM271" i="1"/>
  <c r="BN271" i="1"/>
  <c r="BN88" i="1"/>
  <c r="BM88" i="1"/>
  <c r="BL89" i="1"/>
  <c r="BO208" i="1"/>
  <c r="CZ208" i="1"/>
  <c r="BL32" i="1"/>
  <c r="BO241" i="1"/>
  <c r="CZ241" i="1"/>
  <c r="BO242" i="1"/>
  <c r="CZ242" i="1"/>
  <c r="BO87" i="1"/>
  <c r="CZ87" i="1"/>
  <c r="BO29" i="1"/>
  <c r="CZ29" i="1"/>
  <c r="BO243" i="1"/>
  <c r="CZ243" i="1"/>
  <c r="BL272" i="1"/>
  <c r="BO334" i="1"/>
  <c r="CZ334" i="1"/>
  <c r="BM335" i="1"/>
  <c r="BN335" i="1"/>
  <c r="BL336" i="1"/>
  <c r="BM306" i="1"/>
  <c r="BN306" i="1"/>
  <c r="BL307" i="1"/>
  <c r="BO150" i="1"/>
  <c r="CZ150" i="1"/>
  <c r="BO180" i="1"/>
  <c r="CZ180" i="1"/>
  <c r="BO59" i="1"/>
  <c r="CZ59" i="1"/>
  <c r="BN121" i="1"/>
  <c r="BM121" i="1"/>
  <c r="BL122" i="1"/>
  <c r="BN181" i="1"/>
  <c r="BM181" i="1"/>
  <c r="BL182" i="1"/>
  <c r="BM151" i="1"/>
  <c r="BN151" i="1"/>
  <c r="BL152" i="1"/>
  <c r="BM60" i="1"/>
  <c r="BN60" i="1"/>
  <c r="BL61" i="1"/>
  <c r="CT143" i="1"/>
  <c r="CV143" i="1"/>
  <c r="CT154" i="1"/>
  <c r="CV154" i="1"/>
  <c r="CT167" i="1"/>
  <c r="CV167" i="1"/>
  <c r="CT153" i="1"/>
  <c r="CV153" i="1"/>
  <c r="CT156" i="1"/>
  <c r="CV156" i="1"/>
  <c r="CT157" i="1"/>
  <c r="CV157" i="1"/>
  <c r="CT142" i="1"/>
  <c r="CV142" i="1"/>
  <c r="CT168" i="1"/>
  <c r="CV168" i="1"/>
  <c r="CT147" i="1"/>
  <c r="CV147" i="1"/>
  <c r="CT155" i="1"/>
  <c r="CV155" i="1"/>
  <c r="CT140" i="1"/>
  <c r="CV140" i="1"/>
  <c r="CT158" i="1"/>
  <c r="CV158" i="1"/>
  <c r="CT164" i="1"/>
  <c r="CV164" i="1"/>
  <c r="CT165" i="1"/>
  <c r="CV165" i="1"/>
  <c r="CT160" i="1"/>
  <c r="CV160" i="1"/>
  <c r="CT146" i="1"/>
  <c r="CV146" i="1"/>
  <c r="CT151" i="1"/>
  <c r="CV151" i="1"/>
  <c r="CT159" i="1"/>
  <c r="CV159" i="1"/>
  <c r="CT148" i="1"/>
  <c r="CV148" i="1"/>
  <c r="CT162" i="1"/>
  <c r="CV162" i="1"/>
  <c r="CT141" i="1"/>
  <c r="CV141" i="1"/>
  <c r="CT170" i="1"/>
  <c r="CV170" i="1"/>
  <c r="CT169" i="1"/>
  <c r="CV169" i="1"/>
  <c r="CT161" i="1"/>
  <c r="CV161" i="1"/>
  <c r="AA398" i="1"/>
  <c r="CT150" i="1"/>
  <c r="CV150" i="1"/>
  <c r="CT144" i="1"/>
  <c r="CV144" i="1"/>
  <c r="CT166" i="1"/>
  <c r="CV166" i="1"/>
  <c r="CT163" i="1"/>
  <c r="CV163" i="1"/>
  <c r="CT149" i="1"/>
  <c r="CV149" i="1"/>
  <c r="CT145" i="1"/>
  <c r="CV145" i="1"/>
  <c r="CT152" i="1"/>
  <c r="CV152" i="1"/>
  <c r="AB403" i="1"/>
  <c r="CW309" i="1"/>
  <c r="CY309" i="1"/>
  <c r="CW323" i="1"/>
  <c r="CY323" i="1"/>
  <c r="CW300" i="1"/>
  <c r="CY300" i="1"/>
  <c r="CW295" i="1"/>
  <c r="CY295" i="1"/>
  <c r="CW297" i="1"/>
  <c r="CY297" i="1"/>
  <c r="CW313" i="1"/>
  <c r="CY313" i="1"/>
  <c r="CW294" i="1"/>
  <c r="CY294" i="1"/>
  <c r="CW314" i="1"/>
  <c r="CY314" i="1"/>
  <c r="CW296" i="1"/>
  <c r="CY296" i="1"/>
  <c r="CW307" i="1"/>
  <c r="CY307" i="1"/>
  <c r="CW303" i="1"/>
  <c r="CY303" i="1"/>
  <c r="CW319" i="1"/>
  <c r="CY319" i="1"/>
  <c r="CW301" i="1"/>
  <c r="CY301" i="1"/>
  <c r="CW317" i="1"/>
  <c r="CY317" i="1"/>
  <c r="CW298" i="1"/>
  <c r="CY298" i="1"/>
  <c r="CW315" i="1"/>
  <c r="CY315" i="1"/>
  <c r="CW310" i="1"/>
  <c r="CY310" i="1"/>
  <c r="CW320" i="1"/>
  <c r="CY320" i="1"/>
  <c r="CW293" i="1"/>
  <c r="CY293" i="1"/>
  <c r="CW304" i="1"/>
  <c r="CY304" i="1"/>
  <c r="CW316" i="1"/>
  <c r="CY316" i="1"/>
  <c r="CW302" i="1"/>
  <c r="CY302" i="1"/>
  <c r="CW306" i="1"/>
  <c r="CY306" i="1"/>
  <c r="CW311" i="1"/>
  <c r="CY311" i="1"/>
  <c r="CW318" i="1"/>
  <c r="CY318" i="1"/>
  <c r="CW305" i="1"/>
  <c r="CY305" i="1"/>
  <c r="CW312" i="1"/>
  <c r="CY312" i="1"/>
  <c r="CW322" i="1"/>
  <c r="CY322" i="1"/>
  <c r="CW321" i="1"/>
  <c r="CY321" i="1"/>
  <c r="CW308" i="1"/>
  <c r="CY308" i="1"/>
  <c r="CW299" i="1"/>
  <c r="CY299" i="1"/>
  <c r="AR346" i="1"/>
  <c r="D346" i="1"/>
  <c r="CT86" i="1"/>
  <c r="CV86" i="1"/>
  <c r="CT102" i="1"/>
  <c r="CV102" i="1"/>
  <c r="CT89" i="1"/>
  <c r="CV89" i="1"/>
  <c r="CT105" i="1"/>
  <c r="CV105" i="1"/>
  <c r="CT107" i="1"/>
  <c r="CV107" i="1"/>
  <c r="CT100" i="1"/>
  <c r="CV100" i="1"/>
  <c r="CT103" i="1"/>
  <c r="CV103" i="1"/>
  <c r="CT95" i="1"/>
  <c r="CV95" i="1"/>
  <c r="CT82" i="1"/>
  <c r="CV82" i="1"/>
  <c r="CT106" i="1"/>
  <c r="CV106" i="1"/>
  <c r="CT97" i="1"/>
  <c r="CV97" i="1"/>
  <c r="CT99" i="1"/>
  <c r="CV99" i="1"/>
  <c r="CT108" i="1"/>
  <c r="CV108" i="1"/>
  <c r="CT109" i="1"/>
  <c r="CV109" i="1"/>
  <c r="CT94" i="1"/>
  <c r="CV94" i="1"/>
  <c r="CT96" i="1"/>
  <c r="CV96" i="1"/>
  <c r="AA396" i="1"/>
  <c r="CT83" i="1"/>
  <c r="CV83" i="1"/>
  <c r="CT80" i="1"/>
  <c r="CV80" i="1"/>
  <c r="CT92" i="1"/>
  <c r="CV92" i="1"/>
  <c r="CT81" i="1"/>
  <c r="CV81" i="1"/>
  <c r="CT90" i="1"/>
  <c r="CV90" i="1"/>
  <c r="CT85" i="1"/>
  <c r="CV85" i="1"/>
  <c r="CT91" i="1"/>
  <c r="CV91" i="1"/>
  <c r="CT87" i="1"/>
  <c r="CV87" i="1"/>
  <c r="CT104" i="1"/>
  <c r="CV104" i="1"/>
  <c r="CT93" i="1"/>
  <c r="CV93" i="1"/>
  <c r="CT79" i="1"/>
  <c r="CV79" i="1"/>
  <c r="CT101" i="1"/>
  <c r="CV101" i="1"/>
  <c r="CT84" i="1"/>
  <c r="CV84" i="1"/>
  <c r="CT88" i="1"/>
  <c r="CV88" i="1"/>
  <c r="CT98" i="1"/>
  <c r="CV98" i="1"/>
  <c r="CW177" i="1"/>
  <c r="CY177" i="1"/>
  <c r="CW193" i="1"/>
  <c r="CY193" i="1"/>
  <c r="CW180" i="1"/>
  <c r="CY180" i="1"/>
  <c r="CW196" i="1"/>
  <c r="CY196" i="1"/>
  <c r="CW195" i="1"/>
  <c r="CY195" i="1"/>
  <c r="CW198" i="1"/>
  <c r="CY198" i="1"/>
  <c r="CW186" i="1"/>
  <c r="CY186" i="1"/>
  <c r="AB399" i="1"/>
  <c r="CW181" i="1"/>
  <c r="CY181" i="1"/>
  <c r="CW197" i="1"/>
  <c r="CY197" i="1"/>
  <c r="CW184" i="1"/>
  <c r="CY184" i="1"/>
  <c r="CW173" i="1"/>
  <c r="CY173" i="1"/>
  <c r="CW174" i="1"/>
  <c r="CY174" i="1"/>
  <c r="CW200" i="1"/>
  <c r="CY200" i="1"/>
  <c r="CW178" i="1"/>
  <c r="CY178" i="1"/>
  <c r="CW185" i="1"/>
  <c r="CY185" i="1"/>
  <c r="CW188" i="1"/>
  <c r="CY188" i="1"/>
  <c r="CW182" i="1"/>
  <c r="CY182" i="1"/>
  <c r="CW194" i="1"/>
  <c r="CY194" i="1"/>
  <c r="CW191" i="1"/>
  <c r="CY191" i="1"/>
  <c r="CW171" i="1"/>
  <c r="CY171" i="1"/>
  <c r="CW190" i="1"/>
  <c r="CY190" i="1"/>
  <c r="CW172" i="1"/>
  <c r="CY172" i="1"/>
  <c r="CW192" i="1"/>
  <c r="CY192" i="1"/>
  <c r="CW183" i="1"/>
  <c r="CY183" i="1"/>
  <c r="CW189" i="1"/>
  <c r="CY189" i="1"/>
  <c r="CW179" i="1"/>
  <c r="CY179" i="1"/>
  <c r="CW199" i="1"/>
  <c r="CY199" i="1"/>
  <c r="CW175" i="1"/>
  <c r="CY175" i="1"/>
  <c r="CW187" i="1"/>
  <c r="CY187" i="1"/>
  <c r="CW176" i="1"/>
  <c r="CY176" i="1"/>
  <c r="AB405" i="1"/>
  <c r="CW363" i="1"/>
  <c r="CY363" i="1"/>
  <c r="CW357" i="1"/>
  <c r="CY357" i="1"/>
  <c r="CW358" i="1"/>
  <c r="CY358" i="1"/>
  <c r="CW364" i="1"/>
  <c r="CY364" i="1"/>
  <c r="CW361" i="1"/>
  <c r="CY361" i="1"/>
  <c r="CW362" i="1"/>
  <c r="CY362" i="1"/>
  <c r="CW359" i="1"/>
  <c r="CY359" i="1"/>
  <c r="CW356" i="1"/>
  <c r="CY356" i="1"/>
  <c r="CW360" i="1"/>
  <c r="CY360" i="1"/>
  <c r="CW355" i="1"/>
  <c r="CY355" i="1"/>
  <c r="CW365" i="1"/>
  <c r="CY365" i="1"/>
  <c r="CW354" i="1"/>
  <c r="CY354" i="1"/>
  <c r="CT173" i="1"/>
  <c r="CV173" i="1"/>
  <c r="CT190" i="1"/>
  <c r="CV190" i="1"/>
  <c r="CT171" i="1"/>
  <c r="CV171" i="1"/>
  <c r="CT185" i="1"/>
  <c r="CV185" i="1"/>
  <c r="CT175" i="1"/>
  <c r="CV175" i="1"/>
  <c r="CT176" i="1"/>
  <c r="CV176" i="1"/>
  <c r="CT187" i="1"/>
  <c r="CV187" i="1"/>
  <c r="CT174" i="1"/>
  <c r="CV174" i="1"/>
  <c r="CT186" i="1"/>
  <c r="CV186" i="1"/>
  <c r="CT172" i="1"/>
  <c r="CV172" i="1"/>
  <c r="CT193" i="1"/>
  <c r="CV193" i="1"/>
  <c r="CT199" i="1"/>
  <c r="CV199" i="1"/>
  <c r="CT196" i="1"/>
  <c r="CV196" i="1"/>
  <c r="CT197" i="1"/>
  <c r="CV197" i="1"/>
  <c r="CT195" i="1"/>
  <c r="CV195" i="1"/>
  <c r="CT194" i="1"/>
  <c r="CV194" i="1"/>
  <c r="CT181" i="1"/>
  <c r="CV181" i="1"/>
  <c r="CT191" i="1"/>
  <c r="CV191" i="1"/>
  <c r="CT188" i="1"/>
  <c r="CV188" i="1"/>
  <c r="AA399" i="1"/>
  <c r="CT198" i="1"/>
  <c r="CV198" i="1"/>
  <c r="CT189" i="1"/>
  <c r="CV189" i="1"/>
  <c r="CT184" i="1"/>
  <c r="CV184" i="1"/>
  <c r="CT179" i="1"/>
  <c r="CV179" i="1"/>
  <c r="CT178" i="1"/>
  <c r="CV178" i="1"/>
  <c r="CT200" i="1"/>
  <c r="CV200" i="1"/>
  <c r="CT192" i="1"/>
  <c r="CV192" i="1"/>
  <c r="CT180" i="1"/>
  <c r="CV180" i="1"/>
  <c r="CT182" i="1"/>
  <c r="CV182" i="1"/>
  <c r="CT177" i="1"/>
  <c r="CV177" i="1"/>
  <c r="CT183" i="1"/>
  <c r="CV183" i="1"/>
  <c r="AA400" i="1"/>
  <c r="CT216" i="1"/>
  <c r="CV216" i="1"/>
  <c r="CT207" i="1"/>
  <c r="CV207" i="1"/>
  <c r="CT230" i="1"/>
  <c r="CV230" i="1"/>
  <c r="CT221" i="1"/>
  <c r="CV221" i="1"/>
  <c r="CT204" i="1"/>
  <c r="CV204" i="1"/>
  <c r="CT211" i="1"/>
  <c r="CV211" i="1"/>
  <c r="CT220" i="1"/>
  <c r="CV220" i="1"/>
  <c r="CT203" i="1"/>
  <c r="CV203" i="1"/>
  <c r="CT201" i="1"/>
  <c r="CV201" i="1"/>
  <c r="CT210" i="1"/>
  <c r="CV210" i="1"/>
  <c r="CT206" i="1"/>
  <c r="CV206" i="1"/>
  <c r="CT225" i="1"/>
  <c r="CV225" i="1"/>
  <c r="CT214" i="1"/>
  <c r="CV214" i="1"/>
  <c r="CT213" i="1"/>
  <c r="CV213" i="1"/>
  <c r="CT227" i="1"/>
  <c r="CV227" i="1"/>
  <c r="CT205" i="1"/>
  <c r="CV205" i="1"/>
  <c r="CT219" i="1"/>
  <c r="CV219" i="1"/>
  <c r="CT209" i="1"/>
  <c r="CV209" i="1"/>
  <c r="CT228" i="1"/>
  <c r="CV228" i="1"/>
  <c r="CT212" i="1"/>
  <c r="CV212" i="1"/>
  <c r="CT202" i="1"/>
  <c r="CV202" i="1"/>
  <c r="CT229" i="1"/>
  <c r="CV229" i="1"/>
  <c r="CT224" i="1"/>
  <c r="CV224" i="1"/>
  <c r="CT222" i="1"/>
  <c r="CV222" i="1"/>
  <c r="CT231" i="1"/>
  <c r="CV231" i="1"/>
  <c r="CT218" i="1"/>
  <c r="CV218" i="1"/>
  <c r="CT208" i="1"/>
  <c r="CV208" i="1"/>
  <c r="CT226" i="1"/>
  <c r="CV226" i="1"/>
  <c r="CT223" i="1"/>
  <c r="CV223" i="1"/>
  <c r="CT217" i="1"/>
  <c r="CV217" i="1"/>
  <c r="CT215" i="1"/>
  <c r="CV215" i="1"/>
  <c r="CW23" i="1"/>
  <c r="CY23" i="1"/>
  <c r="CW31" i="1"/>
  <c r="CY31" i="1"/>
  <c r="CW38" i="1"/>
  <c r="CY38" i="1"/>
  <c r="CW36" i="1"/>
  <c r="CY36" i="1"/>
  <c r="CW33" i="1"/>
  <c r="CY33" i="1"/>
  <c r="CW20" i="1"/>
  <c r="CY20" i="1"/>
  <c r="CW25" i="1"/>
  <c r="CY25" i="1"/>
  <c r="CW41" i="1"/>
  <c r="CY41" i="1"/>
  <c r="CW27" i="1"/>
  <c r="CY27" i="1"/>
  <c r="CW35" i="1"/>
  <c r="CY35" i="1"/>
  <c r="CW42" i="1"/>
  <c r="CY42" i="1"/>
  <c r="CW28" i="1"/>
  <c r="CY28" i="1"/>
  <c r="CW47" i="1"/>
  <c r="CY47" i="1"/>
  <c r="CW30" i="1"/>
  <c r="CY30" i="1"/>
  <c r="CW32" i="1"/>
  <c r="CY32" i="1"/>
  <c r="AD346" i="1"/>
  <c r="AB394" i="1"/>
  <c r="CW34" i="1"/>
  <c r="CY34" i="1"/>
  <c r="CW26" i="1"/>
  <c r="CY26" i="1"/>
  <c r="CW24" i="1"/>
  <c r="CY24" i="1"/>
  <c r="CW44" i="1"/>
  <c r="CY44" i="1"/>
  <c r="CW45" i="1"/>
  <c r="CY45" i="1"/>
  <c r="CW29" i="1"/>
  <c r="CY29" i="1"/>
  <c r="CW37" i="1"/>
  <c r="CY37" i="1"/>
  <c r="CW39" i="1"/>
  <c r="CY39" i="1"/>
  <c r="CW49" i="1"/>
  <c r="CY49" i="1"/>
  <c r="CW43" i="1"/>
  <c r="CY43" i="1"/>
  <c r="CW46" i="1"/>
  <c r="CY46" i="1"/>
  <c r="CW50" i="1"/>
  <c r="CY50" i="1"/>
  <c r="CW21" i="1"/>
  <c r="CY21" i="1"/>
  <c r="CW40" i="1"/>
  <c r="CY40" i="1"/>
  <c r="CW22" i="1"/>
  <c r="CY22" i="1"/>
  <c r="CW48" i="1"/>
  <c r="CY48" i="1"/>
  <c r="AB402" i="1"/>
  <c r="CW274" i="1"/>
  <c r="CY274" i="1"/>
  <c r="CW290" i="1"/>
  <c r="CY290" i="1"/>
  <c r="CW273" i="1"/>
  <c r="CY273" i="1"/>
  <c r="CW263" i="1"/>
  <c r="CY263" i="1"/>
  <c r="CW283" i="1"/>
  <c r="CY283" i="1"/>
  <c r="CW276" i="1"/>
  <c r="CY276" i="1"/>
  <c r="CW279" i="1"/>
  <c r="CY279" i="1"/>
  <c r="CW265" i="1"/>
  <c r="CY265" i="1"/>
  <c r="CW278" i="1"/>
  <c r="CY278" i="1"/>
  <c r="CW292" i="1"/>
  <c r="CY292" i="1"/>
  <c r="CW287" i="1"/>
  <c r="CY287" i="1"/>
  <c r="CW267" i="1"/>
  <c r="CY267" i="1"/>
  <c r="CW284" i="1"/>
  <c r="CY284" i="1"/>
  <c r="CW291" i="1"/>
  <c r="CY291" i="1"/>
  <c r="CW264" i="1"/>
  <c r="CY264" i="1"/>
  <c r="CW282" i="1"/>
  <c r="CY282" i="1"/>
  <c r="CW288" i="1"/>
  <c r="CY288" i="1"/>
  <c r="CW285" i="1"/>
  <c r="CY285" i="1"/>
  <c r="CW281" i="1"/>
  <c r="CY281" i="1"/>
  <c r="CW272" i="1"/>
  <c r="CY272" i="1"/>
  <c r="CW270" i="1"/>
  <c r="CY270" i="1"/>
  <c r="CW289" i="1"/>
  <c r="CY289" i="1"/>
  <c r="CW277" i="1"/>
  <c r="CY277" i="1"/>
  <c r="CW286" i="1"/>
  <c r="CY286" i="1"/>
  <c r="CW268" i="1"/>
  <c r="CY268" i="1"/>
  <c r="CW280" i="1"/>
  <c r="CY280" i="1"/>
  <c r="CW271" i="1"/>
  <c r="CY271" i="1"/>
  <c r="CW269" i="1"/>
  <c r="CY269" i="1"/>
  <c r="CW266" i="1"/>
  <c r="CY266" i="1"/>
  <c r="CW275" i="1"/>
  <c r="CY275" i="1"/>
  <c r="CW202" i="1"/>
  <c r="CY202" i="1"/>
  <c r="CW219" i="1"/>
  <c r="CY219" i="1"/>
  <c r="CW221" i="1"/>
  <c r="CY221" i="1"/>
  <c r="CW212" i="1"/>
  <c r="CY212" i="1"/>
  <c r="CW224" i="1"/>
  <c r="CY224" i="1"/>
  <c r="CW206" i="1"/>
  <c r="CY206" i="1"/>
  <c r="CW205" i="1"/>
  <c r="CY205" i="1"/>
  <c r="CW203" i="1"/>
  <c r="CY203" i="1"/>
  <c r="CW207" i="1"/>
  <c r="CY207" i="1"/>
  <c r="CW216" i="1"/>
  <c r="CY216" i="1"/>
  <c r="CW225" i="1"/>
  <c r="CY225" i="1"/>
  <c r="CW213" i="1"/>
  <c r="CY213" i="1"/>
  <c r="CW228" i="1"/>
  <c r="CY228" i="1"/>
  <c r="CW210" i="1"/>
  <c r="CY210" i="1"/>
  <c r="CW226" i="1"/>
  <c r="CY226" i="1"/>
  <c r="CW223" i="1"/>
  <c r="CY223" i="1"/>
  <c r="AB400" i="1"/>
  <c r="CW211" i="1"/>
  <c r="CY211" i="1"/>
  <c r="CW217" i="1"/>
  <c r="CY217" i="1"/>
  <c r="CW229" i="1"/>
  <c r="CY229" i="1"/>
  <c r="CW214" i="1"/>
  <c r="CY214" i="1"/>
  <c r="CW208" i="1"/>
  <c r="CY208" i="1"/>
  <c r="CW222" i="1"/>
  <c r="CY222" i="1"/>
  <c r="CW204" i="1"/>
  <c r="CY204" i="1"/>
  <c r="CW218" i="1"/>
  <c r="CY218" i="1"/>
  <c r="CW230" i="1"/>
  <c r="CY230" i="1"/>
  <c r="CW231" i="1"/>
  <c r="CY231" i="1"/>
  <c r="CW209" i="1"/>
  <c r="CY209" i="1"/>
  <c r="CW220" i="1"/>
  <c r="CY220" i="1"/>
  <c r="CW227" i="1"/>
  <c r="CY227" i="1"/>
  <c r="CW201" i="1"/>
  <c r="CY201" i="1"/>
  <c r="CW215" i="1"/>
  <c r="CY215" i="1"/>
  <c r="CT329" i="1"/>
  <c r="CV329" i="1"/>
  <c r="CT345" i="1"/>
  <c r="CV345" i="1"/>
  <c r="CT332" i="1"/>
  <c r="CV332" i="1"/>
  <c r="CT351" i="1"/>
  <c r="CV351" i="1"/>
  <c r="CT342" i="1"/>
  <c r="CV342" i="1"/>
  <c r="CT343" i="1"/>
  <c r="CV343" i="1"/>
  <c r="CT324" i="1"/>
  <c r="CV324" i="1"/>
  <c r="CT336" i="1"/>
  <c r="CV336" i="1"/>
  <c r="CT333" i="1"/>
  <c r="CV333" i="1"/>
  <c r="CT349" i="1"/>
  <c r="CV349" i="1"/>
  <c r="CT335" i="1"/>
  <c r="CV335" i="1"/>
  <c r="CT326" i="1"/>
  <c r="CV326" i="1"/>
  <c r="CT344" i="1"/>
  <c r="CV344" i="1"/>
  <c r="CT350" i="1"/>
  <c r="CV350" i="1"/>
  <c r="CT339" i="1"/>
  <c r="CV339" i="1"/>
  <c r="CT338" i="1"/>
  <c r="CV338" i="1"/>
  <c r="CT337" i="1"/>
  <c r="CV337" i="1"/>
  <c r="CT346" i="1"/>
  <c r="CV346" i="1"/>
  <c r="CT347" i="1"/>
  <c r="CV347" i="1"/>
  <c r="CT327" i="1"/>
  <c r="CV327" i="1"/>
  <c r="CT353" i="1"/>
  <c r="CV353" i="1"/>
  <c r="CT341" i="1"/>
  <c r="CV341" i="1"/>
  <c r="CT328" i="1"/>
  <c r="CV328" i="1"/>
  <c r="CT340" i="1"/>
  <c r="CV340" i="1"/>
  <c r="CT325" i="1"/>
  <c r="CV325" i="1"/>
  <c r="CT331" i="1"/>
  <c r="CV331" i="1"/>
  <c r="CT334" i="1"/>
  <c r="CV334" i="1"/>
  <c r="CT330" i="1"/>
  <c r="CV330" i="1"/>
  <c r="CT352" i="1"/>
  <c r="CV352" i="1"/>
  <c r="AA404" i="1"/>
  <c r="CT348" i="1"/>
  <c r="CV348" i="1"/>
  <c r="CT58" i="1"/>
  <c r="CV58" i="1"/>
  <c r="CT67" i="1"/>
  <c r="CV67" i="1"/>
  <c r="CT64" i="1"/>
  <c r="CV64" i="1"/>
  <c r="CT65" i="1"/>
  <c r="CV65" i="1"/>
  <c r="CT60" i="1"/>
  <c r="CV60" i="1"/>
  <c r="CT72" i="1"/>
  <c r="CV72" i="1"/>
  <c r="CT55" i="1"/>
  <c r="CV55" i="1"/>
  <c r="CT62" i="1"/>
  <c r="CV62" i="1"/>
  <c r="CT71" i="1"/>
  <c r="CV71" i="1"/>
  <c r="CT66" i="1"/>
  <c r="CV66" i="1"/>
  <c r="CT76" i="1"/>
  <c r="CV76" i="1"/>
  <c r="CT63" i="1"/>
  <c r="CV63" i="1"/>
  <c r="CT74" i="1"/>
  <c r="CV74" i="1"/>
  <c r="CT61" i="1"/>
  <c r="CV61" i="1"/>
  <c r="CT53" i="1"/>
  <c r="CV53" i="1"/>
  <c r="CT69" i="1"/>
  <c r="CV69" i="1"/>
  <c r="CT68" i="1"/>
  <c r="CV68" i="1"/>
  <c r="CT77" i="1"/>
  <c r="CV77" i="1"/>
  <c r="CT59" i="1"/>
  <c r="CV59" i="1"/>
  <c r="CT56" i="1"/>
  <c r="CV56" i="1"/>
  <c r="CT73" i="1"/>
  <c r="CV73" i="1"/>
  <c r="CT51" i="1"/>
  <c r="CV51" i="1"/>
  <c r="CT75" i="1"/>
  <c r="CV75" i="1"/>
  <c r="CT78" i="1"/>
  <c r="CV78" i="1"/>
  <c r="AA395" i="1"/>
  <c r="CT70" i="1"/>
  <c r="CV70" i="1"/>
  <c r="CT54" i="1"/>
  <c r="CV54" i="1"/>
  <c r="CT57" i="1"/>
  <c r="CV57" i="1"/>
  <c r="CT52" i="1"/>
  <c r="CV52" i="1"/>
  <c r="CT237" i="1"/>
  <c r="CV237" i="1"/>
  <c r="CT240" i="1"/>
  <c r="CV240" i="1"/>
  <c r="CT256" i="1"/>
  <c r="CV256" i="1"/>
  <c r="CT242" i="1"/>
  <c r="CV242" i="1"/>
  <c r="CT232" i="1"/>
  <c r="CV232" i="1"/>
  <c r="CT250" i="1"/>
  <c r="CV250" i="1"/>
  <c r="CT258" i="1"/>
  <c r="CV258" i="1"/>
  <c r="CT257" i="1"/>
  <c r="CV257" i="1"/>
  <c r="CT241" i="1"/>
  <c r="CV241" i="1"/>
  <c r="CT244" i="1"/>
  <c r="CV244" i="1"/>
  <c r="CT260" i="1"/>
  <c r="CV260" i="1"/>
  <c r="CT249" i="1"/>
  <c r="CV249" i="1"/>
  <c r="CT243" i="1"/>
  <c r="CV243" i="1"/>
  <c r="CT261" i="1"/>
  <c r="CV261" i="1"/>
  <c r="CT246" i="1"/>
  <c r="CV246" i="1"/>
  <c r="CT259" i="1"/>
  <c r="CV259" i="1"/>
  <c r="CT235" i="1"/>
  <c r="CV235" i="1"/>
  <c r="CT248" i="1"/>
  <c r="CV248" i="1"/>
  <c r="CT262" i="1"/>
  <c r="CV262" i="1"/>
  <c r="CT251" i="1"/>
  <c r="CV251" i="1"/>
  <c r="CT245" i="1"/>
  <c r="CV245" i="1"/>
  <c r="CT233" i="1"/>
  <c r="CV233" i="1"/>
  <c r="CT253" i="1"/>
  <c r="CV253" i="1"/>
  <c r="CT238" i="1"/>
  <c r="CV238" i="1"/>
  <c r="CT252" i="1"/>
  <c r="CV252" i="1"/>
  <c r="CT239" i="1"/>
  <c r="CV239" i="1"/>
  <c r="CT255" i="1"/>
  <c r="CV255" i="1"/>
  <c r="CT234" i="1"/>
  <c r="CV234" i="1"/>
  <c r="CT254" i="1"/>
  <c r="CV254" i="1"/>
  <c r="AA401" i="1"/>
  <c r="CT247" i="1"/>
  <c r="CV247" i="1"/>
  <c r="CT236" i="1"/>
  <c r="CV236" i="1"/>
  <c r="CW236" i="1"/>
  <c r="CY236" i="1"/>
  <c r="CW243" i="1"/>
  <c r="CY243" i="1"/>
  <c r="CW259" i="1"/>
  <c r="CY259" i="1"/>
  <c r="CW246" i="1"/>
  <c r="CY246" i="1"/>
  <c r="CW241" i="1"/>
  <c r="CY241" i="1"/>
  <c r="CW252" i="1"/>
  <c r="CY252" i="1"/>
  <c r="CW254" i="1"/>
  <c r="CY254" i="1"/>
  <c r="CW262" i="1"/>
  <c r="CY262" i="1"/>
  <c r="CW235" i="1"/>
  <c r="CY235" i="1"/>
  <c r="CW247" i="1"/>
  <c r="CY247" i="1"/>
  <c r="CW244" i="1"/>
  <c r="CY244" i="1"/>
  <c r="CW233" i="1"/>
  <c r="CY233" i="1"/>
  <c r="CW242" i="1"/>
  <c r="CY242" i="1"/>
  <c r="CW248" i="1"/>
  <c r="CY248" i="1"/>
  <c r="CW251" i="1"/>
  <c r="CY251" i="1"/>
  <c r="CW258" i="1"/>
  <c r="CY258" i="1"/>
  <c r="CW234" i="1"/>
  <c r="CY234" i="1"/>
  <c r="CW238" i="1"/>
  <c r="CY238" i="1"/>
  <c r="CW256" i="1"/>
  <c r="CY256" i="1"/>
  <c r="CW250" i="1"/>
  <c r="CY250" i="1"/>
  <c r="CW239" i="1"/>
  <c r="CY239" i="1"/>
  <c r="CW245" i="1"/>
  <c r="CY245" i="1"/>
  <c r="CW257" i="1"/>
  <c r="CY257" i="1"/>
  <c r="CW237" i="1"/>
  <c r="CY237" i="1"/>
  <c r="AB401" i="1"/>
  <c r="CW260" i="1"/>
  <c r="CY260" i="1"/>
  <c r="CW249" i="1"/>
  <c r="CY249" i="1"/>
  <c r="CW261" i="1"/>
  <c r="CY261" i="1"/>
  <c r="CW253" i="1"/>
  <c r="CY253" i="1"/>
  <c r="CW240" i="1"/>
  <c r="CY240" i="1"/>
  <c r="CW232" i="1"/>
  <c r="CY232" i="1"/>
  <c r="CW255" i="1"/>
  <c r="CY255" i="1"/>
  <c r="CT359" i="1"/>
  <c r="CV359" i="1"/>
  <c r="CT361" i="1"/>
  <c r="CV361" i="1"/>
  <c r="CT360" i="1"/>
  <c r="CV360" i="1"/>
  <c r="AA405" i="1"/>
  <c r="CT357" i="1"/>
  <c r="CV357" i="1"/>
  <c r="CT364" i="1"/>
  <c r="CV364" i="1"/>
  <c r="CT355" i="1"/>
  <c r="CV355" i="1"/>
  <c r="CT356" i="1"/>
  <c r="CV356" i="1"/>
  <c r="CT362" i="1"/>
  <c r="CV362" i="1"/>
  <c r="CT358" i="1"/>
  <c r="CV358" i="1"/>
  <c r="CT365" i="1"/>
  <c r="CV365" i="1"/>
  <c r="CT354" i="1"/>
  <c r="CV354" i="1"/>
  <c r="CT363" i="1"/>
  <c r="CV363" i="1"/>
  <c r="CW57" i="1"/>
  <c r="CY57" i="1"/>
  <c r="CW66" i="1"/>
  <c r="CY66" i="1"/>
  <c r="CW60" i="1"/>
  <c r="CY60" i="1"/>
  <c r="CW52" i="1"/>
  <c r="CY52" i="1"/>
  <c r="CW73" i="1"/>
  <c r="CY73" i="1"/>
  <c r="CW59" i="1"/>
  <c r="CY59" i="1"/>
  <c r="CW78" i="1"/>
  <c r="CY78" i="1"/>
  <c r="AB395" i="1"/>
  <c r="CW61" i="1"/>
  <c r="CY61" i="1"/>
  <c r="CW70" i="1"/>
  <c r="CY70" i="1"/>
  <c r="CW75" i="1"/>
  <c r="CY75" i="1"/>
  <c r="CW54" i="1"/>
  <c r="CY54" i="1"/>
  <c r="CW55" i="1"/>
  <c r="CY55" i="1"/>
  <c r="CW65" i="1"/>
  <c r="CY65" i="1"/>
  <c r="CW64" i="1"/>
  <c r="CY64" i="1"/>
  <c r="CW51" i="1"/>
  <c r="CY51" i="1"/>
  <c r="CW62" i="1"/>
  <c r="CY62" i="1"/>
  <c r="CW74" i="1"/>
  <c r="CY74" i="1"/>
  <c r="CW76" i="1"/>
  <c r="CY76" i="1"/>
  <c r="CW71" i="1"/>
  <c r="CY71" i="1"/>
  <c r="CW56" i="1"/>
  <c r="CY56" i="1"/>
  <c r="CW69" i="1"/>
  <c r="CY69" i="1"/>
  <c r="CW58" i="1"/>
  <c r="CY58" i="1"/>
  <c r="CW68" i="1"/>
  <c r="CY68" i="1"/>
  <c r="CW63" i="1"/>
  <c r="CY63" i="1"/>
  <c r="CW67" i="1"/>
  <c r="CY67" i="1"/>
  <c r="CW77" i="1"/>
  <c r="CY77" i="1"/>
  <c r="CW72" i="1"/>
  <c r="CY72" i="1"/>
  <c r="CW53" i="1"/>
  <c r="CY53" i="1"/>
  <c r="Z406" i="1"/>
  <c r="AA394" i="1"/>
  <c r="CT30" i="1"/>
  <c r="CV30" i="1"/>
  <c r="CT21" i="1"/>
  <c r="CV21" i="1"/>
  <c r="CT35" i="1"/>
  <c r="CV35" i="1"/>
  <c r="CT38" i="1"/>
  <c r="CV38" i="1"/>
  <c r="CT41" i="1"/>
  <c r="CV41" i="1"/>
  <c r="CT48" i="1"/>
  <c r="CV48" i="1"/>
  <c r="CT42" i="1"/>
  <c r="CV42" i="1"/>
  <c r="CT20" i="1"/>
  <c r="CV20" i="1"/>
  <c r="CT32" i="1"/>
  <c r="CV32" i="1"/>
  <c r="CT23" i="1"/>
  <c r="CV23" i="1"/>
  <c r="CT39" i="1"/>
  <c r="CV39" i="1"/>
  <c r="CT45" i="1"/>
  <c r="CV45" i="1"/>
  <c r="CT29" i="1"/>
  <c r="CV29" i="1"/>
  <c r="CT46" i="1"/>
  <c r="CV46" i="1"/>
  <c r="CT44" i="1"/>
  <c r="CV44" i="1"/>
  <c r="CT24" i="1"/>
  <c r="CV24" i="1"/>
  <c r="CT25" i="1"/>
  <c r="CV25" i="1"/>
  <c r="CT36" i="1"/>
  <c r="CV36" i="1"/>
  <c r="CT26" i="1"/>
  <c r="CV26" i="1"/>
  <c r="CT43" i="1"/>
  <c r="CV43" i="1"/>
  <c r="CT50" i="1"/>
  <c r="CV50" i="1"/>
  <c r="CT34" i="1"/>
  <c r="CV34" i="1"/>
  <c r="CT22" i="1"/>
  <c r="CV22" i="1"/>
  <c r="AC346" i="1"/>
  <c r="CT40" i="1"/>
  <c r="CV40" i="1"/>
  <c r="CT37" i="1"/>
  <c r="CV37" i="1"/>
  <c r="CT47" i="1"/>
  <c r="CV47" i="1"/>
  <c r="CT28" i="1"/>
  <c r="CV28" i="1"/>
  <c r="CT33" i="1"/>
  <c r="CV33" i="1"/>
  <c r="CT27" i="1"/>
  <c r="CV27" i="1"/>
  <c r="CT49" i="1"/>
  <c r="CV49" i="1"/>
  <c r="CT31" i="1"/>
  <c r="CV31" i="1"/>
  <c r="CW110" i="1"/>
  <c r="CY110" i="1"/>
  <c r="CW120" i="1"/>
  <c r="CY120" i="1"/>
  <c r="CW136" i="1"/>
  <c r="CY136" i="1"/>
  <c r="CW127" i="1"/>
  <c r="CY127" i="1"/>
  <c r="CW122" i="1"/>
  <c r="CY122" i="1"/>
  <c r="CW125" i="1"/>
  <c r="CY125" i="1"/>
  <c r="CW129" i="1"/>
  <c r="CY129" i="1"/>
  <c r="CW118" i="1"/>
  <c r="CY118" i="1"/>
  <c r="CW111" i="1"/>
  <c r="CY111" i="1"/>
  <c r="CW124" i="1"/>
  <c r="CY124" i="1"/>
  <c r="CW119" i="1"/>
  <c r="CY119" i="1"/>
  <c r="CW114" i="1"/>
  <c r="CY114" i="1"/>
  <c r="CW133" i="1"/>
  <c r="CY133" i="1"/>
  <c r="CW137" i="1"/>
  <c r="CY137" i="1"/>
  <c r="CW112" i="1"/>
  <c r="CY112" i="1"/>
  <c r="CW113" i="1"/>
  <c r="CY113" i="1"/>
  <c r="CW128" i="1"/>
  <c r="CY128" i="1"/>
  <c r="CW131" i="1"/>
  <c r="CY131" i="1"/>
  <c r="CW117" i="1"/>
  <c r="CY117" i="1"/>
  <c r="CW134" i="1"/>
  <c r="CY134" i="1"/>
  <c r="AB397" i="1"/>
  <c r="CW132" i="1"/>
  <c r="CY132" i="1"/>
  <c r="CW135" i="1"/>
  <c r="CY135" i="1"/>
  <c r="CW126" i="1"/>
  <c r="CY126" i="1"/>
  <c r="CW121" i="1"/>
  <c r="CY121" i="1"/>
  <c r="CW115" i="1"/>
  <c r="CY115" i="1"/>
  <c r="CW130" i="1"/>
  <c r="CY130" i="1"/>
  <c r="CW138" i="1"/>
  <c r="CY138" i="1"/>
  <c r="CW139" i="1"/>
  <c r="CY139" i="1"/>
  <c r="CW116" i="1"/>
  <c r="CY116" i="1"/>
  <c r="CW123" i="1"/>
  <c r="CY123" i="1"/>
  <c r="CW140" i="1"/>
  <c r="CY140" i="1"/>
  <c r="CW150" i="1"/>
  <c r="CY150" i="1"/>
  <c r="CW149" i="1"/>
  <c r="CY149" i="1"/>
  <c r="CW143" i="1"/>
  <c r="CY143" i="1"/>
  <c r="CW161" i="1"/>
  <c r="CY161" i="1"/>
  <c r="CW168" i="1"/>
  <c r="CY168" i="1"/>
  <c r="CW151" i="1"/>
  <c r="CY151" i="1"/>
  <c r="CW164" i="1"/>
  <c r="CY164" i="1"/>
  <c r="CW141" i="1"/>
  <c r="CY141" i="1"/>
  <c r="CW154" i="1"/>
  <c r="CY154" i="1"/>
  <c r="CW158" i="1"/>
  <c r="CY158" i="1"/>
  <c r="CW144" i="1"/>
  <c r="CY144" i="1"/>
  <c r="CW165" i="1"/>
  <c r="CY165" i="1"/>
  <c r="CW153" i="1"/>
  <c r="CY153" i="1"/>
  <c r="CW152" i="1"/>
  <c r="CY152" i="1"/>
  <c r="CW167" i="1"/>
  <c r="CY167" i="1"/>
  <c r="CW147" i="1"/>
  <c r="CY147" i="1"/>
  <c r="CW145" i="1"/>
  <c r="CY145" i="1"/>
  <c r="CW155" i="1"/>
  <c r="CY155" i="1"/>
  <c r="CW170" i="1"/>
  <c r="CY170" i="1"/>
  <c r="AB398" i="1"/>
  <c r="CW166" i="1"/>
  <c r="CY166" i="1"/>
  <c r="CW148" i="1"/>
  <c r="CY148" i="1"/>
  <c r="CW169" i="1"/>
  <c r="CY169" i="1"/>
  <c r="CW159" i="1"/>
  <c r="CY159" i="1"/>
  <c r="CW162" i="1"/>
  <c r="CY162" i="1"/>
  <c r="CW160" i="1"/>
  <c r="CY160" i="1"/>
  <c r="CW142" i="1"/>
  <c r="CY142" i="1"/>
  <c r="CW163" i="1"/>
  <c r="CY163" i="1"/>
  <c r="CW157" i="1"/>
  <c r="CY157" i="1"/>
  <c r="CW156" i="1"/>
  <c r="CY156" i="1"/>
  <c r="CW146" i="1"/>
  <c r="CY146" i="1"/>
  <c r="AB404" i="1"/>
  <c r="CW340" i="1"/>
  <c r="CY340" i="1"/>
  <c r="CW326" i="1"/>
  <c r="CY326" i="1"/>
  <c r="CW343" i="1"/>
  <c r="CY343" i="1"/>
  <c r="CW334" i="1"/>
  <c r="CY334" i="1"/>
  <c r="CW324" i="1"/>
  <c r="CY324" i="1"/>
  <c r="CW333" i="1"/>
  <c r="CY333" i="1"/>
  <c r="CW331" i="1"/>
  <c r="CY331" i="1"/>
  <c r="CW328" i="1"/>
  <c r="CY328" i="1"/>
  <c r="CW344" i="1"/>
  <c r="CY344" i="1"/>
  <c r="CW327" i="1"/>
  <c r="CY327" i="1"/>
  <c r="CW337" i="1"/>
  <c r="CY337" i="1"/>
  <c r="CW347" i="1"/>
  <c r="CY347" i="1"/>
  <c r="CW325" i="1"/>
  <c r="CY325" i="1"/>
  <c r="CW345" i="1"/>
  <c r="CY345" i="1"/>
  <c r="CW350" i="1"/>
  <c r="CY350" i="1"/>
  <c r="CW332" i="1"/>
  <c r="CY332" i="1"/>
  <c r="CW348" i="1"/>
  <c r="CY348" i="1"/>
  <c r="CW341" i="1"/>
  <c r="CY341" i="1"/>
  <c r="CW338" i="1"/>
  <c r="CY338" i="1"/>
  <c r="CW351" i="1"/>
  <c r="CY351" i="1"/>
  <c r="CW330" i="1"/>
  <c r="CY330" i="1"/>
  <c r="CW346" i="1"/>
  <c r="CY346" i="1"/>
  <c r="CW329" i="1"/>
  <c r="CY329" i="1"/>
  <c r="CW339" i="1"/>
  <c r="CY339" i="1"/>
  <c r="CW342" i="1"/>
  <c r="CY342" i="1"/>
  <c r="CW353" i="1"/>
  <c r="CY353" i="1"/>
  <c r="CW335" i="1"/>
  <c r="CY335" i="1"/>
  <c r="CW349" i="1"/>
  <c r="CY349" i="1"/>
  <c r="CW336" i="1"/>
  <c r="CY336" i="1"/>
  <c r="CW352" i="1"/>
  <c r="CY352" i="1"/>
  <c r="CW81" i="1"/>
  <c r="CY81" i="1"/>
  <c r="CW85" i="1"/>
  <c r="CY85" i="1"/>
  <c r="CW101" i="1"/>
  <c r="CY101" i="1"/>
  <c r="CW92" i="1"/>
  <c r="CY92" i="1"/>
  <c r="CW108" i="1"/>
  <c r="CY108" i="1"/>
  <c r="CW90" i="1"/>
  <c r="CY90" i="1"/>
  <c r="CW86" i="1"/>
  <c r="CY86" i="1"/>
  <c r="CW94" i="1"/>
  <c r="CY94" i="1"/>
  <c r="CW82" i="1"/>
  <c r="CY82" i="1"/>
  <c r="CW89" i="1"/>
  <c r="CY89" i="1"/>
  <c r="CW105" i="1"/>
  <c r="CY105" i="1"/>
  <c r="CW96" i="1"/>
  <c r="CY96" i="1"/>
  <c r="CW87" i="1"/>
  <c r="CY87" i="1"/>
  <c r="CW98" i="1"/>
  <c r="CY98" i="1"/>
  <c r="CW102" i="1"/>
  <c r="CY102" i="1"/>
  <c r="CW99" i="1"/>
  <c r="CY99" i="1"/>
  <c r="CW79" i="1"/>
  <c r="CY79" i="1"/>
  <c r="CW83" i="1"/>
  <c r="CY83" i="1"/>
  <c r="CW93" i="1"/>
  <c r="CY93" i="1"/>
  <c r="AB396" i="1"/>
  <c r="CW100" i="1"/>
  <c r="CY100" i="1"/>
  <c r="CW95" i="1"/>
  <c r="CY95" i="1"/>
  <c r="CW106" i="1"/>
  <c r="CY106" i="1"/>
  <c r="CW91" i="1"/>
  <c r="CY91" i="1"/>
  <c r="CW97" i="1"/>
  <c r="CY97" i="1"/>
  <c r="CW109" i="1"/>
  <c r="CY109" i="1"/>
  <c r="CW84" i="1"/>
  <c r="CY84" i="1"/>
  <c r="CW88" i="1"/>
  <c r="CY88" i="1"/>
  <c r="CW104" i="1"/>
  <c r="CY104" i="1"/>
  <c r="CW80" i="1"/>
  <c r="CY80" i="1"/>
  <c r="CW103" i="1"/>
  <c r="CY103" i="1"/>
  <c r="CW107" i="1"/>
  <c r="CY107" i="1"/>
  <c r="CT302" i="1"/>
  <c r="CV302" i="1"/>
  <c r="CT318" i="1"/>
  <c r="CV318" i="1"/>
  <c r="CT305" i="1"/>
  <c r="CV305" i="1"/>
  <c r="CT294" i="1"/>
  <c r="CV294" i="1"/>
  <c r="CT315" i="1"/>
  <c r="CV315" i="1"/>
  <c r="CT295" i="1"/>
  <c r="CV295" i="1"/>
  <c r="CT312" i="1"/>
  <c r="CV312" i="1"/>
  <c r="CT311" i="1"/>
  <c r="CV311" i="1"/>
  <c r="CT306" i="1"/>
  <c r="CV306" i="1"/>
  <c r="CT322" i="1"/>
  <c r="CV322" i="1"/>
  <c r="CT308" i="1"/>
  <c r="CV308" i="1"/>
  <c r="CT299" i="1"/>
  <c r="CV299" i="1"/>
  <c r="CT317" i="1"/>
  <c r="CV317" i="1"/>
  <c r="CT297" i="1"/>
  <c r="CV297" i="1"/>
  <c r="CT300" i="1"/>
  <c r="CV300" i="1"/>
  <c r="CT313" i="1"/>
  <c r="CV313" i="1"/>
  <c r="CT310" i="1"/>
  <c r="CV310" i="1"/>
  <c r="CT319" i="1"/>
  <c r="CV319" i="1"/>
  <c r="CT320" i="1"/>
  <c r="CV320" i="1"/>
  <c r="CT307" i="1"/>
  <c r="CV307" i="1"/>
  <c r="CT323" i="1"/>
  <c r="CV323" i="1"/>
  <c r="CT314" i="1"/>
  <c r="CV314" i="1"/>
  <c r="CT301" i="1"/>
  <c r="CV301" i="1"/>
  <c r="CT296" i="1"/>
  <c r="CV296" i="1"/>
  <c r="CT293" i="1"/>
  <c r="CV293" i="1"/>
  <c r="CT304" i="1"/>
  <c r="CV304" i="1"/>
  <c r="CT309" i="1"/>
  <c r="CV309" i="1"/>
  <c r="AA403" i="1"/>
  <c r="CT303" i="1"/>
  <c r="CV303" i="1"/>
  <c r="CT298" i="1"/>
  <c r="CV298" i="1"/>
  <c r="CT321" i="1"/>
  <c r="CV321" i="1"/>
  <c r="CT316" i="1"/>
  <c r="CV316" i="1"/>
  <c r="AA397" i="1"/>
  <c r="CT125" i="1"/>
  <c r="CV125" i="1"/>
  <c r="CT139" i="1"/>
  <c r="CV139" i="1"/>
  <c r="CT116" i="1"/>
  <c r="CV116" i="1"/>
  <c r="CT132" i="1"/>
  <c r="CV132" i="1"/>
  <c r="CT134" i="1"/>
  <c r="CV134" i="1"/>
  <c r="CT114" i="1"/>
  <c r="CV114" i="1"/>
  <c r="CT115" i="1"/>
  <c r="CV115" i="1"/>
  <c r="CT113" i="1"/>
  <c r="CV113" i="1"/>
  <c r="CT129" i="1"/>
  <c r="CV129" i="1"/>
  <c r="CT110" i="1"/>
  <c r="CV110" i="1"/>
  <c r="CT120" i="1"/>
  <c r="CV120" i="1"/>
  <c r="CT136" i="1"/>
  <c r="CV136" i="1"/>
  <c r="CT119" i="1"/>
  <c r="CV119" i="1"/>
  <c r="CT123" i="1"/>
  <c r="CV123" i="1"/>
  <c r="CT138" i="1"/>
  <c r="CV138" i="1"/>
  <c r="CT117" i="1"/>
  <c r="CV117" i="1"/>
  <c r="CT133" i="1"/>
  <c r="CV133" i="1"/>
  <c r="CT111" i="1"/>
  <c r="CV111" i="1"/>
  <c r="CT124" i="1"/>
  <c r="CV124" i="1"/>
  <c r="CT118" i="1"/>
  <c r="CV118" i="1"/>
  <c r="CT127" i="1"/>
  <c r="CV127" i="1"/>
  <c r="CT130" i="1"/>
  <c r="CV130" i="1"/>
  <c r="CT131" i="1"/>
  <c r="CV131" i="1"/>
  <c r="CT128" i="1"/>
  <c r="CV128" i="1"/>
  <c r="CT112" i="1"/>
  <c r="CV112" i="1"/>
  <c r="CT122" i="1"/>
  <c r="CV122" i="1"/>
  <c r="CT135" i="1"/>
  <c r="CV135" i="1"/>
  <c r="CT126" i="1"/>
  <c r="CV126" i="1"/>
  <c r="CT121" i="1"/>
  <c r="CV121" i="1"/>
  <c r="CT137" i="1"/>
  <c r="CV137" i="1"/>
  <c r="CT275" i="1"/>
  <c r="CV275" i="1"/>
  <c r="CT291" i="1"/>
  <c r="CV291" i="1"/>
  <c r="CT281" i="1"/>
  <c r="CV281" i="1"/>
  <c r="CT288" i="1"/>
  <c r="CV288" i="1"/>
  <c r="CT273" i="1"/>
  <c r="CV273" i="1"/>
  <c r="CT266" i="1"/>
  <c r="CV266" i="1"/>
  <c r="CT292" i="1"/>
  <c r="CV292" i="1"/>
  <c r="AA402" i="1"/>
  <c r="CT279" i="1"/>
  <c r="CV279" i="1"/>
  <c r="CT264" i="1"/>
  <c r="CV264" i="1"/>
  <c r="CT272" i="1"/>
  <c r="CV272" i="1"/>
  <c r="CT290" i="1"/>
  <c r="CV290" i="1"/>
  <c r="CT280" i="1"/>
  <c r="CV280" i="1"/>
  <c r="CT268" i="1"/>
  <c r="CV268" i="1"/>
  <c r="CT285" i="1"/>
  <c r="CV285" i="1"/>
  <c r="CT267" i="1"/>
  <c r="CV267" i="1"/>
  <c r="CT283" i="1"/>
  <c r="CV283" i="1"/>
  <c r="CT276" i="1"/>
  <c r="CV276" i="1"/>
  <c r="CT274" i="1"/>
  <c r="CV274" i="1"/>
  <c r="CT269" i="1"/>
  <c r="CV269" i="1"/>
  <c r="CT284" i="1"/>
  <c r="CV284" i="1"/>
  <c r="CT270" i="1"/>
  <c r="CV270" i="1"/>
  <c r="CT265" i="1"/>
  <c r="CV265" i="1"/>
  <c r="CT277" i="1"/>
  <c r="CV277" i="1"/>
  <c r="CT282" i="1"/>
  <c r="CV282" i="1"/>
  <c r="CT278" i="1"/>
  <c r="CV278" i="1"/>
  <c r="CT289" i="1"/>
  <c r="CV289" i="1"/>
  <c r="CT263" i="1"/>
  <c r="CV263" i="1"/>
  <c r="CT286" i="1"/>
  <c r="CV286" i="1"/>
  <c r="CT271" i="1"/>
  <c r="CV271" i="1"/>
  <c r="CT287" i="1"/>
  <c r="CV287" i="1"/>
  <c r="X406" i="1"/>
  <c r="BO31" i="1"/>
  <c r="CZ31" i="1"/>
  <c r="BO151" i="1"/>
  <c r="CZ151" i="1"/>
  <c r="BO244" i="1"/>
  <c r="CZ244" i="1"/>
  <c r="BO88" i="1"/>
  <c r="CZ88" i="1"/>
  <c r="BO209" i="1"/>
  <c r="CZ209" i="1"/>
  <c r="BN211" i="1"/>
  <c r="BM211" i="1"/>
  <c r="BM89" i="1"/>
  <c r="BN89" i="1"/>
  <c r="BL90" i="1"/>
  <c r="BM210" i="1"/>
  <c r="BN210" i="1"/>
  <c r="BO30" i="1"/>
  <c r="CZ30" i="1"/>
  <c r="BL33" i="1"/>
  <c r="BM32" i="1"/>
  <c r="BN32" i="1"/>
  <c r="BO271" i="1"/>
  <c r="CZ271" i="1"/>
  <c r="BL212" i="1"/>
  <c r="BN272" i="1"/>
  <c r="BM272" i="1"/>
  <c r="BL273" i="1"/>
  <c r="BN245" i="1"/>
  <c r="BL246" i="1"/>
  <c r="BM245" i="1"/>
  <c r="BO335" i="1"/>
  <c r="CZ335" i="1"/>
  <c r="BO121" i="1"/>
  <c r="CZ121" i="1"/>
  <c r="BO306" i="1"/>
  <c r="CZ306" i="1"/>
  <c r="BO181" i="1"/>
  <c r="CZ181" i="1"/>
  <c r="BO60" i="1"/>
  <c r="CZ60" i="1"/>
  <c r="BN336" i="1"/>
  <c r="BM336" i="1"/>
  <c r="BL337" i="1"/>
  <c r="BN152" i="1"/>
  <c r="BM152" i="1"/>
  <c r="BL153" i="1"/>
  <c r="BN307" i="1"/>
  <c r="BM307" i="1"/>
  <c r="BL308" i="1"/>
  <c r="BM61" i="1"/>
  <c r="BN61" i="1"/>
  <c r="BL62" i="1"/>
  <c r="BM182" i="1"/>
  <c r="BN182" i="1"/>
  <c r="BL183" i="1"/>
  <c r="BN122" i="1"/>
  <c r="BM122" i="1"/>
  <c r="BL123" i="1"/>
  <c r="AS346" i="1"/>
  <c r="D347" i="1"/>
  <c r="AA406" i="1"/>
  <c r="AT346" i="1"/>
  <c r="D348" i="1"/>
  <c r="AB406" i="1"/>
  <c r="P282" i="1"/>
  <c r="BO32" i="1"/>
  <c r="CZ32" i="1"/>
  <c r="BO210" i="1"/>
  <c r="CZ210" i="1"/>
  <c r="BO211" i="1"/>
  <c r="CZ211" i="1"/>
  <c r="BN212" i="1"/>
  <c r="BM212" i="1"/>
  <c r="BM33" i="1"/>
  <c r="BL34" i="1"/>
  <c r="BN33" i="1"/>
  <c r="BL91" i="1"/>
  <c r="BN90" i="1"/>
  <c r="BM90" i="1"/>
  <c r="BL213" i="1"/>
  <c r="BL274" i="1"/>
  <c r="BL275" i="1"/>
  <c r="BL276" i="1"/>
  <c r="BN273" i="1"/>
  <c r="BM273" i="1"/>
  <c r="BO273" i="1"/>
  <c r="CZ273" i="1"/>
  <c r="BO336" i="1"/>
  <c r="CZ336" i="1"/>
  <c r="BO245" i="1"/>
  <c r="CZ245" i="1"/>
  <c r="BO272" i="1"/>
  <c r="CZ272" i="1"/>
  <c r="BO89" i="1"/>
  <c r="CZ89" i="1"/>
  <c r="BM246" i="1"/>
  <c r="BN246" i="1"/>
  <c r="BO246" i="1"/>
  <c r="CZ246" i="1"/>
  <c r="BL247" i="1"/>
  <c r="BO61" i="1"/>
  <c r="CZ61" i="1"/>
  <c r="BO122" i="1"/>
  <c r="CZ122" i="1"/>
  <c r="BO152" i="1"/>
  <c r="CZ152" i="1"/>
  <c r="BN123" i="1"/>
  <c r="BM123" i="1"/>
  <c r="BL124" i="1"/>
  <c r="BN183" i="1"/>
  <c r="BM183" i="1"/>
  <c r="BL184" i="1"/>
  <c r="BO307" i="1"/>
  <c r="CZ307" i="1"/>
  <c r="BN337" i="1"/>
  <c r="BM337" i="1"/>
  <c r="BL338" i="1"/>
  <c r="BM153" i="1"/>
  <c r="BN153" i="1"/>
  <c r="BL154" i="1"/>
  <c r="BO182" i="1"/>
  <c r="CZ182" i="1"/>
  <c r="BN62" i="1"/>
  <c r="BM62" i="1"/>
  <c r="BL63" i="1"/>
  <c r="BM308" i="1"/>
  <c r="BN308" i="1"/>
  <c r="BL309" i="1"/>
  <c r="P285" i="1"/>
  <c r="BO90" i="1"/>
  <c r="CZ90" i="1"/>
  <c r="BM276" i="1"/>
  <c r="BN276" i="1"/>
  <c r="BN34" i="1"/>
  <c r="BL35" i="1"/>
  <c r="BM34" i="1"/>
  <c r="BM247" i="1"/>
  <c r="BN247" i="1"/>
  <c r="BL248" i="1"/>
  <c r="BO33" i="1"/>
  <c r="CZ33" i="1"/>
  <c r="BM274" i="1"/>
  <c r="BN274" i="1"/>
  <c r="BL277" i="1"/>
  <c r="BL278" i="1"/>
  <c r="BL92" i="1"/>
  <c r="BM91" i="1"/>
  <c r="BN91" i="1"/>
  <c r="BO212" i="1"/>
  <c r="CZ212" i="1"/>
  <c r="BN275" i="1"/>
  <c r="BM275" i="1"/>
  <c r="BL214" i="1"/>
  <c r="BN213" i="1"/>
  <c r="BM213" i="1"/>
  <c r="BO308" i="1"/>
  <c r="CZ308" i="1"/>
  <c r="BO337" i="1"/>
  <c r="CZ337" i="1"/>
  <c r="BO183" i="1"/>
  <c r="CZ183" i="1"/>
  <c r="BM63" i="1"/>
  <c r="BN63" i="1"/>
  <c r="BL64" i="1"/>
  <c r="BO153" i="1"/>
  <c r="CZ153" i="1"/>
  <c r="BN124" i="1"/>
  <c r="BM124" i="1"/>
  <c r="BL125" i="1"/>
  <c r="BN309" i="1"/>
  <c r="BM309" i="1"/>
  <c r="BL310" i="1"/>
  <c r="BO62" i="1"/>
  <c r="CZ62" i="1"/>
  <c r="BO123" i="1"/>
  <c r="CZ123" i="1"/>
  <c r="BM154" i="1"/>
  <c r="BN154" i="1"/>
  <c r="BL155" i="1"/>
  <c r="BN338" i="1"/>
  <c r="BM338" i="1"/>
  <c r="BL339" i="1"/>
  <c r="BM184" i="1"/>
  <c r="BN184" i="1"/>
  <c r="BL185" i="1"/>
  <c r="BO276" i="1"/>
  <c r="CZ276" i="1"/>
  <c r="BO309" i="1"/>
  <c r="CZ309" i="1"/>
  <c r="BO274" i="1"/>
  <c r="CZ274" i="1"/>
  <c r="BO213" i="1"/>
  <c r="CZ213" i="1"/>
  <c r="BO275" i="1"/>
  <c r="CZ275" i="1"/>
  <c r="BO91" i="1"/>
  <c r="CZ91" i="1"/>
  <c r="BM92" i="1"/>
  <c r="BL93" i="1"/>
  <c r="BN92" i="1"/>
  <c r="BO247" i="1"/>
  <c r="CZ247" i="1"/>
  <c r="BL215" i="1"/>
  <c r="BM214" i="1"/>
  <c r="BN214" i="1"/>
  <c r="BM277" i="1"/>
  <c r="BN277" i="1"/>
  <c r="BO34" i="1"/>
  <c r="CZ34" i="1"/>
  <c r="BN278" i="1"/>
  <c r="BM278" i="1"/>
  <c r="BL279" i="1"/>
  <c r="BN248" i="1"/>
  <c r="BM248" i="1"/>
  <c r="BL249" i="1"/>
  <c r="BN35" i="1"/>
  <c r="BM35" i="1"/>
  <c r="BL36" i="1"/>
  <c r="BO338" i="1"/>
  <c r="CZ338" i="1"/>
  <c r="BO154" i="1"/>
  <c r="CZ154" i="1"/>
  <c r="BO124" i="1"/>
  <c r="CZ124" i="1"/>
  <c r="BN185" i="1"/>
  <c r="BM185" i="1"/>
  <c r="BL186" i="1"/>
  <c r="BM310" i="1"/>
  <c r="BN310" i="1"/>
  <c r="BL311" i="1"/>
  <c r="BO63" i="1"/>
  <c r="CZ63" i="1"/>
  <c r="BO184" i="1"/>
  <c r="CZ184" i="1"/>
  <c r="BM155" i="1"/>
  <c r="BN155" i="1"/>
  <c r="BL156" i="1"/>
  <c r="BM339" i="1"/>
  <c r="BN339" i="1"/>
  <c r="BL340" i="1"/>
  <c r="BN64" i="1"/>
  <c r="BM64" i="1"/>
  <c r="BL65" i="1"/>
  <c r="BN125" i="1"/>
  <c r="BM125" i="1"/>
  <c r="BL126" i="1"/>
  <c r="AA335" i="1"/>
  <c r="AA337" i="1"/>
  <c r="AA339" i="1"/>
  <c r="AA343" i="1"/>
  <c r="AA338" i="1"/>
  <c r="AA340" i="1"/>
  <c r="AA336" i="1"/>
  <c r="AA341" i="1"/>
  <c r="AA342" i="1"/>
  <c r="AA345" i="1"/>
  <c r="AA344" i="1"/>
  <c r="AA334" i="1"/>
  <c r="K299" i="1"/>
  <c r="D302" i="1"/>
  <c r="D303" i="1"/>
  <c r="BO125" i="1"/>
  <c r="CZ125" i="1"/>
  <c r="BO214" i="1"/>
  <c r="CZ214" i="1"/>
  <c r="BO92" i="1"/>
  <c r="CZ92" i="1"/>
  <c r="BO278" i="1"/>
  <c r="CZ278" i="1"/>
  <c r="BN249" i="1"/>
  <c r="BL250" i="1"/>
  <c r="BM249" i="1"/>
  <c r="BO277" i="1"/>
  <c r="CZ277" i="1"/>
  <c r="BM36" i="1"/>
  <c r="BN36" i="1"/>
  <c r="BL37" i="1"/>
  <c r="BO248" i="1"/>
  <c r="CZ248" i="1"/>
  <c r="BO185" i="1"/>
  <c r="CZ185" i="1"/>
  <c r="BO35" i="1"/>
  <c r="CZ35" i="1"/>
  <c r="BM93" i="1"/>
  <c r="BN93" i="1"/>
  <c r="BL94" i="1"/>
  <c r="BN279" i="1"/>
  <c r="BM279" i="1"/>
  <c r="BN215" i="1"/>
  <c r="BM215" i="1"/>
  <c r="BL216" i="1"/>
  <c r="BL280" i="1"/>
  <c r="BO339" i="1"/>
  <c r="CZ339" i="1"/>
  <c r="BO155" i="1"/>
  <c r="CZ155" i="1"/>
  <c r="BM126" i="1"/>
  <c r="BN126" i="1"/>
  <c r="BL127" i="1"/>
  <c r="BO310" i="1"/>
  <c r="CZ310" i="1"/>
  <c r="BM65" i="1"/>
  <c r="BN65" i="1"/>
  <c r="BL66" i="1"/>
  <c r="BN340" i="1"/>
  <c r="BM340" i="1"/>
  <c r="BL341" i="1"/>
  <c r="BN156" i="1"/>
  <c r="BM156" i="1"/>
  <c r="BL157" i="1"/>
  <c r="BO64" i="1"/>
  <c r="CZ64" i="1"/>
  <c r="BN311" i="1"/>
  <c r="BM311" i="1"/>
  <c r="BL312" i="1"/>
  <c r="BM186" i="1"/>
  <c r="BN186" i="1"/>
  <c r="BL187" i="1"/>
  <c r="Y405" i="1"/>
  <c r="AC405" i="1"/>
  <c r="AD405" i="1"/>
  <c r="CN357" i="1"/>
  <c r="CP357" i="1"/>
  <c r="DA357" i="1"/>
  <c r="CN361" i="1"/>
  <c r="CP361" i="1"/>
  <c r="DA361" i="1"/>
  <c r="CN354" i="1"/>
  <c r="CP354" i="1"/>
  <c r="DA354" i="1"/>
  <c r="CN364" i="1"/>
  <c r="CP364" i="1"/>
  <c r="DA364" i="1"/>
  <c r="CN355" i="1"/>
  <c r="CP355" i="1"/>
  <c r="DA355" i="1"/>
  <c r="CN356" i="1"/>
  <c r="CP356" i="1"/>
  <c r="DA356" i="1"/>
  <c r="CN358" i="1"/>
  <c r="CP358" i="1"/>
  <c r="DA358" i="1"/>
  <c r="CN363" i="1"/>
  <c r="CP363" i="1"/>
  <c r="DA363" i="1"/>
  <c r="CN362" i="1"/>
  <c r="CP362" i="1"/>
  <c r="DA362" i="1"/>
  <c r="CN365" i="1"/>
  <c r="CP365" i="1"/>
  <c r="DA365" i="1"/>
  <c r="CN359" i="1"/>
  <c r="CP359" i="1"/>
  <c r="DA359" i="1"/>
  <c r="CN360" i="1"/>
  <c r="CP360" i="1"/>
  <c r="DA360" i="1"/>
  <c r="AE345" i="1"/>
  <c r="Y399" i="1"/>
  <c r="AC399" i="1"/>
  <c r="AD399" i="1"/>
  <c r="CN175" i="1"/>
  <c r="CP175" i="1"/>
  <c r="DA175" i="1"/>
  <c r="CN176" i="1"/>
  <c r="CP176" i="1"/>
  <c r="DA176" i="1"/>
  <c r="CN180" i="1"/>
  <c r="CP180" i="1"/>
  <c r="DA180" i="1"/>
  <c r="CN184" i="1"/>
  <c r="CP184" i="1"/>
  <c r="DA184" i="1"/>
  <c r="CN188" i="1"/>
  <c r="CP188" i="1"/>
  <c r="DA188" i="1"/>
  <c r="CN192" i="1"/>
  <c r="CP192" i="1"/>
  <c r="DA192" i="1"/>
  <c r="CN196" i="1"/>
  <c r="CP196" i="1"/>
  <c r="DA196" i="1"/>
  <c r="CN174" i="1"/>
  <c r="CP174" i="1"/>
  <c r="DA174" i="1"/>
  <c r="CN179" i="1"/>
  <c r="CP179" i="1"/>
  <c r="DA179" i="1"/>
  <c r="CN183" i="1"/>
  <c r="CP183" i="1"/>
  <c r="DA183" i="1"/>
  <c r="CN187" i="1"/>
  <c r="CP187" i="1"/>
  <c r="DA187" i="1"/>
  <c r="CN191" i="1"/>
  <c r="CP191" i="1"/>
  <c r="DA191" i="1"/>
  <c r="CN195" i="1"/>
  <c r="CP195" i="1"/>
  <c r="DA195" i="1"/>
  <c r="CN199" i="1"/>
  <c r="CP199" i="1"/>
  <c r="DA199" i="1"/>
  <c r="CN171" i="1"/>
  <c r="CP171" i="1"/>
  <c r="DA171" i="1"/>
  <c r="CN177" i="1"/>
  <c r="CP177" i="1"/>
  <c r="DA177" i="1"/>
  <c r="CN178" i="1"/>
  <c r="CP178" i="1"/>
  <c r="DA178" i="1"/>
  <c r="CN185" i="1"/>
  <c r="CP185" i="1"/>
  <c r="DA185" i="1"/>
  <c r="CN186" i="1"/>
  <c r="CP186" i="1"/>
  <c r="DA186" i="1"/>
  <c r="CN193" i="1"/>
  <c r="CP193" i="1"/>
  <c r="DA193" i="1"/>
  <c r="CN194" i="1"/>
  <c r="CP194" i="1"/>
  <c r="DA194" i="1"/>
  <c r="CN172" i="1"/>
  <c r="CP172" i="1"/>
  <c r="DA172" i="1"/>
  <c r="CN190" i="1"/>
  <c r="CP190" i="1"/>
  <c r="DA190" i="1"/>
  <c r="CN173" i="1"/>
  <c r="CP173" i="1"/>
  <c r="DA173" i="1"/>
  <c r="CN181" i="1"/>
  <c r="CP181" i="1"/>
  <c r="DA181" i="1"/>
  <c r="CN197" i="1"/>
  <c r="CP197" i="1"/>
  <c r="DA197" i="1"/>
  <c r="CN189" i="1"/>
  <c r="CP189" i="1"/>
  <c r="DA189" i="1"/>
  <c r="CN198" i="1"/>
  <c r="CP198" i="1"/>
  <c r="DA198" i="1"/>
  <c r="CN200" i="1"/>
  <c r="CP200" i="1"/>
  <c r="DA200" i="1"/>
  <c r="CN182" i="1"/>
  <c r="CP182" i="1"/>
  <c r="DA182" i="1"/>
  <c r="AE339" i="1"/>
  <c r="Y402" i="1"/>
  <c r="AC402" i="1"/>
  <c r="AD402" i="1"/>
  <c r="CN263" i="1"/>
  <c r="CP263" i="1"/>
  <c r="DA263" i="1"/>
  <c r="CN264" i="1"/>
  <c r="CP264" i="1"/>
  <c r="DA264" i="1"/>
  <c r="CN269" i="1"/>
  <c r="CP269" i="1"/>
  <c r="DA269" i="1"/>
  <c r="CN273" i="1"/>
  <c r="CP273" i="1"/>
  <c r="DA273" i="1"/>
  <c r="CN277" i="1"/>
  <c r="CP277" i="1"/>
  <c r="DA277" i="1"/>
  <c r="CN281" i="1"/>
  <c r="CP281" i="1"/>
  <c r="DA281" i="1"/>
  <c r="CN285" i="1"/>
  <c r="CP285" i="1"/>
  <c r="DA285" i="1"/>
  <c r="CN289" i="1"/>
  <c r="CP289" i="1"/>
  <c r="DA289" i="1"/>
  <c r="CN272" i="1"/>
  <c r="CP272" i="1"/>
  <c r="DA272" i="1"/>
  <c r="CN274" i="1"/>
  <c r="CP274" i="1"/>
  <c r="DA274" i="1"/>
  <c r="CN275" i="1"/>
  <c r="CP275" i="1"/>
  <c r="DA275" i="1"/>
  <c r="CN288" i="1"/>
  <c r="CP288" i="1"/>
  <c r="DA288" i="1"/>
  <c r="CN290" i="1"/>
  <c r="CP290" i="1"/>
  <c r="DA290" i="1"/>
  <c r="CN291" i="1"/>
  <c r="CP291" i="1"/>
  <c r="DA291" i="1"/>
  <c r="CN268" i="1"/>
  <c r="CP268" i="1"/>
  <c r="DA268" i="1"/>
  <c r="CN270" i="1"/>
  <c r="CP270" i="1"/>
  <c r="DA270" i="1"/>
  <c r="CN271" i="1"/>
  <c r="CP271" i="1"/>
  <c r="DA271" i="1"/>
  <c r="CN284" i="1"/>
  <c r="CP284" i="1"/>
  <c r="DA284" i="1"/>
  <c r="CN286" i="1"/>
  <c r="CP286" i="1"/>
  <c r="DA286" i="1"/>
  <c r="CN287" i="1"/>
  <c r="CP287" i="1"/>
  <c r="DA287" i="1"/>
  <c r="CN292" i="1"/>
  <c r="CP292" i="1"/>
  <c r="DA292" i="1"/>
  <c r="CN265" i="1"/>
  <c r="CP265" i="1"/>
  <c r="DA265" i="1"/>
  <c r="CN267" i="1"/>
  <c r="CP267" i="1"/>
  <c r="DA267" i="1"/>
  <c r="CN282" i="1"/>
  <c r="CP282" i="1"/>
  <c r="DA282" i="1"/>
  <c r="CN279" i="1"/>
  <c r="CP279" i="1"/>
  <c r="DA279" i="1"/>
  <c r="CN266" i="1"/>
  <c r="CP266" i="1"/>
  <c r="DA266" i="1"/>
  <c r="CN276" i="1"/>
  <c r="CP276" i="1"/>
  <c r="DA276" i="1"/>
  <c r="CN278" i="1"/>
  <c r="CP278" i="1"/>
  <c r="DA278" i="1"/>
  <c r="CN283" i="1"/>
  <c r="CP283" i="1"/>
  <c r="DA283" i="1"/>
  <c r="CN280" i="1"/>
  <c r="CP280" i="1"/>
  <c r="DA280" i="1"/>
  <c r="AE342" i="1"/>
  <c r="Y400" i="1"/>
  <c r="AC400" i="1"/>
  <c r="AD400" i="1"/>
  <c r="CN206" i="1"/>
  <c r="CP206" i="1"/>
  <c r="DA206" i="1"/>
  <c r="CN210" i="1"/>
  <c r="CP210" i="1"/>
  <c r="DA210" i="1"/>
  <c r="CN214" i="1"/>
  <c r="CP214" i="1"/>
  <c r="DA214" i="1"/>
  <c r="CN218" i="1"/>
  <c r="CP218" i="1"/>
  <c r="DA218" i="1"/>
  <c r="CN217" i="1"/>
  <c r="CP217" i="1"/>
  <c r="DA217" i="1"/>
  <c r="CN219" i="1"/>
  <c r="CP219" i="1"/>
  <c r="DA219" i="1"/>
  <c r="CN220" i="1"/>
  <c r="CP220" i="1"/>
  <c r="DA220" i="1"/>
  <c r="CN224" i="1"/>
  <c r="CP224" i="1"/>
  <c r="DA224" i="1"/>
  <c r="CN228" i="1"/>
  <c r="CP228" i="1"/>
  <c r="DA228" i="1"/>
  <c r="CN213" i="1"/>
  <c r="CP213" i="1"/>
  <c r="DA213" i="1"/>
  <c r="CN215" i="1"/>
  <c r="CP215" i="1"/>
  <c r="DA215" i="1"/>
  <c r="CN216" i="1"/>
  <c r="CP216" i="1"/>
  <c r="DA216" i="1"/>
  <c r="CN223" i="1"/>
  <c r="CP223" i="1"/>
  <c r="DA223" i="1"/>
  <c r="CN227" i="1"/>
  <c r="CP227" i="1"/>
  <c r="DA227" i="1"/>
  <c r="CN204" i="1"/>
  <c r="CP204" i="1"/>
  <c r="DA204" i="1"/>
  <c r="CN205" i="1"/>
  <c r="CP205" i="1"/>
  <c r="DA205" i="1"/>
  <c r="CN207" i="1"/>
  <c r="CP207" i="1"/>
  <c r="DA207" i="1"/>
  <c r="CN212" i="1"/>
  <c r="CP212" i="1"/>
  <c r="DA212" i="1"/>
  <c r="CN209" i="1"/>
  <c r="CP209" i="1"/>
  <c r="DA209" i="1"/>
  <c r="CN225" i="1"/>
  <c r="CP225" i="1"/>
  <c r="DA225" i="1"/>
  <c r="CN226" i="1"/>
  <c r="CP226" i="1"/>
  <c r="DA226" i="1"/>
  <c r="CN221" i="1"/>
  <c r="CP221" i="1"/>
  <c r="DA221" i="1"/>
  <c r="CN203" i="1"/>
  <c r="CP203" i="1"/>
  <c r="DA203" i="1"/>
  <c r="CN230" i="1"/>
  <c r="CP230" i="1"/>
  <c r="DA230" i="1"/>
  <c r="CN201" i="1"/>
  <c r="CP201" i="1"/>
  <c r="DA201" i="1"/>
  <c r="CN222" i="1"/>
  <c r="CP222" i="1"/>
  <c r="DA222" i="1"/>
  <c r="CN208" i="1"/>
  <c r="CP208" i="1"/>
  <c r="DA208" i="1"/>
  <c r="CN211" i="1"/>
  <c r="CP211" i="1"/>
  <c r="DA211" i="1"/>
  <c r="CN229" i="1"/>
  <c r="CP229" i="1"/>
  <c r="DA229" i="1"/>
  <c r="CN231" i="1"/>
  <c r="CP231" i="1"/>
  <c r="DA231" i="1"/>
  <c r="CN202" i="1"/>
  <c r="CP202" i="1"/>
  <c r="DA202" i="1"/>
  <c r="AE340" i="1"/>
  <c r="Y397" i="1"/>
  <c r="AC397" i="1"/>
  <c r="AD397" i="1"/>
  <c r="CN115" i="1"/>
  <c r="CP115" i="1"/>
  <c r="DA115" i="1"/>
  <c r="CN119" i="1"/>
  <c r="CP119" i="1"/>
  <c r="DA119" i="1"/>
  <c r="CN123" i="1"/>
  <c r="CP123" i="1"/>
  <c r="DA123" i="1"/>
  <c r="CN127" i="1"/>
  <c r="CP127" i="1"/>
  <c r="DA127" i="1"/>
  <c r="CN131" i="1"/>
  <c r="CP131" i="1"/>
  <c r="DA131" i="1"/>
  <c r="CN135" i="1"/>
  <c r="CP135" i="1"/>
  <c r="DA135" i="1"/>
  <c r="CN114" i="1"/>
  <c r="CP114" i="1"/>
  <c r="DA114" i="1"/>
  <c r="CN118" i="1"/>
  <c r="CP118" i="1"/>
  <c r="DA118" i="1"/>
  <c r="CN122" i="1"/>
  <c r="CP122" i="1"/>
  <c r="DA122" i="1"/>
  <c r="CN126" i="1"/>
  <c r="CP126" i="1"/>
  <c r="DA126" i="1"/>
  <c r="CN130" i="1"/>
  <c r="CP130" i="1"/>
  <c r="DA130" i="1"/>
  <c r="CN134" i="1"/>
  <c r="CP134" i="1"/>
  <c r="DA134" i="1"/>
  <c r="CN138" i="1"/>
  <c r="CP138" i="1"/>
  <c r="DA138" i="1"/>
  <c r="CN111" i="1"/>
  <c r="CP111" i="1"/>
  <c r="DA111" i="1"/>
  <c r="CN112" i="1"/>
  <c r="CP112" i="1"/>
  <c r="DA112" i="1"/>
  <c r="CN113" i="1"/>
  <c r="CP113" i="1"/>
  <c r="DA113" i="1"/>
  <c r="CN120" i="1"/>
  <c r="CP120" i="1"/>
  <c r="DA120" i="1"/>
  <c r="CN121" i="1"/>
  <c r="CP121" i="1"/>
  <c r="DA121" i="1"/>
  <c r="CN128" i="1"/>
  <c r="CP128" i="1"/>
  <c r="DA128" i="1"/>
  <c r="CN129" i="1"/>
  <c r="CP129" i="1"/>
  <c r="DA129" i="1"/>
  <c r="CN136" i="1"/>
  <c r="CP136" i="1"/>
  <c r="DA136" i="1"/>
  <c r="CN137" i="1"/>
  <c r="CP137" i="1"/>
  <c r="DA137" i="1"/>
  <c r="CN139" i="1"/>
  <c r="CP139" i="1"/>
  <c r="DA139" i="1"/>
  <c r="CN110" i="1"/>
  <c r="CP110" i="1"/>
  <c r="DA110" i="1"/>
  <c r="CN117" i="1"/>
  <c r="CP117" i="1"/>
  <c r="DA117" i="1"/>
  <c r="CN133" i="1"/>
  <c r="CP133" i="1"/>
  <c r="DA133" i="1"/>
  <c r="CN124" i="1"/>
  <c r="CP124" i="1"/>
  <c r="DA124" i="1"/>
  <c r="CN116" i="1"/>
  <c r="CP116" i="1"/>
  <c r="DA116" i="1"/>
  <c r="CN125" i="1"/>
  <c r="CP125" i="1"/>
  <c r="DA125" i="1"/>
  <c r="CN132" i="1"/>
  <c r="CP132" i="1"/>
  <c r="DA132" i="1"/>
  <c r="AE337" i="1"/>
  <c r="Y394" i="1"/>
  <c r="CN20" i="1"/>
  <c r="CP20" i="1"/>
  <c r="DA20" i="1"/>
  <c r="CN22" i="1"/>
  <c r="CP22" i="1"/>
  <c r="DA22" i="1"/>
  <c r="CN26" i="1"/>
  <c r="CP26" i="1"/>
  <c r="DA26" i="1"/>
  <c r="CN30" i="1"/>
  <c r="CP30" i="1"/>
  <c r="DA30" i="1"/>
  <c r="CN21" i="1"/>
  <c r="CP21" i="1"/>
  <c r="DA21" i="1"/>
  <c r="CN23" i="1"/>
  <c r="CP23" i="1"/>
  <c r="DA23" i="1"/>
  <c r="CN24" i="1"/>
  <c r="CP24" i="1"/>
  <c r="DA24" i="1"/>
  <c r="CN34" i="1"/>
  <c r="CP34" i="1"/>
  <c r="DA34" i="1"/>
  <c r="CN38" i="1"/>
  <c r="CP38" i="1"/>
  <c r="DA38" i="1"/>
  <c r="CN42" i="1"/>
  <c r="CP42" i="1"/>
  <c r="DA42" i="1"/>
  <c r="CN33" i="1"/>
  <c r="CP33" i="1"/>
  <c r="DA33" i="1"/>
  <c r="CN37" i="1"/>
  <c r="CP37" i="1"/>
  <c r="DA37" i="1"/>
  <c r="CN41" i="1"/>
  <c r="CP41" i="1"/>
  <c r="DA41" i="1"/>
  <c r="CN45" i="1"/>
  <c r="CP45" i="1"/>
  <c r="DA45" i="1"/>
  <c r="CN49" i="1"/>
  <c r="CP49" i="1"/>
  <c r="DA49" i="1"/>
  <c r="CN28" i="1"/>
  <c r="CP28" i="1"/>
  <c r="DA28" i="1"/>
  <c r="CN31" i="1"/>
  <c r="CP31" i="1"/>
  <c r="DA31" i="1"/>
  <c r="CN32" i="1"/>
  <c r="CP32" i="1"/>
  <c r="DA32" i="1"/>
  <c r="CN39" i="1"/>
  <c r="CP39" i="1"/>
  <c r="DA39" i="1"/>
  <c r="CN40" i="1"/>
  <c r="CP40" i="1"/>
  <c r="DA40" i="1"/>
  <c r="CN25" i="1"/>
  <c r="CP25" i="1"/>
  <c r="DA25" i="1"/>
  <c r="CN27" i="1"/>
  <c r="CP27" i="1"/>
  <c r="DA27" i="1"/>
  <c r="CN29" i="1"/>
  <c r="CP29" i="1"/>
  <c r="DA29" i="1"/>
  <c r="CN43" i="1"/>
  <c r="CP43" i="1"/>
  <c r="DA43" i="1"/>
  <c r="CN46" i="1"/>
  <c r="CP46" i="1"/>
  <c r="DA46" i="1"/>
  <c r="CN50" i="1"/>
  <c r="CP50" i="1"/>
  <c r="DA50" i="1"/>
  <c r="CN35" i="1"/>
  <c r="CP35" i="1"/>
  <c r="DA35" i="1"/>
  <c r="CN36" i="1"/>
  <c r="CP36" i="1"/>
  <c r="DA36" i="1"/>
  <c r="CN44" i="1"/>
  <c r="CP44" i="1"/>
  <c r="DA44" i="1"/>
  <c r="CN47" i="1"/>
  <c r="CP47" i="1"/>
  <c r="DA47" i="1"/>
  <c r="CN48" i="1"/>
  <c r="CP48" i="1"/>
  <c r="DA48" i="1"/>
  <c r="AA346" i="1"/>
  <c r="AE334" i="1"/>
  <c r="Y401" i="1"/>
  <c r="AC401" i="1"/>
  <c r="AD401" i="1"/>
  <c r="CN234" i="1"/>
  <c r="CP234" i="1"/>
  <c r="DA234" i="1"/>
  <c r="CN239" i="1"/>
  <c r="CP239" i="1"/>
  <c r="DA239" i="1"/>
  <c r="CN243" i="1"/>
  <c r="CP243" i="1"/>
  <c r="DA243" i="1"/>
  <c r="CN232" i="1"/>
  <c r="CP232" i="1"/>
  <c r="DA232" i="1"/>
  <c r="CN233" i="1"/>
  <c r="CP233" i="1"/>
  <c r="DA233" i="1"/>
  <c r="CN238" i="1"/>
  <c r="CP238" i="1"/>
  <c r="DA238" i="1"/>
  <c r="CN242" i="1"/>
  <c r="CP242" i="1"/>
  <c r="DA242" i="1"/>
  <c r="CN246" i="1"/>
  <c r="CP246" i="1"/>
  <c r="DA246" i="1"/>
  <c r="CN250" i="1"/>
  <c r="CP250" i="1"/>
  <c r="DA250" i="1"/>
  <c r="CN254" i="1"/>
  <c r="CP254" i="1"/>
  <c r="DA254" i="1"/>
  <c r="CN258" i="1"/>
  <c r="CP258" i="1"/>
  <c r="DA258" i="1"/>
  <c r="CN235" i="1"/>
  <c r="CP235" i="1"/>
  <c r="DA235" i="1"/>
  <c r="CN245" i="1"/>
  <c r="CP245" i="1"/>
  <c r="DA245" i="1"/>
  <c r="CN247" i="1"/>
  <c r="CP247" i="1"/>
  <c r="DA247" i="1"/>
  <c r="CN248" i="1"/>
  <c r="CP248" i="1"/>
  <c r="DA248" i="1"/>
  <c r="CN261" i="1"/>
  <c r="CP261" i="1"/>
  <c r="DA261" i="1"/>
  <c r="CN236" i="1"/>
  <c r="CP236" i="1"/>
  <c r="DA236" i="1"/>
  <c r="CN237" i="1"/>
  <c r="CP237" i="1"/>
  <c r="DA237" i="1"/>
  <c r="CN244" i="1"/>
  <c r="CP244" i="1"/>
  <c r="DA244" i="1"/>
  <c r="CN257" i="1"/>
  <c r="CP257" i="1"/>
  <c r="DA257" i="1"/>
  <c r="CN259" i="1"/>
  <c r="CP259" i="1"/>
  <c r="DA259" i="1"/>
  <c r="CN260" i="1"/>
  <c r="CP260" i="1"/>
  <c r="DA260" i="1"/>
  <c r="CN240" i="1"/>
  <c r="CP240" i="1"/>
  <c r="DA240" i="1"/>
  <c r="CN249" i="1"/>
  <c r="CP249" i="1"/>
  <c r="DA249" i="1"/>
  <c r="CN251" i="1"/>
  <c r="CP251" i="1"/>
  <c r="DA251" i="1"/>
  <c r="CN256" i="1"/>
  <c r="CP256" i="1"/>
  <c r="DA256" i="1"/>
  <c r="CN241" i="1"/>
  <c r="CP241" i="1"/>
  <c r="DA241" i="1"/>
  <c r="CN253" i="1"/>
  <c r="CP253" i="1"/>
  <c r="DA253" i="1"/>
  <c r="CN262" i="1"/>
  <c r="CP262" i="1"/>
  <c r="DA262" i="1"/>
  <c r="CN255" i="1"/>
  <c r="CP255" i="1"/>
  <c r="DA255" i="1"/>
  <c r="CN252" i="1"/>
  <c r="CP252" i="1"/>
  <c r="DA252" i="1"/>
  <c r="AE341" i="1"/>
  <c r="Y398" i="1"/>
  <c r="AC398" i="1"/>
  <c r="AD398" i="1"/>
  <c r="CN140" i="1"/>
  <c r="CP140" i="1"/>
  <c r="DA140" i="1"/>
  <c r="CN141" i="1"/>
  <c r="CP141" i="1"/>
  <c r="DA141" i="1"/>
  <c r="CN142" i="1"/>
  <c r="CP142" i="1"/>
  <c r="DA142" i="1"/>
  <c r="CN145" i="1"/>
  <c r="CP145" i="1"/>
  <c r="DA145" i="1"/>
  <c r="CN149" i="1"/>
  <c r="CP149" i="1"/>
  <c r="DA149" i="1"/>
  <c r="CN153" i="1"/>
  <c r="CP153" i="1"/>
  <c r="DA153" i="1"/>
  <c r="CN148" i="1"/>
  <c r="CP148" i="1"/>
  <c r="DA148" i="1"/>
  <c r="CN150" i="1"/>
  <c r="CP150" i="1"/>
  <c r="DA150" i="1"/>
  <c r="CN151" i="1"/>
  <c r="CP151" i="1"/>
  <c r="DA151" i="1"/>
  <c r="CN157" i="1"/>
  <c r="CP157" i="1"/>
  <c r="DA157" i="1"/>
  <c r="CN161" i="1"/>
  <c r="CP161" i="1"/>
  <c r="DA161" i="1"/>
  <c r="CN165" i="1"/>
  <c r="CP165" i="1"/>
  <c r="DA165" i="1"/>
  <c r="CN169" i="1"/>
  <c r="CP169" i="1"/>
  <c r="DA169" i="1"/>
  <c r="CN144" i="1"/>
  <c r="CP144" i="1"/>
  <c r="DA144" i="1"/>
  <c r="CN146" i="1"/>
  <c r="CP146" i="1"/>
  <c r="DA146" i="1"/>
  <c r="CN147" i="1"/>
  <c r="CP147" i="1"/>
  <c r="DA147" i="1"/>
  <c r="CN156" i="1"/>
  <c r="CP156" i="1"/>
  <c r="DA156" i="1"/>
  <c r="CN160" i="1"/>
  <c r="CP160" i="1"/>
  <c r="DA160" i="1"/>
  <c r="CN164" i="1"/>
  <c r="CP164" i="1"/>
  <c r="DA164" i="1"/>
  <c r="CN168" i="1"/>
  <c r="CP168" i="1"/>
  <c r="DA168" i="1"/>
  <c r="CN170" i="1"/>
  <c r="CP170" i="1"/>
  <c r="DA170" i="1"/>
  <c r="CN152" i="1"/>
  <c r="CP152" i="1"/>
  <c r="DA152" i="1"/>
  <c r="CN154" i="1"/>
  <c r="CP154" i="1"/>
  <c r="DA154" i="1"/>
  <c r="CN158" i="1"/>
  <c r="CP158" i="1"/>
  <c r="DA158" i="1"/>
  <c r="CN159" i="1"/>
  <c r="CP159" i="1"/>
  <c r="DA159" i="1"/>
  <c r="CN166" i="1"/>
  <c r="CP166" i="1"/>
  <c r="DA166" i="1"/>
  <c r="CN167" i="1"/>
  <c r="CP167" i="1"/>
  <c r="DA167" i="1"/>
  <c r="CN163" i="1"/>
  <c r="CP163" i="1"/>
  <c r="DA163" i="1"/>
  <c r="CN143" i="1"/>
  <c r="CP143" i="1"/>
  <c r="DA143" i="1"/>
  <c r="CN155" i="1"/>
  <c r="CP155" i="1"/>
  <c r="DA155" i="1"/>
  <c r="CN162" i="1"/>
  <c r="CP162" i="1"/>
  <c r="DA162" i="1"/>
  <c r="AE338" i="1"/>
  <c r="Y395" i="1"/>
  <c r="AC395" i="1"/>
  <c r="AD395" i="1"/>
  <c r="CN52" i="1"/>
  <c r="CP52" i="1"/>
  <c r="DA52" i="1"/>
  <c r="CN56" i="1"/>
  <c r="CP56" i="1"/>
  <c r="DA56" i="1"/>
  <c r="CN60" i="1"/>
  <c r="CP60" i="1"/>
  <c r="DA60" i="1"/>
  <c r="CN63" i="1"/>
  <c r="CP63" i="1"/>
  <c r="DA63" i="1"/>
  <c r="CN65" i="1"/>
  <c r="CP65" i="1"/>
  <c r="DA65" i="1"/>
  <c r="CN69" i="1"/>
  <c r="CP69" i="1"/>
  <c r="DA69" i="1"/>
  <c r="CN73" i="1"/>
  <c r="CP73" i="1"/>
  <c r="DA73" i="1"/>
  <c r="CN77" i="1"/>
  <c r="CP77" i="1"/>
  <c r="DA77" i="1"/>
  <c r="CN76" i="1"/>
  <c r="CP76" i="1"/>
  <c r="DA76" i="1"/>
  <c r="CN53" i="1"/>
  <c r="CP53" i="1"/>
  <c r="DA53" i="1"/>
  <c r="CN57" i="1"/>
  <c r="CP57" i="1"/>
  <c r="DA57" i="1"/>
  <c r="CN72" i="1"/>
  <c r="CP72" i="1"/>
  <c r="DA72" i="1"/>
  <c r="CN74" i="1"/>
  <c r="CP74" i="1"/>
  <c r="DA74" i="1"/>
  <c r="CN75" i="1"/>
  <c r="CP75" i="1"/>
  <c r="DA75" i="1"/>
  <c r="CN51" i="1"/>
  <c r="CP51" i="1"/>
  <c r="DA51" i="1"/>
  <c r="CN59" i="1"/>
  <c r="CP59" i="1"/>
  <c r="DA59" i="1"/>
  <c r="CN61" i="1"/>
  <c r="CP61" i="1"/>
  <c r="DA61" i="1"/>
  <c r="CN64" i="1"/>
  <c r="CP64" i="1"/>
  <c r="DA64" i="1"/>
  <c r="CN66" i="1"/>
  <c r="CP66" i="1"/>
  <c r="DA66" i="1"/>
  <c r="CN71" i="1"/>
  <c r="CP71" i="1"/>
  <c r="DA71" i="1"/>
  <c r="CN78" i="1"/>
  <c r="CP78" i="1"/>
  <c r="DA78" i="1"/>
  <c r="CN54" i="1"/>
  <c r="CP54" i="1"/>
  <c r="DA54" i="1"/>
  <c r="CN62" i="1"/>
  <c r="CP62" i="1"/>
  <c r="DA62" i="1"/>
  <c r="CN68" i="1"/>
  <c r="CP68" i="1"/>
  <c r="DA68" i="1"/>
  <c r="CN58" i="1"/>
  <c r="CP58" i="1"/>
  <c r="DA58" i="1"/>
  <c r="CN67" i="1"/>
  <c r="CP67" i="1"/>
  <c r="DA67" i="1"/>
  <c r="CN70" i="1"/>
  <c r="CP70" i="1"/>
  <c r="DA70" i="1"/>
  <c r="CN55" i="1"/>
  <c r="CP55" i="1"/>
  <c r="DA55" i="1"/>
  <c r="AE335" i="1"/>
  <c r="Y404" i="1"/>
  <c r="AC404" i="1"/>
  <c r="AD404" i="1"/>
  <c r="CN327" i="1"/>
  <c r="CP327" i="1"/>
  <c r="DA327" i="1"/>
  <c r="CN331" i="1"/>
  <c r="CP331" i="1"/>
  <c r="DA331" i="1"/>
  <c r="CN335" i="1"/>
  <c r="CP335" i="1"/>
  <c r="DA335" i="1"/>
  <c r="CN339" i="1"/>
  <c r="CP339" i="1"/>
  <c r="DA339" i="1"/>
  <c r="CN343" i="1"/>
  <c r="CP343" i="1"/>
  <c r="DA343" i="1"/>
  <c r="CN347" i="1"/>
  <c r="CP347" i="1"/>
  <c r="DA347" i="1"/>
  <c r="CN351" i="1"/>
  <c r="CP351" i="1"/>
  <c r="DA351" i="1"/>
  <c r="CN353" i="1"/>
  <c r="CP353" i="1"/>
  <c r="DA353" i="1"/>
  <c r="CN326" i="1"/>
  <c r="CP326" i="1"/>
  <c r="DA326" i="1"/>
  <c r="CN328" i="1"/>
  <c r="CP328" i="1"/>
  <c r="DA328" i="1"/>
  <c r="CN329" i="1"/>
  <c r="CP329" i="1"/>
  <c r="DA329" i="1"/>
  <c r="CN342" i="1"/>
  <c r="CP342" i="1"/>
  <c r="DA342" i="1"/>
  <c r="CN344" i="1"/>
  <c r="CP344" i="1"/>
  <c r="DA344" i="1"/>
  <c r="CN345" i="1"/>
  <c r="CP345" i="1"/>
  <c r="DA345" i="1"/>
  <c r="CN338" i="1"/>
  <c r="CP338" i="1"/>
  <c r="DA338" i="1"/>
  <c r="CN340" i="1"/>
  <c r="CP340" i="1"/>
  <c r="DA340" i="1"/>
  <c r="CN341" i="1"/>
  <c r="CP341" i="1"/>
  <c r="DA341" i="1"/>
  <c r="CN333" i="1"/>
  <c r="CP333" i="1"/>
  <c r="DA333" i="1"/>
  <c r="CN350" i="1"/>
  <c r="CP350" i="1"/>
  <c r="DA350" i="1"/>
  <c r="CN334" i="1"/>
  <c r="CP334" i="1"/>
  <c r="DA334" i="1"/>
  <c r="CN346" i="1"/>
  <c r="CP346" i="1"/>
  <c r="DA346" i="1"/>
  <c r="CN324" i="1"/>
  <c r="CP324" i="1"/>
  <c r="DA324" i="1"/>
  <c r="CN325" i="1"/>
  <c r="CP325" i="1"/>
  <c r="DA325" i="1"/>
  <c r="CN330" i="1"/>
  <c r="CP330" i="1"/>
  <c r="DA330" i="1"/>
  <c r="CN332" i="1"/>
  <c r="CP332" i="1"/>
  <c r="DA332" i="1"/>
  <c r="CN337" i="1"/>
  <c r="CP337" i="1"/>
  <c r="DA337" i="1"/>
  <c r="CN352" i="1"/>
  <c r="CP352" i="1"/>
  <c r="DA352" i="1"/>
  <c r="CN349" i="1"/>
  <c r="CP349" i="1"/>
  <c r="DA349" i="1"/>
  <c r="CN336" i="1"/>
  <c r="CP336" i="1"/>
  <c r="DA336" i="1"/>
  <c r="CN348" i="1"/>
  <c r="CP348" i="1"/>
  <c r="DA348" i="1"/>
  <c r="AE344" i="1"/>
  <c r="Y396" i="1"/>
  <c r="AC396" i="1"/>
  <c r="AD396" i="1"/>
  <c r="CN84" i="1"/>
  <c r="CP84" i="1"/>
  <c r="DA84" i="1"/>
  <c r="CN83" i="1"/>
  <c r="CP83" i="1"/>
  <c r="DA83" i="1"/>
  <c r="CN85" i="1"/>
  <c r="CP85" i="1"/>
  <c r="DA85" i="1"/>
  <c r="CN88" i="1"/>
  <c r="CP88" i="1"/>
  <c r="DA88" i="1"/>
  <c r="CN92" i="1"/>
  <c r="CP92" i="1"/>
  <c r="DA92" i="1"/>
  <c r="CN96" i="1"/>
  <c r="CP96" i="1"/>
  <c r="DA96" i="1"/>
  <c r="CN100" i="1"/>
  <c r="CP100" i="1"/>
  <c r="DA100" i="1"/>
  <c r="CN104" i="1"/>
  <c r="CP104" i="1"/>
  <c r="DA104" i="1"/>
  <c r="CN108" i="1"/>
  <c r="CP108" i="1"/>
  <c r="DA108" i="1"/>
  <c r="CN79" i="1"/>
  <c r="CP79" i="1"/>
  <c r="DA79" i="1"/>
  <c r="CN80" i="1"/>
  <c r="CP80" i="1"/>
  <c r="DA80" i="1"/>
  <c r="CN81" i="1"/>
  <c r="CP81" i="1"/>
  <c r="DA81" i="1"/>
  <c r="CN82" i="1"/>
  <c r="CP82" i="1"/>
  <c r="DA82" i="1"/>
  <c r="CN87" i="1"/>
  <c r="CP87" i="1"/>
  <c r="DA87" i="1"/>
  <c r="CN91" i="1"/>
  <c r="CP91" i="1"/>
  <c r="DA91" i="1"/>
  <c r="CN95" i="1"/>
  <c r="CP95" i="1"/>
  <c r="DA95" i="1"/>
  <c r="CN99" i="1"/>
  <c r="CP99" i="1"/>
  <c r="DA99" i="1"/>
  <c r="CN103" i="1"/>
  <c r="CP103" i="1"/>
  <c r="DA103" i="1"/>
  <c r="CN107" i="1"/>
  <c r="CP107" i="1"/>
  <c r="DA107" i="1"/>
  <c r="CN109" i="1"/>
  <c r="CP109" i="1"/>
  <c r="DA109" i="1"/>
  <c r="CN86" i="1"/>
  <c r="CP86" i="1"/>
  <c r="DA86" i="1"/>
  <c r="CN93" i="1"/>
  <c r="CP93" i="1"/>
  <c r="DA93" i="1"/>
  <c r="CN94" i="1"/>
  <c r="CP94" i="1"/>
  <c r="DA94" i="1"/>
  <c r="CN101" i="1"/>
  <c r="CP101" i="1"/>
  <c r="DA101" i="1"/>
  <c r="CN102" i="1"/>
  <c r="CP102" i="1"/>
  <c r="DA102" i="1"/>
  <c r="CN97" i="1"/>
  <c r="CP97" i="1"/>
  <c r="DA97" i="1"/>
  <c r="CN98" i="1"/>
  <c r="CP98" i="1"/>
  <c r="DA98" i="1"/>
  <c r="CN105" i="1"/>
  <c r="CP105" i="1"/>
  <c r="DA105" i="1"/>
  <c r="CN106" i="1"/>
  <c r="CP106" i="1"/>
  <c r="DA106" i="1"/>
  <c r="CN90" i="1"/>
  <c r="CP90" i="1"/>
  <c r="DA90" i="1"/>
  <c r="CN89" i="1"/>
  <c r="CP89" i="1"/>
  <c r="DA89" i="1"/>
  <c r="AE336" i="1"/>
  <c r="Y403" i="1"/>
  <c r="AC403" i="1"/>
  <c r="AD403" i="1"/>
  <c r="CN296" i="1"/>
  <c r="CP296" i="1"/>
  <c r="DA296" i="1"/>
  <c r="CN300" i="1"/>
  <c r="CP300" i="1"/>
  <c r="DA300" i="1"/>
  <c r="CN304" i="1"/>
  <c r="CP304" i="1"/>
  <c r="DA304" i="1"/>
  <c r="CN308" i="1"/>
  <c r="CP308" i="1"/>
  <c r="DA308" i="1"/>
  <c r="CN312" i="1"/>
  <c r="CP312" i="1"/>
  <c r="DA312" i="1"/>
  <c r="CN316" i="1"/>
  <c r="CP316" i="1"/>
  <c r="DA316" i="1"/>
  <c r="CN320" i="1"/>
  <c r="CP320" i="1"/>
  <c r="DA320" i="1"/>
  <c r="CN294" i="1"/>
  <c r="CP294" i="1"/>
  <c r="DA294" i="1"/>
  <c r="CN299" i="1"/>
  <c r="CP299" i="1"/>
  <c r="DA299" i="1"/>
  <c r="CN301" i="1"/>
  <c r="CP301" i="1"/>
  <c r="DA301" i="1"/>
  <c r="CN302" i="1"/>
  <c r="CP302" i="1"/>
  <c r="DA302" i="1"/>
  <c r="CN315" i="1"/>
  <c r="CP315" i="1"/>
  <c r="DA315" i="1"/>
  <c r="CN317" i="1"/>
  <c r="CP317" i="1"/>
  <c r="DA317" i="1"/>
  <c r="CN318" i="1"/>
  <c r="CP318" i="1"/>
  <c r="DA318" i="1"/>
  <c r="CN323" i="1"/>
  <c r="CP323" i="1"/>
  <c r="DA323" i="1"/>
  <c r="CN295" i="1"/>
  <c r="CP295" i="1"/>
  <c r="DA295" i="1"/>
  <c r="CN297" i="1"/>
  <c r="CP297" i="1"/>
  <c r="DA297" i="1"/>
  <c r="CN298" i="1"/>
  <c r="CP298" i="1"/>
  <c r="DA298" i="1"/>
  <c r="CN311" i="1"/>
  <c r="CP311" i="1"/>
  <c r="DA311" i="1"/>
  <c r="CN313" i="1"/>
  <c r="CP313" i="1"/>
  <c r="DA313" i="1"/>
  <c r="CN314" i="1"/>
  <c r="CP314" i="1"/>
  <c r="DA314" i="1"/>
  <c r="CN306" i="1"/>
  <c r="CP306" i="1"/>
  <c r="DA306" i="1"/>
  <c r="CN307" i="1"/>
  <c r="CP307" i="1"/>
  <c r="DA307" i="1"/>
  <c r="CN293" i="1"/>
  <c r="CP293" i="1"/>
  <c r="DA293" i="1"/>
  <c r="CN319" i="1"/>
  <c r="CP319" i="1"/>
  <c r="DA319" i="1"/>
  <c r="CN303" i="1"/>
  <c r="CP303" i="1"/>
  <c r="DA303" i="1"/>
  <c r="CN305" i="1"/>
  <c r="CP305" i="1"/>
  <c r="DA305" i="1"/>
  <c r="CN310" i="1"/>
  <c r="CP310" i="1"/>
  <c r="DA310" i="1"/>
  <c r="CN322" i="1"/>
  <c r="CP322" i="1"/>
  <c r="DA322" i="1"/>
  <c r="CN309" i="1"/>
  <c r="CP309" i="1"/>
  <c r="DA309" i="1"/>
  <c r="CN321" i="1"/>
  <c r="CP321" i="1"/>
  <c r="DA321" i="1"/>
  <c r="AE343" i="1"/>
  <c r="BO186" i="1"/>
  <c r="CZ186" i="1"/>
  <c r="BO156" i="1"/>
  <c r="CZ156" i="1"/>
  <c r="DB156" i="1"/>
  <c r="BM280" i="1"/>
  <c r="BN280" i="1"/>
  <c r="BL281" i="1"/>
  <c r="BL217" i="1"/>
  <c r="BN216" i="1"/>
  <c r="BM216" i="1"/>
  <c r="BO279" i="1"/>
  <c r="CZ279" i="1"/>
  <c r="DB279" i="1"/>
  <c r="BO93" i="1"/>
  <c r="CZ93" i="1"/>
  <c r="DB93" i="1"/>
  <c r="BN37" i="1"/>
  <c r="BM37" i="1"/>
  <c r="BL38" i="1"/>
  <c r="BO249" i="1"/>
  <c r="CZ249" i="1"/>
  <c r="DB249" i="1"/>
  <c r="BO215" i="1"/>
  <c r="CZ215" i="1"/>
  <c r="BL251" i="1"/>
  <c r="BN250" i="1"/>
  <c r="BM250" i="1"/>
  <c r="BM94" i="1"/>
  <c r="BL95" i="1"/>
  <c r="BN94" i="1"/>
  <c r="BO36" i="1"/>
  <c r="CZ36" i="1"/>
  <c r="DB36" i="1"/>
  <c r="BO65" i="1"/>
  <c r="CZ65" i="1"/>
  <c r="DB65" i="1"/>
  <c r="BO126" i="1"/>
  <c r="CZ126" i="1"/>
  <c r="DB126" i="1"/>
  <c r="BM66" i="1"/>
  <c r="BN66" i="1"/>
  <c r="BL67" i="1"/>
  <c r="BN127" i="1"/>
  <c r="BM127" i="1"/>
  <c r="BL128" i="1"/>
  <c r="BN187" i="1"/>
  <c r="BM187" i="1"/>
  <c r="BL188" i="1"/>
  <c r="BM312" i="1"/>
  <c r="BN312" i="1"/>
  <c r="BL313" i="1"/>
  <c r="BN341" i="1"/>
  <c r="BM341" i="1"/>
  <c r="BL342" i="1"/>
  <c r="BO311" i="1"/>
  <c r="CZ311" i="1"/>
  <c r="DB311" i="1"/>
  <c r="BM157" i="1"/>
  <c r="BN157" i="1"/>
  <c r="BL158" i="1"/>
  <c r="BO340" i="1"/>
  <c r="CZ340" i="1"/>
  <c r="DB310" i="1"/>
  <c r="DB308" i="1"/>
  <c r="DB86" i="1"/>
  <c r="DB84" i="1"/>
  <c r="DB332" i="1"/>
  <c r="DB326" i="1"/>
  <c r="DB327" i="1"/>
  <c r="DB64" i="1"/>
  <c r="DB154" i="1"/>
  <c r="DB146" i="1"/>
  <c r="DB148" i="1"/>
  <c r="DB142" i="1"/>
  <c r="DB235" i="1"/>
  <c r="DB246" i="1"/>
  <c r="DB232" i="1"/>
  <c r="DB27" i="1"/>
  <c r="DB23" i="1"/>
  <c r="DB110" i="1"/>
  <c r="DB113" i="1"/>
  <c r="DB118" i="1"/>
  <c r="DB201" i="1"/>
  <c r="DB207" i="1"/>
  <c r="DB206" i="1"/>
  <c r="DB271" i="1"/>
  <c r="DB272" i="1"/>
  <c r="DB263" i="1"/>
  <c r="DB181" i="1"/>
  <c r="DB178" i="1"/>
  <c r="DB179" i="1"/>
  <c r="DB175" i="1"/>
  <c r="DB359" i="1"/>
  <c r="DB354" i="1"/>
  <c r="DB305" i="1"/>
  <c r="DB307" i="1"/>
  <c r="DB302" i="1"/>
  <c r="DB304" i="1"/>
  <c r="DB81" i="1"/>
  <c r="DB88" i="1"/>
  <c r="DB330" i="1"/>
  <c r="DB334" i="1"/>
  <c r="DB340" i="1"/>
  <c r="DB155" i="1"/>
  <c r="DB152" i="1"/>
  <c r="DB144" i="1"/>
  <c r="DB153" i="1"/>
  <c r="DB240" i="1"/>
  <c r="DB248" i="1"/>
  <c r="DB242" i="1"/>
  <c r="AE346" i="1"/>
  <c r="DB31" i="1"/>
  <c r="DB20" i="1"/>
  <c r="DF20" i="1"/>
  <c r="DB124" i="1"/>
  <c r="DB123" i="1"/>
  <c r="DB205" i="1"/>
  <c r="DB270" i="1"/>
  <c r="DB173" i="1"/>
  <c r="DB177" i="1"/>
  <c r="DB174" i="1"/>
  <c r="DB184" i="1"/>
  <c r="DB365" i="1"/>
  <c r="DB356" i="1"/>
  <c r="DB361" i="1"/>
  <c r="DB309" i="1"/>
  <c r="DB303" i="1"/>
  <c r="DB306" i="1"/>
  <c r="DB298" i="1"/>
  <c r="DB301" i="1"/>
  <c r="DB300" i="1"/>
  <c r="DB89" i="1"/>
  <c r="DB91" i="1"/>
  <c r="DB80" i="1"/>
  <c r="DB85" i="1"/>
  <c r="DB325" i="1"/>
  <c r="DB338" i="1"/>
  <c r="DB329" i="1"/>
  <c r="DB335" i="1"/>
  <c r="DB55" i="1"/>
  <c r="DB59" i="1"/>
  <c r="DB63" i="1"/>
  <c r="DB143" i="1"/>
  <c r="DB151" i="1"/>
  <c r="DB149" i="1"/>
  <c r="DB140" i="1"/>
  <c r="DB237" i="1"/>
  <c r="DB247" i="1"/>
  <c r="DB238" i="1"/>
  <c r="DB239" i="1"/>
  <c r="DB28" i="1"/>
  <c r="DB34" i="1"/>
  <c r="DB30" i="1"/>
  <c r="Y406" i="1"/>
  <c r="AC394" i="1"/>
  <c r="DB121" i="1"/>
  <c r="DB111" i="1"/>
  <c r="DB119" i="1"/>
  <c r="DB202" i="1"/>
  <c r="DB208" i="1"/>
  <c r="DB203" i="1"/>
  <c r="DB209" i="1"/>
  <c r="DB204" i="1"/>
  <c r="DB215" i="1"/>
  <c r="DB214" i="1"/>
  <c r="DB276" i="1"/>
  <c r="DB267" i="1"/>
  <c r="DB268" i="1"/>
  <c r="DB275" i="1"/>
  <c r="DB269" i="1"/>
  <c r="AQ346" i="1"/>
  <c r="D345" i="1"/>
  <c r="DB186" i="1"/>
  <c r="DB171" i="1"/>
  <c r="DB180" i="1"/>
  <c r="DB362" i="1"/>
  <c r="DB355" i="1"/>
  <c r="DB357" i="1"/>
  <c r="DB293" i="1"/>
  <c r="DB295" i="1"/>
  <c r="DB294" i="1"/>
  <c r="DB82" i="1"/>
  <c r="DB92" i="1"/>
  <c r="DB336" i="1"/>
  <c r="DB54" i="1"/>
  <c r="DB53" i="1"/>
  <c r="DB56" i="1"/>
  <c r="DB32" i="1"/>
  <c r="DB22" i="1"/>
  <c r="DB116" i="1"/>
  <c r="DB277" i="1"/>
  <c r="DB358" i="1"/>
  <c r="DB339" i="1"/>
  <c r="DB58" i="1"/>
  <c r="DB61" i="1"/>
  <c r="DB52" i="1"/>
  <c r="DB141" i="1"/>
  <c r="DB241" i="1"/>
  <c r="DB244" i="1"/>
  <c r="DB243" i="1"/>
  <c r="DB25" i="1"/>
  <c r="DB21" i="1"/>
  <c r="DB112" i="1"/>
  <c r="DB114" i="1"/>
  <c r="DB211" i="1"/>
  <c r="DB278" i="1"/>
  <c r="DB273" i="1"/>
  <c r="DB297" i="1"/>
  <c r="DB299" i="1"/>
  <c r="DB296" i="1"/>
  <c r="DB90" i="1"/>
  <c r="DB87" i="1"/>
  <c r="DB79" i="1"/>
  <c r="DB83" i="1"/>
  <c r="DB337" i="1"/>
  <c r="DB324" i="1"/>
  <c r="DB333" i="1"/>
  <c r="DB328" i="1"/>
  <c r="DB331" i="1"/>
  <c r="DB62" i="1"/>
  <c r="DB51" i="1"/>
  <c r="DB57" i="1"/>
  <c r="DB60" i="1"/>
  <c r="DB147" i="1"/>
  <c r="DB150" i="1"/>
  <c r="DB145" i="1"/>
  <c r="DB236" i="1"/>
  <c r="DB245" i="1"/>
  <c r="DB233" i="1"/>
  <c r="DB234" i="1"/>
  <c r="DB35" i="1"/>
  <c r="DB29" i="1"/>
  <c r="DB33" i="1"/>
  <c r="DB24" i="1"/>
  <c r="DB26" i="1"/>
  <c r="DB125" i="1"/>
  <c r="DB117" i="1"/>
  <c r="DB120" i="1"/>
  <c r="DB122" i="1"/>
  <c r="DB115" i="1"/>
  <c r="DB221" i="1"/>
  <c r="DB212" i="1"/>
  <c r="DB213" i="1"/>
  <c r="DB210" i="1"/>
  <c r="DB266" i="1"/>
  <c r="DB265" i="1"/>
  <c r="DB274" i="1"/>
  <c r="DB264" i="1"/>
  <c r="DB182" i="1"/>
  <c r="DB172" i="1"/>
  <c r="DB185" i="1"/>
  <c r="DB183" i="1"/>
  <c r="DB176" i="1"/>
  <c r="DB360" i="1"/>
  <c r="DB363" i="1"/>
  <c r="DB364" i="1"/>
  <c r="BO216" i="1"/>
  <c r="CZ216" i="1"/>
  <c r="DB216" i="1"/>
  <c r="BO37" i="1"/>
  <c r="CZ37" i="1"/>
  <c r="DB37" i="1"/>
  <c r="BO187" i="1"/>
  <c r="CZ187" i="1"/>
  <c r="DB187" i="1"/>
  <c r="BL39" i="1"/>
  <c r="BM38" i="1"/>
  <c r="BN38" i="1"/>
  <c r="BN281" i="1"/>
  <c r="BM281" i="1"/>
  <c r="BM95" i="1"/>
  <c r="BN95" i="1"/>
  <c r="BL96" i="1"/>
  <c r="BM251" i="1"/>
  <c r="BN251" i="1"/>
  <c r="BL252" i="1"/>
  <c r="BL282" i="1"/>
  <c r="BL283" i="1"/>
  <c r="BO94" i="1"/>
  <c r="CZ94" i="1"/>
  <c r="DB94" i="1"/>
  <c r="BO250" i="1"/>
  <c r="CZ250" i="1"/>
  <c r="DB250" i="1"/>
  <c r="BL218" i="1"/>
  <c r="BM217" i="1"/>
  <c r="BN217" i="1"/>
  <c r="BO280" i="1"/>
  <c r="CZ280" i="1"/>
  <c r="DB280" i="1"/>
  <c r="BO127" i="1"/>
  <c r="CZ127" i="1"/>
  <c r="DB127" i="1"/>
  <c r="BO312" i="1"/>
  <c r="CZ312" i="1"/>
  <c r="DB312" i="1"/>
  <c r="BO66" i="1"/>
  <c r="CZ66" i="1"/>
  <c r="DB66" i="1"/>
  <c r="BM188" i="1"/>
  <c r="BN188" i="1"/>
  <c r="BL189" i="1"/>
  <c r="BN313" i="1"/>
  <c r="BM313" i="1"/>
  <c r="BL314" i="1"/>
  <c r="BM67" i="1"/>
  <c r="BN67" i="1"/>
  <c r="BL68" i="1"/>
  <c r="BO157" i="1"/>
  <c r="CZ157" i="1"/>
  <c r="DB157" i="1"/>
  <c r="BN342" i="1"/>
  <c r="BM342" i="1"/>
  <c r="BL343" i="1"/>
  <c r="BM158" i="1"/>
  <c r="BN158" i="1"/>
  <c r="BL159" i="1"/>
  <c r="BO341" i="1"/>
  <c r="CZ341" i="1"/>
  <c r="DB341" i="1"/>
  <c r="BN128" i="1"/>
  <c r="BM128" i="1"/>
  <c r="BL129" i="1"/>
  <c r="DE20" i="1"/>
  <c r="DD20" i="1"/>
  <c r="DD21" i="1"/>
  <c r="DD22" i="1"/>
  <c r="DD23" i="1"/>
  <c r="DD24" i="1"/>
  <c r="DD25" i="1"/>
  <c r="DD26" i="1"/>
  <c r="DD27" i="1"/>
  <c r="DD28" i="1"/>
  <c r="DD29" i="1"/>
  <c r="DD30" i="1"/>
  <c r="DD31" i="1"/>
  <c r="DD32" i="1"/>
  <c r="DD33" i="1"/>
  <c r="DD34" i="1"/>
  <c r="DD35" i="1"/>
  <c r="DD36" i="1"/>
  <c r="DD37" i="1"/>
  <c r="DC20" i="1"/>
  <c r="DC21" i="1"/>
  <c r="DC22" i="1"/>
  <c r="DC23" i="1"/>
  <c r="DC24" i="1"/>
  <c r="DC25" i="1"/>
  <c r="DC26" i="1"/>
  <c r="DC27" i="1"/>
  <c r="DC28" i="1"/>
  <c r="DC29" i="1"/>
  <c r="DC30" i="1"/>
  <c r="DC31" i="1"/>
  <c r="DC32" i="1"/>
  <c r="DC33" i="1"/>
  <c r="DC34" i="1"/>
  <c r="DC35" i="1"/>
  <c r="DC36" i="1"/>
  <c r="AU346" i="1"/>
  <c r="AD394" i="1"/>
  <c r="AD406" i="1"/>
  <c r="AD408" i="1"/>
  <c r="AK399" i="1"/>
  <c r="AC406" i="1"/>
  <c r="DC37" i="1"/>
  <c r="BO217" i="1"/>
  <c r="CZ217" i="1"/>
  <c r="DB217" i="1"/>
  <c r="BO281" i="1"/>
  <c r="CZ281" i="1"/>
  <c r="DB281" i="1"/>
  <c r="BO251" i="1"/>
  <c r="CZ251" i="1"/>
  <c r="DB251" i="1"/>
  <c r="BM283" i="1"/>
  <c r="BN283" i="1"/>
  <c r="BO128" i="1"/>
  <c r="CZ128" i="1"/>
  <c r="DB128" i="1"/>
  <c r="BO95" i="1"/>
  <c r="CZ95" i="1"/>
  <c r="DB95" i="1"/>
  <c r="BO38" i="1"/>
  <c r="CZ38" i="1"/>
  <c r="DB38" i="1"/>
  <c r="BN282" i="1"/>
  <c r="BM282" i="1"/>
  <c r="BO282" i="1"/>
  <c r="CZ282" i="1"/>
  <c r="DB282" i="1"/>
  <c r="BL284" i="1"/>
  <c r="BN96" i="1"/>
  <c r="BM96" i="1"/>
  <c r="BL97" i="1"/>
  <c r="BM39" i="1"/>
  <c r="BL40" i="1"/>
  <c r="BN39" i="1"/>
  <c r="BN218" i="1"/>
  <c r="BL219" i="1"/>
  <c r="BM218" i="1"/>
  <c r="BN252" i="1"/>
  <c r="BM252" i="1"/>
  <c r="BO252" i="1"/>
  <c r="CZ252" i="1"/>
  <c r="DB252" i="1"/>
  <c r="BL253" i="1"/>
  <c r="BO67" i="1"/>
  <c r="CZ67" i="1"/>
  <c r="DB67" i="1"/>
  <c r="BO188" i="1"/>
  <c r="CZ188" i="1"/>
  <c r="DB188" i="1"/>
  <c r="BO342" i="1"/>
  <c r="CZ342" i="1"/>
  <c r="DB342" i="1"/>
  <c r="BN129" i="1"/>
  <c r="BM129" i="1"/>
  <c r="BL130" i="1"/>
  <c r="BO158" i="1"/>
  <c r="CZ158" i="1"/>
  <c r="DB158" i="1"/>
  <c r="BM314" i="1"/>
  <c r="BN314" i="1"/>
  <c r="BL315" i="1"/>
  <c r="BN189" i="1"/>
  <c r="BM189" i="1"/>
  <c r="BL190" i="1"/>
  <c r="BM159" i="1"/>
  <c r="BN159" i="1"/>
  <c r="BL160" i="1"/>
  <c r="BM68" i="1"/>
  <c r="BN68" i="1"/>
  <c r="BL69" i="1"/>
  <c r="BO313" i="1"/>
  <c r="CZ313" i="1"/>
  <c r="DB313" i="1"/>
  <c r="BM343" i="1"/>
  <c r="BN343" i="1"/>
  <c r="BL344" i="1"/>
  <c r="DE21" i="1"/>
  <c r="DF21" i="1"/>
  <c r="DC38" i="1"/>
  <c r="BO39" i="1"/>
  <c r="CZ39" i="1"/>
  <c r="DB39" i="1"/>
  <c r="BO218" i="1"/>
  <c r="CZ218" i="1"/>
  <c r="DB218" i="1"/>
  <c r="BO129" i="1"/>
  <c r="CZ129" i="1"/>
  <c r="DB129" i="1"/>
  <c r="BL41" i="1"/>
  <c r="BM40" i="1"/>
  <c r="BN40" i="1"/>
  <c r="DD38" i="1"/>
  <c r="BM253" i="1"/>
  <c r="BN253" i="1"/>
  <c r="BL254" i="1"/>
  <c r="BN219" i="1"/>
  <c r="BM219" i="1"/>
  <c r="BL220" i="1"/>
  <c r="BN284" i="1"/>
  <c r="BM284" i="1"/>
  <c r="BL285" i="1"/>
  <c r="BL98" i="1"/>
  <c r="BM97" i="1"/>
  <c r="BN97" i="1"/>
  <c r="BO96" i="1"/>
  <c r="CZ96" i="1"/>
  <c r="DB96" i="1"/>
  <c r="BO283" i="1"/>
  <c r="CZ283" i="1"/>
  <c r="DB283" i="1"/>
  <c r="BO314" i="1"/>
  <c r="CZ314" i="1"/>
  <c r="DB314" i="1"/>
  <c r="BM130" i="1"/>
  <c r="BN130" i="1"/>
  <c r="BL131" i="1"/>
  <c r="BO343" i="1"/>
  <c r="CZ343" i="1"/>
  <c r="DB343" i="1"/>
  <c r="BO68" i="1"/>
  <c r="CZ68" i="1"/>
  <c r="DB68" i="1"/>
  <c r="BO159" i="1"/>
  <c r="CZ159" i="1"/>
  <c r="DB159" i="1"/>
  <c r="BN315" i="1"/>
  <c r="BM315" i="1"/>
  <c r="BL316" i="1"/>
  <c r="BM190" i="1"/>
  <c r="BN190" i="1"/>
  <c r="BL191" i="1"/>
  <c r="BN344" i="1"/>
  <c r="BM344" i="1"/>
  <c r="BO344" i="1"/>
  <c r="CZ344" i="1"/>
  <c r="DB344" i="1"/>
  <c r="BL345" i="1"/>
  <c r="BM69" i="1"/>
  <c r="BN69" i="1"/>
  <c r="BL70" i="1"/>
  <c r="BN160" i="1"/>
  <c r="BM160" i="1"/>
  <c r="BL161" i="1"/>
  <c r="BO189" i="1"/>
  <c r="CZ189" i="1"/>
  <c r="DB189" i="1"/>
  <c r="DE22" i="1"/>
  <c r="DF22" i="1"/>
  <c r="DC39" i="1"/>
  <c r="DD39" i="1"/>
  <c r="BO219" i="1"/>
  <c r="CZ219" i="1"/>
  <c r="DB219" i="1"/>
  <c r="BO253" i="1"/>
  <c r="CZ253" i="1"/>
  <c r="DB253" i="1"/>
  <c r="BO284" i="1"/>
  <c r="CZ284" i="1"/>
  <c r="DB284" i="1"/>
  <c r="BO160" i="1"/>
  <c r="CZ160" i="1"/>
  <c r="DB160" i="1"/>
  <c r="BO315" i="1"/>
  <c r="CZ315" i="1"/>
  <c r="DB315" i="1"/>
  <c r="BO97" i="1"/>
  <c r="CZ97" i="1"/>
  <c r="DB97" i="1"/>
  <c r="BM254" i="1"/>
  <c r="BL255" i="1"/>
  <c r="BN254" i="1"/>
  <c r="BM98" i="1"/>
  <c r="BL99" i="1"/>
  <c r="BN98" i="1"/>
  <c r="BN220" i="1"/>
  <c r="BL222" i="1"/>
  <c r="BM220" i="1"/>
  <c r="BO40" i="1"/>
  <c r="CZ40" i="1"/>
  <c r="DB40" i="1"/>
  <c r="BN285" i="1"/>
  <c r="BL286" i="1"/>
  <c r="BM285" i="1"/>
  <c r="BN41" i="1"/>
  <c r="BM41" i="1"/>
  <c r="BL42" i="1"/>
  <c r="BM70" i="1"/>
  <c r="BN70" i="1"/>
  <c r="BL71" i="1"/>
  <c r="BN345" i="1"/>
  <c r="BM345" i="1"/>
  <c r="BL346" i="1"/>
  <c r="BN131" i="1"/>
  <c r="BM131" i="1"/>
  <c r="BL132" i="1"/>
  <c r="BM161" i="1"/>
  <c r="BN161" i="1"/>
  <c r="BL162" i="1"/>
  <c r="BN191" i="1"/>
  <c r="BM191" i="1"/>
  <c r="BL192" i="1"/>
  <c r="BM316" i="1"/>
  <c r="BN316" i="1"/>
  <c r="BL317" i="1"/>
  <c r="BO69" i="1"/>
  <c r="CZ69" i="1"/>
  <c r="DB69" i="1"/>
  <c r="BO130" i="1"/>
  <c r="CZ130" i="1"/>
  <c r="DB130" i="1"/>
  <c r="BO190" i="1"/>
  <c r="CZ190" i="1"/>
  <c r="DB190" i="1"/>
  <c r="DE23" i="1"/>
  <c r="DF23" i="1"/>
  <c r="BO285" i="1"/>
  <c r="CZ285" i="1"/>
  <c r="DB285" i="1"/>
  <c r="BO220" i="1"/>
  <c r="CZ220" i="1"/>
  <c r="DB220" i="1"/>
  <c r="BM99" i="1"/>
  <c r="BN99" i="1"/>
  <c r="BL100" i="1"/>
  <c r="BO254" i="1"/>
  <c r="CZ254" i="1"/>
  <c r="DB254" i="1"/>
  <c r="BM42" i="1"/>
  <c r="BL43" i="1"/>
  <c r="BN42" i="1"/>
  <c r="BN286" i="1"/>
  <c r="BM286" i="1"/>
  <c r="BN222" i="1"/>
  <c r="BL223" i="1"/>
  <c r="BM222" i="1"/>
  <c r="BO98" i="1"/>
  <c r="CZ98" i="1"/>
  <c r="DB98" i="1"/>
  <c r="BO41" i="1"/>
  <c r="CZ41" i="1"/>
  <c r="DB41" i="1"/>
  <c r="DD40" i="1"/>
  <c r="DC40" i="1"/>
  <c r="BM255" i="1"/>
  <c r="BN255" i="1"/>
  <c r="BL256" i="1"/>
  <c r="BL287" i="1"/>
  <c r="BO191" i="1"/>
  <c r="CZ191" i="1"/>
  <c r="DB191" i="1"/>
  <c r="BO345" i="1"/>
  <c r="CZ345" i="1"/>
  <c r="DB345" i="1"/>
  <c r="BO70" i="1"/>
  <c r="CZ70" i="1"/>
  <c r="DB70" i="1"/>
  <c r="BM192" i="1"/>
  <c r="BN192" i="1"/>
  <c r="BO192" i="1"/>
  <c r="CZ192" i="1"/>
  <c r="DB192" i="1"/>
  <c r="BL193" i="1"/>
  <c r="BO161" i="1"/>
  <c r="CZ161" i="1"/>
  <c r="DB161" i="1"/>
  <c r="BO316" i="1"/>
  <c r="CZ316" i="1"/>
  <c r="DB316" i="1"/>
  <c r="BN132" i="1"/>
  <c r="BM132" i="1"/>
  <c r="BL133" i="1"/>
  <c r="BM71" i="1"/>
  <c r="BN71" i="1"/>
  <c r="BL72" i="1"/>
  <c r="BM162" i="1"/>
  <c r="BN162" i="1"/>
  <c r="BL163" i="1"/>
  <c r="BO131" i="1"/>
  <c r="CZ131" i="1"/>
  <c r="DB131" i="1"/>
  <c r="BN346" i="1"/>
  <c r="BM346" i="1"/>
  <c r="BL347" i="1"/>
  <c r="BN317" i="1"/>
  <c r="BM317" i="1"/>
  <c r="BL318" i="1"/>
  <c r="DE24" i="1"/>
  <c r="DF24" i="1"/>
  <c r="BO286" i="1"/>
  <c r="CZ286" i="1"/>
  <c r="DB286" i="1"/>
  <c r="BO99" i="1"/>
  <c r="CZ99" i="1"/>
  <c r="DB99" i="1"/>
  <c r="DC41" i="1"/>
  <c r="BL288" i="1"/>
  <c r="BN287" i="1"/>
  <c r="BM287" i="1"/>
  <c r="BO222" i="1"/>
  <c r="CZ222" i="1"/>
  <c r="DB222" i="1"/>
  <c r="BL257" i="1"/>
  <c r="BN256" i="1"/>
  <c r="BM256" i="1"/>
  <c r="BN223" i="1"/>
  <c r="BM223" i="1"/>
  <c r="BL224" i="1"/>
  <c r="BM100" i="1"/>
  <c r="BL101" i="1"/>
  <c r="BN100" i="1"/>
  <c r="DD41" i="1"/>
  <c r="BN43" i="1"/>
  <c r="BM43" i="1"/>
  <c r="BL44" i="1"/>
  <c r="BO255" i="1"/>
  <c r="CZ255" i="1"/>
  <c r="DB255" i="1"/>
  <c r="BO42" i="1"/>
  <c r="CZ42" i="1"/>
  <c r="DB42" i="1"/>
  <c r="BO346" i="1"/>
  <c r="CZ346" i="1"/>
  <c r="DB346" i="1"/>
  <c r="BO71" i="1"/>
  <c r="CZ71" i="1"/>
  <c r="DB71" i="1"/>
  <c r="BM347" i="1"/>
  <c r="BN347" i="1"/>
  <c r="BL348" i="1"/>
  <c r="BN133" i="1"/>
  <c r="BM133" i="1"/>
  <c r="BL134" i="1"/>
  <c r="BN193" i="1"/>
  <c r="BM193" i="1"/>
  <c r="BL194" i="1"/>
  <c r="BO317" i="1"/>
  <c r="CZ317" i="1"/>
  <c r="DB317" i="1"/>
  <c r="BO162" i="1"/>
  <c r="CZ162" i="1"/>
  <c r="DB162" i="1"/>
  <c r="BN72" i="1"/>
  <c r="BM72" i="1"/>
  <c r="BL73" i="1"/>
  <c r="BO132" i="1"/>
  <c r="CZ132" i="1"/>
  <c r="DB132" i="1"/>
  <c r="BM163" i="1"/>
  <c r="BN163" i="1"/>
  <c r="BL164" i="1"/>
  <c r="BM318" i="1"/>
  <c r="BN318" i="1"/>
  <c r="BL319" i="1"/>
  <c r="DE25" i="1"/>
  <c r="DF25" i="1"/>
  <c r="BO43" i="1"/>
  <c r="CZ43" i="1"/>
  <c r="DB43" i="1"/>
  <c r="BO193" i="1"/>
  <c r="CZ193" i="1"/>
  <c r="DB193" i="1"/>
  <c r="DD42" i="1"/>
  <c r="DC42" i="1"/>
  <c r="BO287" i="1"/>
  <c r="CZ287" i="1"/>
  <c r="DB287" i="1"/>
  <c r="BO100" i="1"/>
  <c r="CZ100" i="1"/>
  <c r="DB100" i="1"/>
  <c r="BO256" i="1"/>
  <c r="CZ256" i="1"/>
  <c r="DB256" i="1"/>
  <c r="BL225" i="1"/>
  <c r="BM224" i="1"/>
  <c r="BN224" i="1"/>
  <c r="BM44" i="1"/>
  <c r="BN44" i="1"/>
  <c r="BL45" i="1"/>
  <c r="BO223" i="1"/>
  <c r="CZ223" i="1"/>
  <c r="DB223" i="1"/>
  <c r="BM257" i="1"/>
  <c r="BN257" i="1"/>
  <c r="BL258" i="1"/>
  <c r="BL102" i="1"/>
  <c r="BM101" i="1"/>
  <c r="BN101" i="1"/>
  <c r="BM288" i="1"/>
  <c r="BN288" i="1"/>
  <c r="BL289" i="1"/>
  <c r="BO72" i="1"/>
  <c r="CZ72" i="1"/>
  <c r="DB72" i="1"/>
  <c r="BO318" i="1"/>
  <c r="CZ318" i="1"/>
  <c r="DB318" i="1"/>
  <c r="BM348" i="1"/>
  <c r="BN348" i="1"/>
  <c r="BL349" i="1"/>
  <c r="BN319" i="1"/>
  <c r="BM319" i="1"/>
  <c r="BL320" i="1"/>
  <c r="BM134" i="1"/>
  <c r="BN134" i="1"/>
  <c r="BL135" i="1"/>
  <c r="BO163" i="1"/>
  <c r="CZ163" i="1"/>
  <c r="DB163" i="1"/>
  <c r="BO133" i="1"/>
  <c r="CZ133" i="1"/>
  <c r="DB133" i="1"/>
  <c r="BO347" i="1"/>
  <c r="CZ347" i="1"/>
  <c r="DB347" i="1"/>
  <c r="BN164" i="1"/>
  <c r="BM164" i="1"/>
  <c r="BL165" i="1"/>
  <c r="BM73" i="1"/>
  <c r="BN73" i="1"/>
  <c r="BL74" i="1"/>
  <c r="BM194" i="1"/>
  <c r="BN194" i="1"/>
  <c r="BL195" i="1"/>
  <c r="DE26" i="1"/>
  <c r="DF26" i="1"/>
  <c r="DC43" i="1"/>
  <c r="DD43" i="1"/>
  <c r="BO288" i="1"/>
  <c r="CZ288" i="1"/>
  <c r="DB288" i="1"/>
  <c r="BN225" i="1"/>
  <c r="BL226" i="1"/>
  <c r="BM225" i="1"/>
  <c r="BN289" i="1"/>
  <c r="BM289" i="1"/>
  <c r="BL290" i="1"/>
  <c r="BO101" i="1"/>
  <c r="CZ101" i="1"/>
  <c r="DB101" i="1"/>
  <c r="BO257" i="1"/>
  <c r="CZ257" i="1"/>
  <c r="DB257" i="1"/>
  <c r="BO44" i="1"/>
  <c r="CZ44" i="1"/>
  <c r="DB44" i="1"/>
  <c r="BL103" i="1"/>
  <c r="BN102" i="1"/>
  <c r="BM102" i="1"/>
  <c r="BM258" i="1"/>
  <c r="BL259" i="1"/>
  <c r="BN258" i="1"/>
  <c r="BN45" i="1"/>
  <c r="BM45" i="1"/>
  <c r="BL46" i="1"/>
  <c r="BO224" i="1"/>
  <c r="CZ224" i="1"/>
  <c r="DB224" i="1"/>
  <c r="BM74" i="1"/>
  <c r="BN74" i="1"/>
  <c r="BL75" i="1"/>
  <c r="BN195" i="1"/>
  <c r="BM195" i="1"/>
  <c r="BL196" i="1"/>
  <c r="BN349" i="1"/>
  <c r="BM349" i="1"/>
  <c r="BL350" i="1"/>
  <c r="BO73" i="1"/>
  <c r="CZ73" i="1"/>
  <c r="DB73" i="1"/>
  <c r="BM165" i="1"/>
  <c r="BN165" i="1"/>
  <c r="BL166" i="1"/>
  <c r="BO134" i="1"/>
  <c r="CZ134" i="1"/>
  <c r="DB134" i="1"/>
  <c r="BO194" i="1"/>
  <c r="CZ194" i="1"/>
  <c r="DB194" i="1"/>
  <c r="BO164" i="1"/>
  <c r="CZ164" i="1"/>
  <c r="DB164" i="1"/>
  <c r="BM320" i="1"/>
  <c r="BN320" i="1"/>
  <c r="BL321" i="1"/>
  <c r="BO348" i="1"/>
  <c r="CZ348" i="1"/>
  <c r="DB348" i="1"/>
  <c r="BN135" i="1"/>
  <c r="BM135" i="1"/>
  <c r="BL136" i="1"/>
  <c r="BO319" i="1"/>
  <c r="CZ319" i="1"/>
  <c r="DB319" i="1"/>
  <c r="DE27" i="1"/>
  <c r="DF27" i="1"/>
  <c r="BO225" i="1"/>
  <c r="CZ225" i="1"/>
  <c r="DB225" i="1"/>
  <c r="BO45" i="1"/>
  <c r="CZ45" i="1"/>
  <c r="DB45" i="1"/>
  <c r="BO289" i="1"/>
  <c r="CZ289" i="1"/>
  <c r="DB289" i="1"/>
  <c r="BO102" i="1"/>
  <c r="CZ102" i="1"/>
  <c r="DB102" i="1"/>
  <c r="BN46" i="1"/>
  <c r="BM46" i="1"/>
  <c r="BL47" i="1"/>
  <c r="BL260" i="1"/>
  <c r="BM259" i="1"/>
  <c r="BN259" i="1"/>
  <c r="BM103" i="1"/>
  <c r="BN103" i="1"/>
  <c r="BL104" i="1"/>
  <c r="BN290" i="1"/>
  <c r="BM290" i="1"/>
  <c r="BL291" i="1"/>
  <c r="BN226" i="1"/>
  <c r="BM226" i="1"/>
  <c r="BL227" i="1"/>
  <c r="BO258" i="1"/>
  <c r="CZ258" i="1"/>
  <c r="DB258" i="1"/>
  <c r="DD44" i="1"/>
  <c r="DC44" i="1"/>
  <c r="BO165" i="1"/>
  <c r="CZ165" i="1"/>
  <c r="DB165" i="1"/>
  <c r="BO135" i="1"/>
  <c r="CZ135" i="1"/>
  <c r="DB135" i="1"/>
  <c r="BO349" i="1"/>
  <c r="CZ349" i="1"/>
  <c r="DB349" i="1"/>
  <c r="BO195" i="1"/>
  <c r="CZ195" i="1"/>
  <c r="DB195" i="1"/>
  <c r="BN136" i="1"/>
  <c r="BM136" i="1"/>
  <c r="BL137" i="1"/>
  <c r="BM75" i="1"/>
  <c r="BN75" i="1"/>
  <c r="BL76" i="1"/>
  <c r="BM196" i="1"/>
  <c r="BN196" i="1"/>
  <c r="BL197" i="1"/>
  <c r="BN321" i="1"/>
  <c r="BM321" i="1"/>
  <c r="BL322" i="1"/>
  <c r="BM350" i="1"/>
  <c r="BN350" i="1"/>
  <c r="BL351" i="1"/>
  <c r="BO320" i="1"/>
  <c r="CZ320" i="1"/>
  <c r="DB320" i="1"/>
  <c r="BM166" i="1"/>
  <c r="BN166" i="1"/>
  <c r="BL167" i="1"/>
  <c r="BO74" i="1"/>
  <c r="CZ74" i="1"/>
  <c r="DB74" i="1"/>
  <c r="DE28" i="1"/>
  <c r="DF28" i="1"/>
  <c r="BO290" i="1"/>
  <c r="CZ290" i="1"/>
  <c r="DB290" i="1"/>
  <c r="DC45" i="1"/>
  <c r="DD45" i="1"/>
  <c r="BO226" i="1"/>
  <c r="CZ226" i="1"/>
  <c r="DB226" i="1"/>
  <c r="BO46" i="1"/>
  <c r="CZ46" i="1"/>
  <c r="DB46" i="1"/>
  <c r="BN104" i="1"/>
  <c r="BM104" i="1"/>
  <c r="BL105" i="1"/>
  <c r="BO259" i="1"/>
  <c r="CZ259" i="1"/>
  <c r="DB259" i="1"/>
  <c r="BM291" i="1"/>
  <c r="BN291" i="1"/>
  <c r="BL292" i="1"/>
  <c r="BN260" i="1"/>
  <c r="BM260" i="1"/>
  <c r="BL261" i="1"/>
  <c r="BO321" i="1"/>
  <c r="CZ321" i="1"/>
  <c r="DB321" i="1"/>
  <c r="BN227" i="1"/>
  <c r="BL228" i="1"/>
  <c r="BM227" i="1"/>
  <c r="BO103" i="1"/>
  <c r="CZ103" i="1"/>
  <c r="DB103" i="1"/>
  <c r="BN47" i="1"/>
  <c r="BM47" i="1"/>
  <c r="BL48" i="1"/>
  <c r="BO75" i="1"/>
  <c r="CZ75" i="1"/>
  <c r="DB75" i="1"/>
  <c r="BN351" i="1"/>
  <c r="BM351" i="1"/>
  <c r="BL352" i="1"/>
  <c r="BO166" i="1"/>
  <c r="CZ166" i="1"/>
  <c r="DB166" i="1"/>
  <c r="BO350" i="1"/>
  <c r="CZ350" i="1"/>
  <c r="DB350" i="1"/>
  <c r="BO196" i="1"/>
  <c r="CZ196" i="1"/>
  <c r="DB196" i="1"/>
  <c r="BN137" i="1"/>
  <c r="BM137" i="1"/>
  <c r="BL138" i="1"/>
  <c r="BM76" i="1"/>
  <c r="BN76" i="1"/>
  <c r="BL77" i="1"/>
  <c r="BO136" i="1"/>
  <c r="CZ136" i="1"/>
  <c r="DB136" i="1"/>
  <c r="BM167" i="1"/>
  <c r="BN167" i="1"/>
  <c r="BL168" i="1"/>
  <c r="BM322" i="1"/>
  <c r="BN322" i="1"/>
  <c r="BL323" i="1"/>
  <c r="BN197" i="1"/>
  <c r="BM197" i="1"/>
  <c r="BL198" i="1"/>
  <c r="DE29" i="1"/>
  <c r="DF29" i="1"/>
  <c r="BO291" i="1"/>
  <c r="CZ291" i="1"/>
  <c r="DB291" i="1"/>
  <c r="DD46" i="1"/>
  <c r="BO137" i="1"/>
  <c r="CZ137" i="1"/>
  <c r="DB137" i="1"/>
  <c r="BO227" i="1"/>
  <c r="CZ227" i="1"/>
  <c r="DB227" i="1"/>
  <c r="DC46" i="1"/>
  <c r="BO47" i="1"/>
  <c r="CZ47" i="1"/>
  <c r="DB47" i="1"/>
  <c r="BO260" i="1"/>
  <c r="CZ260" i="1"/>
  <c r="DB260" i="1"/>
  <c r="BM292" i="1"/>
  <c r="BN292" i="1"/>
  <c r="BL106" i="1"/>
  <c r="BM105" i="1"/>
  <c r="BN105" i="1"/>
  <c r="BO351" i="1"/>
  <c r="CZ351" i="1"/>
  <c r="DB351" i="1"/>
  <c r="BL49" i="1"/>
  <c r="BM48" i="1"/>
  <c r="BN48" i="1"/>
  <c r="BN261" i="1"/>
  <c r="BL262" i="1"/>
  <c r="BM261" i="1"/>
  <c r="BO104" i="1"/>
  <c r="CZ104" i="1"/>
  <c r="DB104" i="1"/>
  <c r="BN228" i="1"/>
  <c r="BM228" i="1"/>
  <c r="BL229" i="1"/>
  <c r="BO197" i="1"/>
  <c r="CZ197" i="1"/>
  <c r="DB197" i="1"/>
  <c r="BM198" i="1"/>
  <c r="BN198" i="1"/>
  <c r="BL199" i="1"/>
  <c r="BM168" i="1"/>
  <c r="BN168" i="1"/>
  <c r="BL169" i="1"/>
  <c r="BN138" i="1"/>
  <c r="BM138" i="1"/>
  <c r="BL139" i="1"/>
  <c r="BO167" i="1"/>
  <c r="CZ167" i="1"/>
  <c r="DB167" i="1"/>
  <c r="BO76" i="1"/>
  <c r="CZ76" i="1"/>
  <c r="DB76" i="1"/>
  <c r="BO322" i="1"/>
  <c r="CZ322" i="1"/>
  <c r="DB322" i="1"/>
  <c r="BN77" i="1"/>
  <c r="BM77" i="1"/>
  <c r="BL78" i="1"/>
  <c r="BM352" i="1"/>
  <c r="BN352" i="1"/>
  <c r="BL353" i="1"/>
  <c r="BM323" i="1"/>
  <c r="BN323" i="1"/>
  <c r="DE30" i="1"/>
  <c r="DF30" i="1"/>
  <c r="BO77" i="1"/>
  <c r="CZ77" i="1"/>
  <c r="DB77" i="1"/>
  <c r="BO292" i="1"/>
  <c r="CZ292" i="1"/>
  <c r="DB292" i="1"/>
  <c r="BO261" i="1"/>
  <c r="CZ261" i="1"/>
  <c r="DB261" i="1"/>
  <c r="BO228" i="1"/>
  <c r="CZ228" i="1"/>
  <c r="DB228" i="1"/>
  <c r="DC47" i="1"/>
  <c r="DD47" i="1"/>
  <c r="BN229" i="1"/>
  <c r="BL230" i="1"/>
  <c r="BM229" i="1"/>
  <c r="BO229" i="1"/>
  <c r="CZ229" i="1"/>
  <c r="DB229" i="1"/>
  <c r="BO48" i="1"/>
  <c r="CZ48" i="1"/>
  <c r="DB48" i="1"/>
  <c r="BO105" i="1"/>
  <c r="CZ105" i="1"/>
  <c r="DB105" i="1"/>
  <c r="BM262" i="1"/>
  <c r="BN262" i="1"/>
  <c r="BM49" i="1"/>
  <c r="BL50" i="1"/>
  <c r="BN49" i="1"/>
  <c r="BL107" i="1"/>
  <c r="BN106" i="1"/>
  <c r="BM106" i="1"/>
  <c r="BO352" i="1"/>
  <c r="CZ352" i="1"/>
  <c r="DB352" i="1"/>
  <c r="BO198" i="1"/>
  <c r="CZ198" i="1"/>
  <c r="DB198" i="1"/>
  <c r="BO323" i="1"/>
  <c r="CZ323" i="1"/>
  <c r="DB323" i="1"/>
  <c r="BO138" i="1"/>
  <c r="CZ138" i="1"/>
  <c r="DB138" i="1"/>
  <c r="BO168" i="1"/>
  <c r="CZ168" i="1"/>
  <c r="DB168" i="1"/>
  <c r="BM353" i="1"/>
  <c r="BN353" i="1"/>
  <c r="BN199" i="1"/>
  <c r="BM199" i="1"/>
  <c r="BL200" i="1"/>
  <c r="BM169" i="1"/>
  <c r="BN169" i="1"/>
  <c r="BL170" i="1"/>
  <c r="BN78" i="1"/>
  <c r="BM78" i="1"/>
  <c r="BN139" i="1"/>
  <c r="BM139" i="1"/>
  <c r="DE31" i="1"/>
  <c r="DF31" i="1"/>
  <c r="BO49" i="1"/>
  <c r="CZ49" i="1"/>
  <c r="DB49" i="1"/>
  <c r="BN107" i="1"/>
  <c r="BM107" i="1"/>
  <c r="BL108" i="1"/>
  <c r="DD48" i="1"/>
  <c r="DC48" i="1"/>
  <c r="BO262" i="1"/>
  <c r="CZ262" i="1"/>
  <c r="DB262" i="1"/>
  <c r="BL231" i="1"/>
  <c r="BM230" i="1"/>
  <c r="BN230" i="1"/>
  <c r="BO230" i="1"/>
  <c r="CZ230" i="1"/>
  <c r="DB230" i="1"/>
  <c r="BO106" i="1"/>
  <c r="CZ106" i="1"/>
  <c r="DB106" i="1"/>
  <c r="BM50" i="1"/>
  <c r="BN50" i="1"/>
  <c r="BO139" i="1"/>
  <c r="CZ139" i="1"/>
  <c r="DB139" i="1"/>
  <c r="BO199" i="1"/>
  <c r="CZ199" i="1"/>
  <c r="DB199" i="1"/>
  <c r="BO78" i="1"/>
  <c r="CZ78" i="1"/>
  <c r="DB78" i="1"/>
  <c r="BM170" i="1"/>
  <c r="BN170" i="1"/>
  <c r="BO353" i="1"/>
  <c r="CZ353" i="1"/>
  <c r="DB353" i="1"/>
  <c r="BO169" i="1"/>
  <c r="CZ169" i="1"/>
  <c r="DB169" i="1"/>
  <c r="BN200" i="1"/>
  <c r="BM200" i="1"/>
  <c r="DE32" i="1"/>
  <c r="DF32" i="1"/>
  <c r="BO107" i="1"/>
  <c r="CZ107" i="1"/>
  <c r="DB107" i="1"/>
  <c r="DD49" i="1"/>
  <c r="DC49" i="1"/>
  <c r="BO50" i="1"/>
  <c r="CZ50" i="1"/>
  <c r="DB50" i="1"/>
  <c r="BM231" i="1"/>
  <c r="BN231" i="1"/>
  <c r="BN108" i="1"/>
  <c r="BM108" i="1"/>
  <c r="BL109" i="1"/>
  <c r="BO200" i="1"/>
  <c r="CZ200" i="1"/>
  <c r="DB200" i="1"/>
  <c r="BO170" i="1"/>
  <c r="CZ170" i="1"/>
  <c r="DB170" i="1"/>
  <c r="DE33" i="1"/>
  <c r="DF33" i="1"/>
  <c r="DD50" i="1"/>
  <c r="DD51" i="1"/>
  <c r="DD52" i="1"/>
  <c r="DD53" i="1"/>
  <c r="DD54" i="1"/>
  <c r="DD55" i="1"/>
  <c r="DD56" i="1"/>
  <c r="DD57" i="1"/>
  <c r="DD58" i="1"/>
  <c r="DD59" i="1"/>
  <c r="DD60" i="1"/>
  <c r="DD61" i="1"/>
  <c r="DD62" i="1"/>
  <c r="DD63" i="1"/>
  <c r="DD64" i="1"/>
  <c r="DD65" i="1"/>
  <c r="DD66" i="1"/>
  <c r="DD67" i="1"/>
  <c r="DD68" i="1"/>
  <c r="DD69" i="1"/>
  <c r="DD70" i="1"/>
  <c r="DD71" i="1"/>
  <c r="DD72" i="1"/>
  <c r="DD73" i="1"/>
  <c r="DD74" i="1"/>
  <c r="DD75" i="1"/>
  <c r="DD76" i="1"/>
  <c r="DD77" i="1"/>
  <c r="DD78" i="1"/>
  <c r="DD79" i="1"/>
  <c r="DD80" i="1"/>
  <c r="DD81" i="1"/>
  <c r="DD82" i="1"/>
  <c r="DD83" i="1"/>
  <c r="DD84" i="1"/>
  <c r="DD85" i="1"/>
  <c r="DD86" i="1"/>
  <c r="DD87" i="1"/>
  <c r="DD88" i="1"/>
  <c r="DD89" i="1"/>
  <c r="DD90" i="1"/>
  <c r="DD91" i="1"/>
  <c r="DD92" i="1"/>
  <c r="DD93" i="1"/>
  <c r="DD94" i="1"/>
  <c r="DD95" i="1"/>
  <c r="DD96" i="1"/>
  <c r="DD97" i="1"/>
  <c r="DD98" i="1"/>
  <c r="DD99" i="1"/>
  <c r="DD100" i="1"/>
  <c r="DD101" i="1"/>
  <c r="DD102" i="1"/>
  <c r="DD103" i="1"/>
  <c r="DD104" i="1"/>
  <c r="DD105" i="1"/>
  <c r="DD106" i="1"/>
  <c r="DD107" i="1"/>
  <c r="DC50" i="1"/>
  <c r="DC51" i="1"/>
  <c r="DC52" i="1"/>
  <c r="DC53" i="1"/>
  <c r="DC54" i="1"/>
  <c r="DC55" i="1"/>
  <c r="DC56" i="1"/>
  <c r="DC57" i="1"/>
  <c r="DC58" i="1"/>
  <c r="DC59" i="1"/>
  <c r="DC60" i="1"/>
  <c r="DC61" i="1"/>
  <c r="DC62" i="1"/>
  <c r="DC63" i="1"/>
  <c r="DC64" i="1"/>
  <c r="DC65" i="1"/>
  <c r="DC66" i="1"/>
  <c r="DC67" i="1"/>
  <c r="DC68" i="1"/>
  <c r="DC69" i="1"/>
  <c r="DC70" i="1"/>
  <c r="DC71" i="1"/>
  <c r="DC72" i="1"/>
  <c r="DC73" i="1"/>
  <c r="DC74" i="1"/>
  <c r="DC75" i="1"/>
  <c r="DC76" i="1"/>
  <c r="DC77" i="1"/>
  <c r="DC78" i="1"/>
  <c r="DC79" i="1"/>
  <c r="DC80" i="1"/>
  <c r="DC81" i="1"/>
  <c r="DC82" i="1"/>
  <c r="DC83" i="1"/>
  <c r="DC84" i="1"/>
  <c r="DC85" i="1"/>
  <c r="DC86" i="1"/>
  <c r="DC87" i="1"/>
  <c r="DC88" i="1"/>
  <c r="DC89" i="1"/>
  <c r="DC90" i="1"/>
  <c r="DC91" i="1"/>
  <c r="DC92" i="1"/>
  <c r="DC93" i="1"/>
  <c r="DC94" i="1"/>
  <c r="DC95" i="1"/>
  <c r="DC96" i="1"/>
  <c r="DC97" i="1"/>
  <c r="DC98" i="1"/>
  <c r="DC99" i="1"/>
  <c r="DC100" i="1"/>
  <c r="DC101" i="1"/>
  <c r="DC102" i="1"/>
  <c r="DC103" i="1"/>
  <c r="DC104" i="1"/>
  <c r="DC105" i="1"/>
  <c r="DC106" i="1"/>
  <c r="DC107" i="1"/>
  <c r="BM109" i="1"/>
  <c r="BN109" i="1"/>
  <c r="BO231" i="1"/>
  <c r="CZ231" i="1"/>
  <c r="DB231" i="1"/>
  <c r="BO108" i="1"/>
  <c r="CZ108" i="1"/>
  <c r="DB108" i="1"/>
  <c r="DE34" i="1"/>
  <c r="DF34" i="1"/>
  <c r="DC108" i="1"/>
  <c r="DD108" i="1"/>
  <c r="BO109" i="1"/>
  <c r="CZ109" i="1"/>
  <c r="DB109" i="1"/>
  <c r="DE35" i="1"/>
  <c r="DF35" i="1"/>
  <c r="DC109" i="1"/>
  <c r="DC110" i="1"/>
  <c r="DC111" i="1"/>
  <c r="DC112" i="1"/>
  <c r="DC113" i="1"/>
  <c r="DC114" i="1"/>
  <c r="DC115" i="1"/>
  <c r="DC116" i="1"/>
  <c r="DC117" i="1"/>
  <c r="DC118" i="1"/>
  <c r="DC119" i="1"/>
  <c r="DC120" i="1"/>
  <c r="DC121" i="1"/>
  <c r="DC122" i="1"/>
  <c r="DC123" i="1"/>
  <c r="DC124" i="1"/>
  <c r="DC125" i="1"/>
  <c r="DC126" i="1"/>
  <c r="DC127" i="1"/>
  <c r="DC128" i="1"/>
  <c r="DC129" i="1"/>
  <c r="DC130" i="1"/>
  <c r="DC131" i="1"/>
  <c r="DC132" i="1"/>
  <c r="DC133" i="1"/>
  <c r="DC134" i="1"/>
  <c r="DC135" i="1"/>
  <c r="DC136" i="1"/>
  <c r="DC137" i="1"/>
  <c r="DC138" i="1"/>
  <c r="DC139" i="1"/>
  <c r="DC140" i="1"/>
  <c r="DC141" i="1"/>
  <c r="DC142" i="1"/>
  <c r="DC143" i="1"/>
  <c r="DC144" i="1"/>
  <c r="DC145" i="1"/>
  <c r="DC146" i="1"/>
  <c r="DC147" i="1"/>
  <c r="DC148" i="1"/>
  <c r="DC149" i="1"/>
  <c r="DC150" i="1"/>
  <c r="DC151" i="1"/>
  <c r="DC152" i="1"/>
  <c r="DC153" i="1"/>
  <c r="DC154" i="1"/>
  <c r="DC155" i="1"/>
  <c r="DC156" i="1"/>
  <c r="DC157" i="1"/>
  <c r="DC158" i="1"/>
  <c r="DC159" i="1"/>
  <c r="DC160" i="1"/>
  <c r="DC161" i="1"/>
  <c r="DC162" i="1"/>
  <c r="DC163" i="1"/>
  <c r="DC164" i="1"/>
  <c r="DC165" i="1"/>
  <c r="DC166" i="1"/>
  <c r="DC167" i="1"/>
  <c r="DC168" i="1"/>
  <c r="DC169" i="1"/>
  <c r="DC170" i="1"/>
  <c r="DC171" i="1"/>
  <c r="DC172" i="1"/>
  <c r="DC173" i="1"/>
  <c r="DC174" i="1"/>
  <c r="DC175" i="1"/>
  <c r="DC176" i="1"/>
  <c r="DC177" i="1"/>
  <c r="DC178" i="1"/>
  <c r="DC179" i="1"/>
  <c r="DC180" i="1"/>
  <c r="DC181" i="1"/>
  <c r="DC182" i="1"/>
  <c r="DC183" i="1"/>
  <c r="DC184" i="1"/>
  <c r="DC185" i="1"/>
  <c r="DC186" i="1"/>
  <c r="DC187" i="1"/>
  <c r="DC188" i="1"/>
  <c r="DC189" i="1"/>
  <c r="DC190" i="1"/>
  <c r="DC191" i="1"/>
  <c r="DC192" i="1"/>
  <c r="DC193" i="1"/>
  <c r="DC194" i="1"/>
  <c r="DC195" i="1"/>
  <c r="DC196" i="1"/>
  <c r="DC197" i="1"/>
  <c r="DC198" i="1"/>
  <c r="DC199" i="1"/>
  <c r="DC200" i="1"/>
  <c r="DC201" i="1"/>
  <c r="DC202" i="1"/>
  <c r="DC203" i="1"/>
  <c r="DC204" i="1"/>
  <c r="DC205" i="1"/>
  <c r="DC206" i="1"/>
  <c r="DC207" i="1"/>
  <c r="DC208" i="1"/>
  <c r="DC209" i="1"/>
  <c r="DC210" i="1"/>
  <c r="DC211" i="1"/>
  <c r="DC212" i="1"/>
  <c r="DC213" i="1"/>
  <c r="DC214" i="1"/>
  <c r="DC215" i="1"/>
  <c r="DC216" i="1"/>
  <c r="DC217" i="1"/>
  <c r="DC218" i="1"/>
  <c r="DC219" i="1"/>
  <c r="DC220" i="1"/>
  <c r="DC221" i="1"/>
  <c r="DC222" i="1"/>
  <c r="DC223" i="1"/>
  <c r="DC224" i="1"/>
  <c r="DC225" i="1"/>
  <c r="DC226" i="1"/>
  <c r="DC227" i="1"/>
  <c r="DC228" i="1"/>
  <c r="DC229" i="1"/>
  <c r="DC230" i="1"/>
  <c r="DC231" i="1"/>
  <c r="DC232" i="1"/>
  <c r="DC233" i="1"/>
  <c r="DC234" i="1"/>
  <c r="DC235" i="1"/>
  <c r="DC236" i="1"/>
  <c r="DC237" i="1"/>
  <c r="DC238" i="1"/>
  <c r="DC239" i="1"/>
  <c r="DC240" i="1"/>
  <c r="DC241" i="1"/>
  <c r="DC242" i="1"/>
  <c r="DC243" i="1"/>
  <c r="DC244" i="1"/>
  <c r="DC245" i="1"/>
  <c r="DC246" i="1"/>
  <c r="DC247" i="1"/>
  <c r="DC248" i="1"/>
  <c r="DC249" i="1"/>
  <c r="DC250" i="1"/>
  <c r="DC251" i="1"/>
  <c r="DC252" i="1"/>
  <c r="DC253" i="1"/>
  <c r="DC254" i="1"/>
  <c r="DC255" i="1"/>
  <c r="DC256" i="1"/>
  <c r="DC257" i="1"/>
  <c r="DC258" i="1"/>
  <c r="DC259" i="1"/>
  <c r="DC260" i="1"/>
  <c r="DC261" i="1"/>
  <c r="DC262" i="1"/>
  <c r="DC263" i="1"/>
  <c r="DC264" i="1"/>
  <c r="DC265" i="1"/>
  <c r="DC266" i="1"/>
  <c r="DC267" i="1"/>
  <c r="DC268" i="1"/>
  <c r="DC269" i="1"/>
  <c r="DC270" i="1"/>
  <c r="DC271" i="1"/>
  <c r="DC272" i="1"/>
  <c r="DC273" i="1"/>
  <c r="DC274" i="1"/>
  <c r="DC275" i="1"/>
  <c r="DC276" i="1"/>
  <c r="DC277" i="1"/>
  <c r="DC278" i="1"/>
  <c r="DC279" i="1"/>
  <c r="DC280" i="1"/>
  <c r="DC281" i="1"/>
  <c r="DC282" i="1"/>
  <c r="DC283" i="1"/>
  <c r="DC284" i="1"/>
  <c r="DC285" i="1"/>
  <c r="DC286" i="1"/>
  <c r="DC287" i="1"/>
  <c r="DC288" i="1"/>
  <c r="DC289" i="1"/>
  <c r="DC290" i="1"/>
  <c r="DC291" i="1"/>
  <c r="DC292" i="1"/>
  <c r="DC293" i="1"/>
  <c r="DC294" i="1"/>
  <c r="DC295" i="1"/>
  <c r="DC296" i="1"/>
  <c r="DC297" i="1"/>
  <c r="DC298" i="1"/>
  <c r="DC299" i="1"/>
  <c r="DC300" i="1"/>
  <c r="DC301" i="1"/>
  <c r="DC302" i="1"/>
  <c r="DC303" i="1"/>
  <c r="DC304" i="1"/>
  <c r="DC305" i="1"/>
  <c r="DC306" i="1"/>
  <c r="DC307" i="1"/>
  <c r="DC308" i="1"/>
  <c r="DC309" i="1"/>
  <c r="DC310" i="1"/>
  <c r="DC311" i="1"/>
  <c r="DC312" i="1"/>
  <c r="DC313" i="1"/>
  <c r="DC314" i="1"/>
  <c r="DC315" i="1"/>
  <c r="DC316" i="1"/>
  <c r="DC317" i="1"/>
  <c r="DC318" i="1"/>
  <c r="DC319" i="1"/>
  <c r="DC320" i="1"/>
  <c r="DC321" i="1"/>
  <c r="DC322" i="1"/>
  <c r="DC323" i="1"/>
  <c r="DC324" i="1"/>
  <c r="DC325" i="1"/>
  <c r="DC326" i="1"/>
  <c r="DC327" i="1"/>
  <c r="DC328" i="1"/>
  <c r="DC329" i="1"/>
  <c r="DC330" i="1"/>
  <c r="DC331" i="1"/>
  <c r="DC332" i="1"/>
  <c r="DC333" i="1"/>
  <c r="DC334" i="1"/>
  <c r="DC335" i="1"/>
  <c r="DC336" i="1"/>
  <c r="DC337" i="1"/>
  <c r="DC338" i="1"/>
  <c r="DC339" i="1"/>
  <c r="DC340" i="1"/>
  <c r="DC341" i="1"/>
  <c r="DC342" i="1"/>
  <c r="DC343" i="1"/>
  <c r="DC344" i="1"/>
  <c r="DC345" i="1"/>
  <c r="DC346" i="1"/>
  <c r="DC347" i="1"/>
  <c r="DC348" i="1"/>
  <c r="DC349" i="1"/>
  <c r="DC350" i="1"/>
  <c r="DC351" i="1"/>
  <c r="DC352" i="1"/>
  <c r="DC353" i="1"/>
  <c r="DC354" i="1"/>
  <c r="DC355" i="1"/>
  <c r="DC356" i="1"/>
  <c r="DC357" i="1"/>
  <c r="DC358" i="1"/>
  <c r="DC359" i="1"/>
  <c r="DC360" i="1"/>
  <c r="DC361" i="1"/>
  <c r="DC362" i="1"/>
  <c r="DC363" i="1"/>
  <c r="DC364" i="1"/>
  <c r="DC365" i="1"/>
  <c r="DD109" i="1"/>
  <c r="DD110" i="1"/>
  <c r="DD111" i="1"/>
  <c r="DD112" i="1"/>
  <c r="DD113" i="1"/>
  <c r="DD114" i="1"/>
  <c r="DD115" i="1"/>
  <c r="DD116" i="1"/>
  <c r="DD117" i="1"/>
  <c r="DD118" i="1"/>
  <c r="DD119" i="1"/>
  <c r="DD120" i="1"/>
  <c r="DD121" i="1"/>
  <c r="DD122" i="1"/>
  <c r="DD123" i="1"/>
  <c r="DD124" i="1"/>
  <c r="DD125" i="1"/>
  <c r="DD126" i="1"/>
  <c r="DD127" i="1"/>
  <c r="DD128" i="1"/>
  <c r="DD129" i="1"/>
  <c r="DD130" i="1"/>
  <c r="DD131" i="1"/>
  <c r="DD132" i="1"/>
  <c r="DD133" i="1"/>
  <c r="DD134" i="1"/>
  <c r="DD135" i="1"/>
  <c r="DD136" i="1"/>
  <c r="DD137" i="1"/>
  <c r="DD138" i="1"/>
  <c r="DD139" i="1"/>
  <c r="DD140" i="1"/>
  <c r="DD141" i="1"/>
  <c r="DD142" i="1"/>
  <c r="DD143" i="1"/>
  <c r="DD144" i="1"/>
  <c r="DD145" i="1"/>
  <c r="DD146" i="1"/>
  <c r="DD147" i="1"/>
  <c r="DD148" i="1"/>
  <c r="DD149" i="1"/>
  <c r="DD150" i="1"/>
  <c r="DD151" i="1"/>
  <c r="DD152" i="1"/>
  <c r="DD153" i="1"/>
  <c r="DD154" i="1"/>
  <c r="DD155" i="1"/>
  <c r="DD156" i="1"/>
  <c r="DD157" i="1"/>
  <c r="DD158" i="1"/>
  <c r="DD159" i="1"/>
  <c r="DD160" i="1"/>
  <c r="DD161" i="1"/>
  <c r="DD162" i="1"/>
  <c r="DD163" i="1"/>
  <c r="DD164" i="1"/>
  <c r="DD165" i="1"/>
  <c r="DD166" i="1"/>
  <c r="DD167" i="1"/>
  <c r="DD168" i="1"/>
  <c r="DD169" i="1"/>
  <c r="DD170" i="1"/>
  <c r="DD171" i="1"/>
  <c r="DD172" i="1"/>
  <c r="DD173" i="1"/>
  <c r="DD174" i="1"/>
  <c r="DD175" i="1"/>
  <c r="DD176" i="1"/>
  <c r="DD177" i="1"/>
  <c r="DD178" i="1"/>
  <c r="DD179" i="1"/>
  <c r="DD180" i="1"/>
  <c r="DD181" i="1"/>
  <c r="DD182" i="1"/>
  <c r="DD183" i="1"/>
  <c r="DD184" i="1"/>
  <c r="DD185" i="1"/>
  <c r="DD186" i="1"/>
  <c r="DD187" i="1"/>
  <c r="DD188" i="1"/>
  <c r="DD189" i="1"/>
  <c r="DD190" i="1"/>
  <c r="DD191" i="1"/>
  <c r="DD192" i="1"/>
  <c r="DD193" i="1"/>
  <c r="DD194" i="1"/>
  <c r="DD195" i="1"/>
  <c r="DD196" i="1"/>
  <c r="DD197" i="1"/>
  <c r="DD198" i="1"/>
  <c r="DD199" i="1"/>
  <c r="DD200" i="1"/>
  <c r="DD201" i="1"/>
  <c r="DD202" i="1"/>
  <c r="DD203" i="1"/>
  <c r="DD204" i="1"/>
  <c r="DD205" i="1"/>
  <c r="DD206" i="1"/>
  <c r="DD207" i="1"/>
  <c r="DD208" i="1"/>
  <c r="DD209" i="1"/>
  <c r="DD210" i="1"/>
  <c r="DD211" i="1"/>
  <c r="DD212" i="1"/>
  <c r="DD213" i="1"/>
  <c r="DD214" i="1"/>
  <c r="DD215" i="1"/>
  <c r="DD216" i="1"/>
  <c r="DD217" i="1"/>
  <c r="DD218" i="1"/>
  <c r="DD219" i="1"/>
  <c r="DD220" i="1"/>
  <c r="DD221" i="1"/>
  <c r="DD222" i="1"/>
  <c r="DD223" i="1"/>
  <c r="DD224" i="1"/>
  <c r="DD225" i="1"/>
  <c r="DD226" i="1"/>
  <c r="DD227" i="1"/>
  <c r="DD228" i="1"/>
  <c r="DD229" i="1"/>
  <c r="DD230" i="1"/>
  <c r="DD231" i="1"/>
  <c r="DD232" i="1"/>
  <c r="DD233" i="1"/>
  <c r="DD234" i="1"/>
  <c r="DD235" i="1"/>
  <c r="DD236" i="1"/>
  <c r="DD237" i="1"/>
  <c r="DD238" i="1"/>
  <c r="DD239" i="1"/>
  <c r="DD240" i="1"/>
  <c r="DD241" i="1"/>
  <c r="DD242" i="1"/>
  <c r="DD243" i="1"/>
  <c r="DD244" i="1"/>
  <c r="DD245" i="1"/>
  <c r="DD246" i="1"/>
  <c r="DD247" i="1"/>
  <c r="DD248" i="1"/>
  <c r="DD249" i="1"/>
  <c r="DD250" i="1"/>
  <c r="DD251" i="1"/>
  <c r="DD252" i="1"/>
  <c r="DD253" i="1"/>
  <c r="DD254" i="1"/>
  <c r="DD255" i="1"/>
  <c r="DD256" i="1"/>
  <c r="DD257" i="1"/>
  <c r="DD258" i="1"/>
  <c r="DD259" i="1"/>
  <c r="DD260" i="1"/>
  <c r="DD261" i="1"/>
  <c r="DD262" i="1"/>
  <c r="DD263" i="1"/>
  <c r="DD264" i="1"/>
  <c r="DD265" i="1"/>
  <c r="DD266" i="1"/>
  <c r="DD267" i="1"/>
  <c r="DD268" i="1"/>
  <c r="DD269" i="1"/>
  <c r="DD270" i="1"/>
  <c r="DD271" i="1"/>
  <c r="DD272" i="1"/>
  <c r="DD273" i="1"/>
  <c r="DD274" i="1"/>
  <c r="DD275" i="1"/>
  <c r="DD276" i="1"/>
  <c r="DD277" i="1"/>
  <c r="DD278" i="1"/>
  <c r="DD279" i="1"/>
  <c r="DD280" i="1"/>
  <c r="DD281" i="1"/>
  <c r="DD282" i="1"/>
  <c r="DD283" i="1"/>
  <c r="DD284" i="1"/>
  <c r="DD285" i="1"/>
  <c r="DD286" i="1"/>
  <c r="DD287" i="1"/>
  <c r="DD288" i="1"/>
  <c r="DD289" i="1"/>
  <c r="DD290" i="1"/>
  <c r="DD291" i="1"/>
  <c r="DD292" i="1"/>
  <c r="DD293" i="1"/>
  <c r="DD294" i="1"/>
  <c r="DD295" i="1"/>
  <c r="DD296" i="1"/>
  <c r="DD297" i="1"/>
  <c r="DD298" i="1"/>
  <c r="DD299" i="1"/>
  <c r="DD300" i="1"/>
  <c r="DD301" i="1"/>
  <c r="DD302" i="1"/>
  <c r="DD303" i="1"/>
  <c r="DD304" i="1"/>
  <c r="DD305" i="1"/>
  <c r="DD306" i="1"/>
  <c r="DD307" i="1"/>
  <c r="DD308" i="1"/>
  <c r="DD309" i="1"/>
  <c r="DD310" i="1"/>
  <c r="DD311" i="1"/>
  <c r="DD312" i="1"/>
  <c r="DD313" i="1"/>
  <c r="DD314" i="1"/>
  <c r="DD315" i="1"/>
  <c r="DD316" i="1"/>
  <c r="DD317" i="1"/>
  <c r="DD318" i="1"/>
  <c r="DD319" i="1"/>
  <c r="DD320" i="1"/>
  <c r="DD321" i="1"/>
  <c r="DD322" i="1"/>
  <c r="DD323" i="1"/>
  <c r="DD324" i="1"/>
  <c r="DD325" i="1"/>
  <c r="DD326" i="1"/>
  <c r="DD327" i="1"/>
  <c r="DD328" i="1"/>
  <c r="DD329" i="1"/>
  <c r="DD330" i="1"/>
  <c r="DD331" i="1"/>
  <c r="DD332" i="1"/>
  <c r="DD333" i="1"/>
  <c r="DD334" i="1"/>
  <c r="DD335" i="1"/>
  <c r="DD336" i="1"/>
  <c r="DD337" i="1"/>
  <c r="DD338" i="1"/>
  <c r="DD339" i="1"/>
  <c r="DD340" i="1"/>
  <c r="DD341" i="1"/>
  <c r="DD342" i="1"/>
  <c r="DD343" i="1"/>
  <c r="DD344" i="1"/>
  <c r="DD345" i="1"/>
  <c r="DD346" i="1"/>
  <c r="DD347" i="1"/>
  <c r="DD348" i="1"/>
  <c r="DD349" i="1"/>
  <c r="DD350" i="1"/>
  <c r="DD351" i="1"/>
  <c r="DD352" i="1"/>
  <c r="DD353" i="1"/>
  <c r="DD354" i="1"/>
  <c r="DD355" i="1"/>
  <c r="DD356" i="1"/>
  <c r="DD357" i="1"/>
  <c r="DD358" i="1"/>
  <c r="DD359" i="1"/>
  <c r="DD360" i="1"/>
  <c r="DD361" i="1"/>
  <c r="DD362" i="1"/>
  <c r="DD363" i="1"/>
  <c r="DD364" i="1"/>
  <c r="DD365" i="1"/>
  <c r="DE36" i="1"/>
  <c r="DF36" i="1"/>
  <c r="DE37" i="1"/>
  <c r="DF37" i="1"/>
  <c r="DE38" i="1"/>
  <c r="DF38" i="1"/>
  <c r="DE39" i="1"/>
  <c r="DF39" i="1"/>
  <c r="DE40" i="1"/>
  <c r="DF40" i="1"/>
  <c r="DE41" i="1"/>
  <c r="DF41" i="1"/>
  <c r="DE42" i="1"/>
  <c r="DF42" i="1"/>
  <c r="DE43" i="1"/>
  <c r="DF43" i="1"/>
  <c r="DE44" i="1"/>
  <c r="DF44" i="1"/>
  <c r="DE45" i="1"/>
  <c r="DF45" i="1"/>
  <c r="DE46" i="1"/>
  <c r="DF46" i="1"/>
  <c r="DE47" i="1"/>
  <c r="DF47" i="1"/>
  <c r="DE48" i="1"/>
  <c r="DF48" i="1"/>
  <c r="DE49" i="1"/>
  <c r="DF49" i="1"/>
  <c r="DE50" i="1"/>
  <c r="DF50" i="1"/>
  <c r="DE51" i="1"/>
  <c r="DF51" i="1"/>
  <c r="DE52" i="1"/>
  <c r="DF52" i="1"/>
  <c r="DE53" i="1"/>
  <c r="DF53" i="1"/>
  <c r="DE54" i="1"/>
  <c r="DF54" i="1"/>
  <c r="DE55" i="1"/>
  <c r="DF55" i="1"/>
  <c r="DE56" i="1"/>
  <c r="DF56" i="1"/>
  <c r="DE57" i="1"/>
  <c r="DF57" i="1"/>
  <c r="DE58" i="1"/>
  <c r="DF58" i="1"/>
  <c r="DE59" i="1"/>
  <c r="DF59" i="1"/>
  <c r="DE60" i="1"/>
  <c r="DF60" i="1"/>
  <c r="DE61" i="1"/>
  <c r="DF61" i="1"/>
  <c r="DE62" i="1"/>
  <c r="DF62" i="1"/>
  <c r="DE63" i="1"/>
  <c r="DF63" i="1"/>
  <c r="DE64" i="1"/>
  <c r="DF64" i="1"/>
  <c r="DE65" i="1"/>
  <c r="DF65" i="1"/>
  <c r="DE66" i="1"/>
  <c r="DF66" i="1"/>
  <c r="DE67" i="1"/>
  <c r="DF67" i="1"/>
  <c r="DE68" i="1"/>
  <c r="DF68" i="1"/>
  <c r="DE69" i="1"/>
  <c r="DF69" i="1"/>
  <c r="DE70" i="1"/>
  <c r="DF70" i="1"/>
  <c r="DE71" i="1"/>
  <c r="DF71" i="1"/>
  <c r="DE72" i="1"/>
  <c r="DF72" i="1"/>
  <c r="DE73" i="1"/>
  <c r="DF73" i="1"/>
  <c r="DE74" i="1"/>
  <c r="DF74" i="1"/>
  <c r="DE75" i="1"/>
  <c r="DF75" i="1"/>
  <c r="DE76" i="1"/>
  <c r="DF76" i="1"/>
  <c r="DE77" i="1"/>
  <c r="DF77" i="1"/>
  <c r="DE78" i="1"/>
  <c r="DF78" i="1"/>
  <c r="DE79" i="1"/>
  <c r="DF79" i="1"/>
  <c r="DE80" i="1"/>
  <c r="DF80" i="1"/>
  <c r="DE81" i="1"/>
  <c r="DF81" i="1"/>
  <c r="DE82" i="1"/>
  <c r="DF82" i="1"/>
  <c r="DE83" i="1"/>
  <c r="DF83" i="1"/>
  <c r="DE84" i="1"/>
  <c r="DF84" i="1"/>
  <c r="DE85" i="1"/>
  <c r="DF85" i="1"/>
  <c r="DE86" i="1"/>
  <c r="DF86" i="1"/>
  <c r="DE87" i="1"/>
  <c r="DF87" i="1"/>
  <c r="DE88" i="1"/>
  <c r="DF88" i="1"/>
  <c r="DE89" i="1"/>
  <c r="DF89" i="1"/>
  <c r="DE90" i="1"/>
  <c r="DF90" i="1"/>
  <c r="DE91" i="1"/>
  <c r="DF91" i="1"/>
  <c r="DE92" i="1"/>
  <c r="DF92" i="1"/>
  <c r="DE93" i="1"/>
  <c r="DF93" i="1"/>
  <c r="DE94" i="1"/>
  <c r="DF94" i="1"/>
  <c r="DE95" i="1"/>
  <c r="DF95" i="1"/>
  <c r="DE96" i="1"/>
  <c r="DF96" i="1"/>
  <c r="DE97" i="1"/>
  <c r="DF97" i="1"/>
  <c r="DE98" i="1"/>
  <c r="DF98" i="1"/>
  <c r="DE99" i="1"/>
  <c r="DF99" i="1"/>
  <c r="DE100" i="1"/>
  <c r="DF100" i="1"/>
  <c r="DE101" i="1"/>
  <c r="DF101" i="1"/>
  <c r="DE102" i="1"/>
  <c r="DF102" i="1"/>
  <c r="DE103" i="1"/>
  <c r="DF103" i="1"/>
  <c r="DE104" i="1"/>
  <c r="DF104" i="1"/>
  <c r="DE105" i="1"/>
  <c r="DF105" i="1"/>
  <c r="DE106" i="1"/>
  <c r="DF106" i="1"/>
  <c r="DE107" i="1"/>
  <c r="DF107" i="1"/>
  <c r="DE108" i="1"/>
  <c r="DF108" i="1"/>
  <c r="DE109" i="1"/>
  <c r="DF109" i="1"/>
  <c r="DE110" i="1"/>
  <c r="DF110" i="1"/>
  <c r="DE111" i="1"/>
  <c r="DF111" i="1"/>
  <c r="DE112" i="1"/>
  <c r="DF112" i="1"/>
  <c r="DE113" i="1"/>
  <c r="DF113" i="1"/>
  <c r="DE114" i="1"/>
  <c r="DF114" i="1"/>
  <c r="DE115" i="1"/>
  <c r="DF115" i="1"/>
  <c r="DE116" i="1"/>
  <c r="DF116" i="1"/>
  <c r="DE117" i="1"/>
  <c r="DF117" i="1"/>
  <c r="DE118" i="1"/>
  <c r="DF118" i="1"/>
  <c r="DE119" i="1"/>
  <c r="DF119" i="1"/>
  <c r="DE120" i="1"/>
  <c r="DF120" i="1"/>
  <c r="DE121" i="1"/>
  <c r="DF121" i="1"/>
  <c r="DE122" i="1"/>
  <c r="DF122" i="1"/>
  <c r="DE123" i="1"/>
  <c r="DF123" i="1"/>
  <c r="DE124" i="1"/>
  <c r="DF124" i="1"/>
  <c r="DE125" i="1"/>
  <c r="DF125" i="1"/>
  <c r="DE126" i="1"/>
  <c r="DF126" i="1"/>
  <c r="DE127" i="1"/>
  <c r="DF127" i="1"/>
  <c r="DE128" i="1"/>
  <c r="DF128" i="1"/>
  <c r="DE129" i="1"/>
  <c r="DF129" i="1"/>
  <c r="DE130" i="1"/>
  <c r="DF130" i="1"/>
  <c r="DE131" i="1"/>
  <c r="DF131" i="1"/>
  <c r="DE132" i="1"/>
  <c r="DF132" i="1"/>
  <c r="DE133" i="1"/>
  <c r="DF133" i="1"/>
  <c r="DE134" i="1"/>
  <c r="DF134" i="1"/>
  <c r="DE135" i="1"/>
  <c r="DF135" i="1"/>
  <c r="DE136" i="1"/>
  <c r="DF136" i="1"/>
  <c r="DE137" i="1"/>
  <c r="DF137" i="1"/>
  <c r="DE138" i="1"/>
  <c r="DF138" i="1"/>
  <c r="DE139" i="1"/>
  <c r="DF139" i="1"/>
  <c r="DE140" i="1"/>
  <c r="DF140" i="1"/>
  <c r="DE141" i="1"/>
  <c r="DF141" i="1"/>
  <c r="DE142" i="1"/>
  <c r="DF142" i="1"/>
  <c r="DE143" i="1"/>
  <c r="DF143" i="1"/>
  <c r="DE144" i="1"/>
  <c r="DF144" i="1"/>
  <c r="DE145" i="1"/>
  <c r="DF145" i="1"/>
  <c r="DE146" i="1"/>
  <c r="DF146" i="1"/>
  <c r="DE147" i="1"/>
  <c r="DF147" i="1"/>
  <c r="DE148" i="1"/>
  <c r="DF148" i="1"/>
  <c r="DE149" i="1"/>
  <c r="DF149" i="1"/>
  <c r="DE150" i="1"/>
  <c r="DF150" i="1"/>
  <c r="DE151" i="1"/>
  <c r="DF151" i="1"/>
  <c r="DE152" i="1"/>
  <c r="DF152" i="1"/>
  <c r="DE153" i="1"/>
  <c r="DF153" i="1"/>
  <c r="DE154" i="1"/>
  <c r="DF154" i="1"/>
  <c r="DE155" i="1"/>
  <c r="DF155" i="1"/>
  <c r="DE156" i="1"/>
  <c r="DF156" i="1"/>
  <c r="DE157" i="1"/>
  <c r="DF157" i="1"/>
  <c r="DE158" i="1"/>
  <c r="DF158" i="1"/>
  <c r="DE159" i="1"/>
  <c r="DF159" i="1"/>
  <c r="DE160" i="1"/>
  <c r="DF160" i="1"/>
  <c r="DE161" i="1"/>
  <c r="DF161" i="1"/>
  <c r="DE162" i="1"/>
  <c r="DF162" i="1"/>
  <c r="DE163" i="1"/>
  <c r="DF163" i="1"/>
  <c r="DE164" i="1"/>
  <c r="DF164" i="1"/>
  <c r="DE165" i="1"/>
  <c r="DF165" i="1"/>
  <c r="DE166" i="1"/>
  <c r="DF166" i="1"/>
  <c r="DE167" i="1"/>
  <c r="DF167" i="1"/>
  <c r="DE168" i="1"/>
  <c r="DF168" i="1"/>
  <c r="DE169" i="1"/>
  <c r="DF169" i="1"/>
  <c r="DE170" i="1"/>
  <c r="DF170" i="1"/>
  <c r="DE171" i="1"/>
  <c r="DF171" i="1"/>
  <c r="DE172" i="1"/>
  <c r="DF172" i="1"/>
  <c r="DE173" i="1"/>
  <c r="DF173" i="1"/>
  <c r="DE174" i="1"/>
  <c r="DF174" i="1"/>
  <c r="DE175" i="1"/>
  <c r="DF175" i="1"/>
  <c r="DE176" i="1"/>
  <c r="DF176" i="1"/>
  <c r="DE177" i="1"/>
  <c r="DF177" i="1"/>
  <c r="DE178" i="1"/>
  <c r="DF178" i="1"/>
  <c r="DE179" i="1"/>
  <c r="DF179" i="1"/>
  <c r="DE180" i="1"/>
  <c r="DF180" i="1"/>
  <c r="DE181" i="1"/>
  <c r="DF181" i="1"/>
  <c r="DE182" i="1"/>
  <c r="DF182" i="1"/>
  <c r="DE183" i="1"/>
  <c r="DF183" i="1"/>
  <c r="DE184" i="1"/>
  <c r="DF184" i="1"/>
  <c r="DE185" i="1"/>
  <c r="DF185" i="1"/>
  <c r="DE186" i="1"/>
  <c r="DF186" i="1"/>
  <c r="DE187" i="1"/>
  <c r="DF187" i="1"/>
  <c r="DE188" i="1"/>
  <c r="DF188" i="1"/>
  <c r="DE189" i="1"/>
  <c r="DF189" i="1"/>
  <c r="DE190" i="1"/>
  <c r="DF190" i="1"/>
  <c r="DE191" i="1"/>
  <c r="DF191" i="1"/>
  <c r="DE192" i="1"/>
  <c r="DF192" i="1"/>
  <c r="DE193" i="1"/>
  <c r="DF193" i="1"/>
  <c r="DE194" i="1"/>
  <c r="DF194" i="1"/>
  <c r="DE195" i="1"/>
  <c r="DF195" i="1"/>
  <c r="DE196" i="1"/>
  <c r="DF196" i="1"/>
  <c r="DE197" i="1"/>
  <c r="DF197" i="1"/>
  <c r="DE198" i="1"/>
  <c r="DF198" i="1"/>
  <c r="DE199" i="1"/>
  <c r="DF199" i="1"/>
  <c r="DE200" i="1"/>
  <c r="DF200" i="1"/>
  <c r="DE201" i="1"/>
  <c r="DF201" i="1"/>
  <c r="DE202" i="1"/>
  <c r="DF202" i="1"/>
  <c r="DE203" i="1"/>
  <c r="DF203" i="1"/>
  <c r="DE204" i="1"/>
  <c r="DF204" i="1"/>
  <c r="DE205" i="1"/>
  <c r="DF205" i="1"/>
  <c r="DE206" i="1"/>
  <c r="DF206" i="1"/>
  <c r="DE207" i="1"/>
  <c r="DF207" i="1"/>
  <c r="DE208" i="1"/>
  <c r="DF208" i="1"/>
  <c r="DE209" i="1"/>
  <c r="DF209" i="1"/>
  <c r="DE210" i="1"/>
  <c r="DF210" i="1"/>
  <c r="DE211" i="1"/>
  <c r="DF211" i="1"/>
  <c r="DE212" i="1"/>
  <c r="DF212" i="1"/>
  <c r="DE213" i="1"/>
  <c r="DF213" i="1"/>
  <c r="DE214" i="1"/>
  <c r="DF214" i="1"/>
  <c r="DE215" i="1"/>
  <c r="DF215" i="1"/>
  <c r="DE216" i="1"/>
  <c r="DF216" i="1"/>
  <c r="DE217" i="1"/>
  <c r="DF217" i="1"/>
  <c r="DE218" i="1"/>
  <c r="DF218" i="1"/>
  <c r="DE219" i="1"/>
  <c r="DF219" i="1"/>
  <c r="DE220" i="1"/>
  <c r="DF220" i="1"/>
  <c r="DE221" i="1"/>
  <c r="DF221" i="1"/>
  <c r="DE222" i="1"/>
  <c r="DF222" i="1"/>
  <c r="DE223" i="1"/>
  <c r="DF223" i="1"/>
  <c r="DE224" i="1"/>
  <c r="DF224" i="1"/>
  <c r="DE225" i="1"/>
  <c r="DF225" i="1"/>
  <c r="DE226" i="1"/>
  <c r="DF226" i="1"/>
  <c r="DE227" i="1"/>
  <c r="DF227" i="1"/>
  <c r="DE228" i="1"/>
  <c r="DF228" i="1"/>
  <c r="DE229" i="1"/>
  <c r="DF229" i="1"/>
  <c r="DE230" i="1"/>
  <c r="DF230" i="1"/>
  <c r="DE231" i="1"/>
  <c r="DF231" i="1"/>
  <c r="DE232" i="1"/>
  <c r="DF232" i="1"/>
  <c r="DE233" i="1"/>
  <c r="DF233" i="1"/>
  <c r="DE234" i="1"/>
  <c r="DF234" i="1"/>
  <c r="DE235" i="1"/>
  <c r="DF235" i="1"/>
  <c r="DE236" i="1"/>
  <c r="DF236" i="1"/>
  <c r="DE237" i="1"/>
  <c r="DF237" i="1"/>
  <c r="DE238" i="1"/>
  <c r="DF238" i="1"/>
  <c r="DE239" i="1"/>
  <c r="DF239" i="1"/>
  <c r="DE240" i="1"/>
  <c r="DF240" i="1"/>
  <c r="DE241" i="1"/>
  <c r="DF241" i="1"/>
  <c r="DE242" i="1"/>
  <c r="DF242" i="1"/>
  <c r="DE243" i="1"/>
  <c r="DF243" i="1"/>
  <c r="DE244" i="1"/>
  <c r="DF244" i="1"/>
  <c r="DE245" i="1"/>
  <c r="DF245" i="1"/>
  <c r="DE246" i="1"/>
  <c r="DF246" i="1"/>
  <c r="DE247" i="1"/>
  <c r="DF247" i="1"/>
  <c r="DE248" i="1"/>
  <c r="DF248" i="1"/>
  <c r="DE249" i="1"/>
  <c r="DF249" i="1"/>
  <c r="DE250" i="1"/>
  <c r="DF250" i="1"/>
  <c r="DE251" i="1"/>
  <c r="DF251" i="1"/>
  <c r="DE252" i="1"/>
  <c r="DF252" i="1"/>
  <c r="DE253" i="1"/>
  <c r="DF253" i="1"/>
  <c r="DE254" i="1"/>
  <c r="DF254" i="1"/>
  <c r="DE255" i="1"/>
  <c r="DF255" i="1"/>
  <c r="DE256" i="1"/>
  <c r="DF256" i="1"/>
  <c r="DE257" i="1"/>
  <c r="DF257" i="1"/>
  <c r="DE258" i="1"/>
  <c r="DF258" i="1"/>
  <c r="DE259" i="1"/>
  <c r="DF259" i="1"/>
  <c r="DE260" i="1"/>
  <c r="DF260" i="1"/>
  <c r="DE261" i="1"/>
  <c r="DF261" i="1"/>
  <c r="DE262" i="1"/>
  <c r="DF262" i="1"/>
  <c r="DE263" i="1"/>
  <c r="DF263" i="1"/>
  <c r="DE264" i="1"/>
  <c r="DF264" i="1"/>
  <c r="DE265" i="1"/>
  <c r="DF265" i="1"/>
  <c r="DE266" i="1"/>
  <c r="DF266" i="1"/>
  <c r="DE267" i="1"/>
  <c r="DF267" i="1"/>
  <c r="DE268" i="1"/>
  <c r="DF268" i="1"/>
  <c r="DE269" i="1"/>
  <c r="DF269" i="1"/>
  <c r="DE270" i="1"/>
  <c r="DF270" i="1"/>
  <c r="DE271" i="1"/>
  <c r="DF271" i="1"/>
  <c r="DE272" i="1"/>
  <c r="DF272" i="1"/>
  <c r="DE273" i="1"/>
  <c r="DF273" i="1"/>
  <c r="DE274" i="1"/>
  <c r="DF274" i="1"/>
  <c r="DE275" i="1"/>
  <c r="DF275" i="1"/>
  <c r="DE276" i="1"/>
  <c r="DF276" i="1"/>
  <c r="DE277" i="1"/>
  <c r="DF277" i="1"/>
  <c r="DE278" i="1"/>
  <c r="DF278" i="1"/>
  <c r="DE279" i="1"/>
  <c r="DF279" i="1"/>
  <c r="DE280" i="1"/>
  <c r="DF280" i="1"/>
  <c r="DE281" i="1"/>
  <c r="DF281" i="1"/>
  <c r="DE282" i="1"/>
  <c r="DF282" i="1"/>
  <c r="DE283" i="1"/>
  <c r="DF283" i="1"/>
  <c r="DE284" i="1"/>
  <c r="DF284" i="1"/>
  <c r="DE285" i="1"/>
  <c r="DF285" i="1"/>
  <c r="DE286" i="1"/>
  <c r="DF286" i="1"/>
  <c r="DE287" i="1"/>
  <c r="DF287" i="1"/>
  <c r="DE288" i="1"/>
  <c r="DF288" i="1"/>
  <c r="DE289" i="1"/>
  <c r="DF289" i="1"/>
  <c r="DE290" i="1"/>
  <c r="DF290" i="1"/>
  <c r="DE291" i="1"/>
  <c r="DF291" i="1"/>
  <c r="DE292" i="1"/>
  <c r="DF292" i="1"/>
  <c r="DE293" i="1"/>
  <c r="DF293" i="1"/>
  <c r="DE294" i="1"/>
  <c r="DF294" i="1"/>
  <c r="DE295" i="1"/>
  <c r="DF295" i="1"/>
  <c r="DE296" i="1"/>
  <c r="DF296" i="1"/>
  <c r="DE297" i="1"/>
  <c r="DF297" i="1"/>
  <c r="DE298" i="1"/>
  <c r="DF298" i="1"/>
  <c r="DE299" i="1"/>
  <c r="DF299" i="1"/>
  <c r="DE300" i="1"/>
  <c r="DF300" i="1"/>
  <c r="DE301" i="1"/>
  <c r="DF301" i="1"/>
  <c r="DE302" i="1"/>
  <c r="DF302" i="1"/>
  <c r="DE303" i="1"/>
  <c r="DF303" i="1"/>
  <c r="DE304" i="1"/>
  <c r="DF304" i="1"/>
  <c r="DE305" i="1"/>
  <c r="DF305" i="1"/>
  <c r="DE306" i="1"/>
  <c r="DF306" i="1"/>
  <c r="DE307" i="1"/>
  <c r="DF307" i="1"/>
  <c r="DE308" i="1"/>
  <c r="DF308" i="1"/>
  <c r="DE309" i="1"/>
  <c r="DF309" i="1"/>
  <c r="DE310" i="1"/>
  <c r="DF310" i="1"/>
  <c r="DE311" i="1"/>
  <c r="DF311" i="1"/>
  <c r="DE312" i="1"/>
  <c r="DF312" i="1"/>
  <c r="DE313" i="1"/>
  <c r="DF313" i="1"/>
  <c r="DE314" i="1"/>
  <c r="DF314" i="1"/>
  <c r="DE315" i="1"/>
  <c r="DF315" i="1"/>
  <c r="DE316" i="1"/>
  <c r="DF316" i="1"/>
  <c r="DE317" i="1"/>
  <c r="DF317" i="1"/>
  <c r="DE318" i="1"/>
  <c r="DF318" i="1"/>
  <c r="DE319" i="1"/>
  <c r="DF319" i="1"/>
  <c r="DE320" i="1"/>
  <c r="DF320" i="1"/>
  <c r="DE321" i="1"/>
  <c r="DF321" i="1"/>
  <c r="DE322" i="1"/>
  <c r="DF322" i="1"/>
  <c r="DE323" i="1"/>
  <c r="DF323" i="1"/>
  <c r="DE324" i="1"/>
  <c r="DF324" i="1"/>
  <c r="DE325" i="1"/>
  <c r="DF325" i="1"/>
  <c r="DE326" i="1"/>
  <c r="DF326" i="1"/>
  <c r="DE327" i="1"/>
  <c r="DF327" i="1"/>
  <c r="DE328" i="1"/>
  <c r="DF328" i="1"/>
  <c r="DE329" i="1"/>
  <c r="DF329" i="1"/>
  <c r="DE330" i="1"/>
  <c r="DF330" i="1"/>
  <c r="DE331" i="1"/>
  <c r="DF331" i="1"/>
  <c r="DE332" i="1"/>
  <c r="DF332" i="1"/>
  <c r="DE333" i="1"/>
  <c r="DF333" i="1"/>
  <c r="DE334" i="1"/>
  <c r="DF334" i="1"/>
  <c r="DE335" i="1"/>
  <c r="DF335" i="1"/>
  <c r="DE336" i="1"/>
  <c r="DF336" i="1"/>
  <c r="DE337" i="1"/>
  <c r="DF337" i="1"/>
  <c r="DE338" i="1"/>
  <c r="DF338" i="1"/>
  <c r="DE339" i="1"/>
  <c r="DF339" i="1"/>
  <c r="DE340" i="1"/>
  <c r="DF340" i="1"/>
  <c r="DE341" i="1"/>
  <c r="DF341" i="1"/>
  <c r="DE342" i="1"/>
  <c r="DF342" i="1"/>
  <c r="DE343" i="1"/>
  <c r="DF343" i="1"/>
  <c r="DE344" i="1"/>
  <c r="DF344" i="1"/>
  <c r="DE345" i="1"/>
  <c r="DF345" i="1"/>
  <c r="DE346" i="1"/>
  <c r="DF346" i="1"/>
  <c r="DE347" i="1"/>
  <c r="DF347" i="1"/>
  <c r="DE348" i="1"/>
  <c r="DF348" i="1"/>
  <c r="DE349" i="1"/>
  <c r="DF349" i="1"/>
  <c r="DE350" i="1"/>
  <c r="DF350" i="1"/>
  <c r="DE351" i="1"/>
  <c r="DF351" i="1"/>
  <c r="DE352" i="1"/>
  <c r="DF352" i="1"/>
  <c r="DE353" i="1"/>
  <c r="DF353" i="1"/>
  <c r="DE354" i="1"/>
  <c r="DF354" i="1"/>
  <c r="DE355" i="1"/>
  <c r="DF355" i="1"/>
  <c r="DE356" i="1"/>
  <c r="DF356" i="1"/>
  <c r="DE357" i="1"/>
  <c r="DF357" i="1"/>
  <c r="DE358" i="1"/>
  <c r="DF358" i="1"/>
  <c r="DE359" i="1"/>
  <c r="DF359" i="1"/>
  <c r="DE360" i="1"/>
  <c r="DF360" i="1"/>
  <c r="DE361" i="1"/>
  <c r="DF361" i="1"/>
  <c r="DE362" i="1"/>
  <c r="DF362" i="1"/>
  <c r="DE363" i="1"/>
  <c r="DF363" i="1"/>
  <c r="DE364" i="1"/>
  <c r="DF364" i="1"/>
  <c r="DE365" i="1"/>
  <c r="DF365" i="1"/>
</calcChain>
</file>

<file path=xl/comments1.xml><?xml version="1.0" encoding="utf-8"?>
<comments xmlns="http://schemas.openxmlformats.org/spreadsheetml/2006/main">
  <authors>
    <author>Francois Retief</author>
    <author>Etienne</author>
  </authors>
  <commentList>
    <comment ref="DK57" authorId="0" shapeId="0">
      <text>
        <r>
          <rPr>
            <b/>
            <sz val="9"/>
            <color indexed="81"/>
            <rFont val="Tahoma"/>
            <family val="2"/>
          </rPr>
          <t>Based on WELS 1 Star rating</t>
        </r>
      </text>
    </comment>
    <comment ref="P225" authorId="1" shapeId="0">
      <text>
        <r>
          <rPr>
            <b/>
            <sz val="8"/>
            <color indexed="81"/>
            <rFont val="Tahoma"/>
            <family val="2"/>
          </rPr>
          <t>Etienne:</t>
        </r>
        <r>
          <rPr>
            <sz val="8"/>
            <color indexed="81"/>
            <rFont val="Tahoma"/>
            <family val="2"/>
          </rPr>
          <t xml:space="preserve">
Unique formulae, don't drag down</t>
        </r>
      </text>
    </comment>
  </commentList>
</comments>
</file>

<file path=xl/sharedStrings.xml><?xml version="1.0" encoding="utf-8"?>
<sst xmlns="http://schemas.openxmlformats.org/spreadsheetml/2006/main" count="1703" uniqueCount="673">
  <si>
    <r>
      <t xml:space="preserve">Please provide input in the </t>
    </r>
    <r>
      <rPr>
        <b/>
        <u/>
        <sz val="14"/>
        <color theme="1"/>
        <rFont val="Arial"/>
        <family val="2"/>
      </rPr>
      <t>white cells only</t>
    </r>
  </si>
  <si>
    <t>Calculations</t>
  </si>
  <si>
    <t>Calculation result</t>
  </si>
  <si>
    <t>Assumptions and Notional Buildinng Benchmarks</t>
  </si>
  <si>
    <t>Potable Water Calculator</t>
  </si>
  <si>
    <t>Shortcut navigation links:</t>
  </si>
  <si>
    <t>Heading (units)</t>
  </si>
  <si>
    <t>Building Info:</t>
  </si>
  <si>
    <t>STEP 1 Building Information Input</t>
  </si>
  <si>
    <t>Input</t>
  </si>
  <si>
    <t>unit</t>
  </si>
  <si>
    <t>Jan</t>
  </si>
  <si>
    <t>Feb</t>
  </si>
  <si>
    <t>Mar</t>
  </si>
  <si>
    <t>Apr</t>
  </si>
  <si>
    <t>May</t>
  </si>
  <si>
    <t>Jun</t>
  </si>
  <si>
    <t>Jul</t>
  </si>
  <si>
    <t>Aug</t>
  </si>
  <si>
    <t>Sep</t>
  </si>
  <si>
    <t>Oct</t>
  </si>
  <si>
    <t>Nov</t>
  </si>
  <si>
    <t>Dec</t>
  </si>
  <si>
    <t>Total</t>
  </si>
  <si>
    <t>Links / Constants</t>
  </si>
  <si>
    <t>Water demands:</t>
  </si>
  <si>
    <t>STEP 2a Occupant Ammenity Water</t>
  </si>
  <si>
    <t>STEP 2b Heat Rejection</t>
  </si>
  <si>
    <t>STEP 2c Irrigation</t>
  </si>
  <si>
    <t>STEP 2d Pools</t>
  </si>
  <si>
    <t>Calculations or Links</t>
  </si>
  <si>
    <t>Local calculations</t>
  </si>
  <si>
    <t>STEP 2e Laundry Facilities</t>
  </si>
  <si>
    <t>STEP 2f Large Kitchens</t>
  </si>
  <si>
    <t>STEP 2g Other Major Water Uses</t>
  </si>
  <si>
    <t>Main page row heading</t>
  </si>
  <si>
    <t>Notional Building</t>
  </si>
  <si>
    <t>Error Checking and quality control</t>
  </si>
  <si>
    <t>Number of rainy days</t>
  </si>
  <si>
    <t>Sustainable Supply:</t>
  </si>
  <si>
    <t>SUMMARY</t>
  </si>
  <si>
    <t>Not applicable</t>
  </si>
  <si>
    <t>Number of days in month</t>
  </si>
  <si>
    <t>Building Information Inputs</t>
  </si>
  <si>
    <t>Interval between rainy days</t>
  </si>
  <si>
    <t>Occupant Densities</t>
  </si>
  <si>
    <t>Rain per rainy day</t>
  </si>
  <si>
    <t>m2 per person</t>
  </si>
  <si>
    <t>GYM PROFILE</t>
  </si>
  <si>
    <r>
      <rPr>
        <b/>
        <sz val="11"/>
        <color theme="0"/>
        <rFont val="Arial"/>
        <family val="2"/>
      </rPr>
      <t xml:space="preserve">STEP 1a - </t>
    </r>
    <r>
      <rPr>
        <sz val="11"/>
        <color theme="0"/>
        <rFont val="Arial"/>
        <family val="2"/>
      </rPr>
      <t xml:space="preserve">Please provide occupant information </t>
    </r>
  </si>
  <si>
    <t>Total UA accounted for</t>
  </si>
  <si>
    <t># of occupants calculations</t>
  </si>
  <si>
    <t>Person-hours per year calculations</t>
  </si>
  <si>
    <t>Shower usage per year calculations</t>
  </si>
  <si>
    <t>Summary of schedules for calculations</t>
  </si>
  <si>
    <t>Office</t>
  </si>
  <si>
    <t>A1 Community / day centre</t>
  </si>
  <si>
    <t>A1 Restaurant / Public House</t>
  </si>
  <si>
    <t>A2 Sports Centre / Leisure centre</t>
  </si>
  <si>
    <t>A2 Theatres / Cinemas / Music Halls</t>
  </si>
  <si>
    <t>A3 Tertiary Education</t>
  </si>
  <si>
    <t>A3 Primary and Secondary Schools</t>
  </si>
  <si>
    <t>A4 Places of Worship</t>
  </si>
  <si>
    <t>Airport / Public Transport terminal buildings</t>
  </si>
  <si>
    <t>C1 Convention Centre / Exhibition hall</t>
  </si>
  <si>
    <t>C2 Libraries / Museums / Galleries</t>
  </si>
  <si>
    <t>Courts</t>
  </si>
  <si>
    <t>Gym</t>
  </si>
  <si>
    <t>&lt;User Defined&gt;</t>
  </si>
  <si>
    <t>Occupant Type</t>
  </si>
  <si>
    <t>Occupancy profile</t>
  </si>
  <si>
    <t>Peak days per week</t>
  </si>
  <si>
    <t>Percentage of occupants with access to showers</t>
  </si>
  <si>
    <t>Hours per day</t>
  </si>
  <si>
    <t>Max occupancy</t>
  </si>
  <si>
    <t>Total Area</t>
  </si>
  <si>
    <t>Irrigation</t>
  </si>
  <si>
    <t>Maximum design number of occupants</t>
  </si>
  <si>
    <t>Number of days</t>
  </si>
  <si>
    <t>Occupied hours per person per year</t>
  </si>
  <si>
    <t>Total occupied person-hours per year</t>
  </si>
  <si>
    <t>Number of occupants with shower access</t>
  </si>
  <si>
    <t>% of occupants who use shower</t>
  </si>
  <si>
    <t>Shower usage per year</t>
  </si>
  <si>
    <t>&lt;Please select&gt;</t>
  </si>
  <si>
    <t>Peak</t>
  </si>
  <si>
    <t>Off-peak</t>
  </si>
  <si>
    <t>Weighted Run-off co-efficient (mm captured per m2 of roof area)</t>
  </si>
  <si>
    <t>Hall / Lecture Theatre</t>
  </si>
  <si>
    <t>Eating / Drinking area</t>
  </si>
  <si>
    <t>School semester</t>
  </si>
  <si>
    <t>Classroom (Tert)</t>
  </si>
  <si>
    <t>Classroom (General)</t>
  </si>
  <si>
    <t>Circulation</t>
  </si>
  <si>
    <t>Fitness suite / Gym</t>
  </si>
  <si>
    <t>&lt;Enter description&gt;</t>
  </si>
  <si>
    <t>Click here to enter a 'User Defined' profile</t>
  </si>
  <si>
    <t>Collection factor (m3 captured per mm of rain)</t>
  </si>
  <si>
    <t>DEMAND</t>
  </si>
  <si>
    <t>Time</t>
  </si>
  <si>
    <t>Peak day</t>
  </si>
  <si>
    <t>Off-peak day</t>
  </si>
  <si>
    <t>First flush lost per event (m3)</t>
  </si>
  <si>
    <t>Off-Peak</t>
  </si>
  <si>
    <t>Weekdays per year</t>
  </si>
  <si>
    <t>Toilets</t>
  </si>
  <si>
    <t>Urinals</t>
  </si>
  <si>
    <t>Indoor taps</t>
  </si>
  <si>
    <t>Showers</t>
  </si>
  <si>
    <t>Heat Rejection</t>
  </si>
  <si>
    <t>Swimming Pool</t>
  </si>
  <si>
    <t>12am - 1am</t>
  </si>
  <si>
    <t>% connected to rain</t>
  </si>
  <si>
    <t>1am - 2am</t>
  </si>
  <si>
    <t>DESIGN YEAR</t>
  </si>
  <si>
    <t>DESIGN RAINFALL YEAR</t>
  </si>
  <si>
    <t>SUPPLY</t>
  </si>
  <si>
    <t>% also connected to grey</t>
  </si>
  <si>
    <t>SAVING DUE TO STORAGE</t>
  </si>
  <si>
    <t>STORAGE</t>
  </si>
  <si>
    <t>2am - 3am</t>
  </si>
  <si>
    <t>Month</t>
  </si>
  <si>
    <t>Nr of weekdays</t>
  </si>
  <si>
    <t>Day</t>
  </si>
  <si>
    <t>Day of week index</t>
  </si>
  <si>
    <t>Weekday</t>
  </si>
  <si>
    <t>Rainy day</t>
  </si>
  <si>
    <t>Actual Design Rainfall (mm)</t>
  </si>
  <si>
    <t>Gross run-off generated (m3)</t>
  </si>
  <si>
    <t>First flush volume lost (m3)</t>
  </si>
  <si>
    <t>Harvested rainwater available (m3)</t>
  </si>
  <si>
    <t>Gross demand</t>
  </si>
  <si>
    <t>Reduction from greywater</t>
  </si>
  <si>
    <t>Net demand</t>
  </si>
  <si>
    <t>Total Supply</t>
  </si>
  <si>
    <t>Total Demand</t>
  </si>
  <si>
    <t>Excess Supply</t>
  </si>
  <si>
    <t>Year 1</t>
  </si>
  <si>
    <t>Year 2</t>
  </si>
  <si>
    <t>Year 3</t>
  </si>
  <si>
    <t>Municipal Water Used</t>
  </si>
  <si>
    <t>3am - 4am</t>
  </si>
  <si>
    <t>4am - 5am</t>
  </si>
  <si>
    <t>5am - 6am</t>
  </si>
  <si>
    <t>6am - 7am</t>
  </si>
  <si>
    <t>7am - 8am</t>
  </si>
  <si>
    <t>8am - 9am</t>
  </si>
  <si>
    <t>9am - 10am</t>
  </si>
  <si>
    <t>10am - 11am</t>
  </si>
  <si>
    <t>11am - 12pm</t>
  </si>
  <si>
    <t>12pm - 1pm</t>
  </si>
  <si>
    <t>1pm - 2pm</t>
  </si>
  <si>
    <t>2pm - 3pm</t>
  </si>
  <si>
    <r>
      <rPr>
        <b/>
        <sz val="11"/>
        <color theme="0"/>
        <rFont val="Arial"/>
        <family val="2"/>
      </rPr>
      <t>STEP 1b -</t>
    </r>
    <r>
      <rPr>
        <sz val="11"/>
        <color theme="0"/>
        <rFont val="Arial"/>
        <family val="2"/>
      </rPr>
      <t xml:space="preserve"> Please provide information regarding the building location</t>
    </r>
  </si>
  <si>
    <t>3pm - 4pm</t>
  </si>
  <si>
    <t>Select building location</t>
  </si>
  <si>
    <t>4pm - 5pm</t>
  </si>
  <si>
    <t>SANS 204 climatic region</t>
  </si>
  <si>
    <t>5pm - 6pm</t>
  </si>
  <si>
    <t>6pm - 7pm</t>
  </si>
  <si>
    <t>Average rainfall</t>
  </si>
  <si>
    <t># rainy days</t>
  </si>
  <si>
    <t>Number of days in week</t>
  </si>
  <si>
    <t>(based on 2010)</t>
  </si>
  <si>
    <t>7pm - 8pm</t>
  </si>
  <si>
    <t>(mm/month)</t>
  </si>
  <si>
    <t>(days per month)</t>
  </si>
  <si>
    <t>8pm - 9pm</t>
  </si>
  <si>
    <t>January</t>
  </si>
  <si>
    <t>Total days in month</t>
  </si>
  <si>
    <t>-</t>
  </si>
  <si>
    <t>9pm - 10pm</t>
  </si>
  <si>
    <t>February</t>
  </si>
  <si>
    <t>vlookup column index</t>
  </si>
  <si>
    <t># peak days</t>
  </si>
  <si>
    <t>Weekends in month</t>
  </si>
  <si>
    <t>10pm - 11pm</t>
  </si>
  <si>
    <t>March</t>
  </si>
  <si>
    <t>5 day week</t>
  </si>
  <si>
    <t>11pm - 12am</t>
  </si>
  <si>
    <t>April</t>
  </si>
  <si>
    <t>6 day week</t>
  </si>
  <si>
    <t>Daily occupancy (person hours per day)</t>
  </si>
  <si>
    <t>7day week</t>
  </si>
  <si>
    <t>Maximum occupancy</t>
  </si>
  <si>
    <t>June</t>
  </si>
  <si>
    <t>July</t>
  </si>
  <si>
    <t>August</t>
  </si>
  <si>
    <t>September</t>
  </si>
  <si>
    <t>October</t>
  </si>
  <si>
    <t>November</t>
  </si>
  <si>
    <t>December</t>
  </si>
  <si>
    <t>Water Demand</t>
  </si>
  <si>
    <t>Occupant Amenity Water</t>
  </si>
  <si>
    <r>
      <rPr>
        <b/>
        <sz val="11"/>
        <color theme="0"/>
        <rFont val="Arial"/>
        <family val="2"/>
      </rPr>
      <t>STEP 2a -</t>
    </r>
    <r>
      <rPr>
        <sz val="11"/>
        <color theme="0"/>
        <rFont val="Arial"/>
        <family val="2"/>
      </rPr>
      <t xml:space="preserve"> Please provide information regarding the indoor fittings installed in the building</t>
    </r>
  </si>
  <si>
    <t>WC</t>
  </si>
  <si>
    <t>Person-hours per year</t>
  </si>
  <si>
    <t>Actual Building</t>
  </si>
  <si>
    <t>Type</t>
  </si>
  <si>
    <t>Flow rate (litres/flush)</t>
  </si>
  <si>
    <t>% of each type</t>
  </si>
  <si>
    <t>Uses per person-hour</t>
  </si>
  <si>
    <t>Uses per year</t>
  </si>
  <si>
    <t>Duration per use (min)</t>
  </si>
  <si>
    <t>Litres/min</t>
  </si>
  <si>
    <t>Litres per use</t>
  </si>
  <si>
    <t>Demand per year</t>
  </si>
  <si>
    <t>Fitting consumption</t>
  </si>
  <si>
    <t>Uses per day (based on 9.5hr workday)</t>
  </si>
  <si>
    <t>Duration per use (s)</t>
  </si>
  <si>
    <t>Toilet 1</t>
  </si>
  <si>
    <t>Toilet - no urinal (l/flush)</t>
  </si>
  <si>
    <t>Toilet 2</t>
  </si>
  <si>
    <t>Toilet</t>
  </si>
  <si>
    <t>n/a</t>
  </si>
  <si>
    <t>Toilet with urinal (l/flush)</t>
  </si>
  <si>
    <t>Toilet 3</t>
  </si>
  <si>
    <t>Urinal</t>
  </si>
  <si>
    <t>Urinal (l/flush)</t>
  </si>
  <si>
    <t>Toilet 4</t>
  </si>
  <si>
    <t>Please complete for 100% of fittings</t>
  </si>
  <si>
    <t>Urinals - autoflush</t>
  </si>
  <si>
    <t>Taps (l/min)</t>
  </si>
  <si>
    <t>Toilet usage adjusted accordingly</t>
  </si>
  <si>
    <t>Taps</t>
  </si>
  <si>
    <t>Calculated using table below</t>
  </si>
  <si>
    <t>Manual WHB/Sink tap</t>
  </si>
  <si>
    <t>Notional Building Predicted Consumption (m3 / year)</t>
  </si>
  <si>
    <t>Timed WHB/Sink tap</t>
  </si>
  <si>
    <t>PIR WHB / Sink tap</t>
  </si>
  <si>
    <t>Shower (l/min)</t>
  </si>
  <si>
    <t>0 or 0.03</t>
  </si>
  <si>
    <t>Are urinals installed in the building?</t>
  </si>
  <si>
    <t>Yes</t>
  </si>
  <si>
    <t>Kitchen</t>
  </si>
  <si>
    <t>Type - Manually flushed urinals</t>
  </si>
  <si>
    <t>Dishwasher</t>
  </si>
  <si>
    <t>Urinal 1</t>
  </si>
  <si>
    <t>Laundry</t>
  </si>
  <si>
    <t>Urinal 2</t>
  </si>
  <si>
    <t>Urinal 3</t>
  </si>
  <si>
    <t>Percentage of occupants who use shower</t>
  </si>
  <si>
    <t>Urinal 4</t>
  </si>
  <si>
    <t>Urinals on Auto-timer</t>
  </si>
  <si>
    <t>Flushes per day</t>
  </si>
  <si>
    <t>No. of cisterns</t>
  </si>
  <si>
    <t>No showers installed</t>
  </si>
  <si>
    <t>Type 1</t>
  </si>
  <si>
    <t>No significant gym or cyclist facilities</t>
  </si>
  <si>
    <t>Type 2</t>
  </si>
  <si>
    <t>Tap input verification - Check that "Controls" were entered, otherwise flowrate is not included in total</t>
  </si>
  <si>
    <t>Controls</t>
  </si>
  <si>
    <t>Flow rate (litres/min)</t>
  </si>
  <si>
    <t>Flow rate entered</t>
  </si>
  <si>
    <t>Controls entered</t>
  </si>
  <si>
    <t>ERROR</t>
  </si>
  <si>
    <t>Indoor tap 1</t>
  </si>
  <si>
    <t>Indoor tap 2</t>
  </si>
  <si>
    <t>Indoor tap 3</t>
  </si>
  <si>
    <t>Indoor tap 4</t>
  </si>
  <si>
    <t>Please specify flow rate and controls for each different indoor tap type</t>
  </si>
  <si>
    <t>ERROR:  PLEASE SELECT SHOWER USAGE</t>
  </si>
  <si>
    <t>No shower usage selected, but there are occupants</t>
  </si>
  <si>
    <t>Shower 1</t>
  </si>
  <si>
    <t>ERROR:  SHOWER FLOW RATES HAVE BEEN ENTERED, BUT NO OCCUPANTS HAVE ACCESS TO SHOWER UNDER BUIDLING INPUTS.  PLEASE CHECK 'BUILDING INFORMATION INPUT'</t>
  </si>
  <si>
    <t>Number of occupants with access to shower defined</t>
  </si>
  <si>
    <t>Shower 2</t>
  </si>
  <si>
    <t>Shower 3</t>
  </si>
  <si>
    <t>Summary of occupant amenity water consumption</t>
  </si>
  <si>
    <t>(m3 per year)</t>
  </si>
  <si>
    <t>Heat Rejection Water Demand</t>
  </si>
  <si>
    <r>
      <rPr>
        <b/>
        <sz val="11"/>
        <color theme="0"/>
        <rFont val="Arial"/>
        <family val="2"/>
      </rPr>
      <t>STEP 2b</t>
    </r>
    <r>
      <rPr>
        <sz val="11"/>
        <color theme="0"/>
        <rFont val="Arial"/>
        <family val="2"/>
      </rPr>
      <t xml:space="preserve"> - Please provide information regarding Heat Rejection water demand in the building. </t>
    </r>
  </si>
  <si>
    <t>Data Validation</t>
  </si>
  <si>
    <t>Please enter the area of the project that is air conditioned</t>
  </si>
  <si>
    <t>m2</t>
  </si>
  <si>
    <t>Water cooled chiller</t>
  </si>
  <si>
    <t>Drift Co-efficient</t>
  </si>
  <si>
    <t>ASHRAE 2008 HVAC Systems and Equipment S39.11 SI - Cooling Towers (TC 8.6)</t>
  </si>
  <si>
    <t>Air cooled chiller</t>
  </si>
  <si>
    <t>Condenser Water dT</t>
  </si>
  <si>
    <t>Industry standard</t>
  </si>
  <si>
    <t>Logical tests</t>
  </si>
  <si>
    <t>Cycles of conentration</t>
  </si>
  <si>
    <t>Eurovent, 9/5, 2nd Edition: 2002, Recommended Code of Practice to Keep Your Cooling System Efficient &amp; Safe</t>
  </si>
  <si>
    <t>Please select Actual building chiller type</t>
  </si>
  <si>
    <t>Notional Building chiller type</t>
  </si>
  <si>
    <t>Nominated area &gt; 2000</t>
  </si>
  <si>
    <t>Please enter cooling tower characteristics.  Refer to the PWC Guide for more details</t>
  </si>
  <si>
    <t>Actual cooling towers</t>
  </si>
  <si>
    <t>List of constants</t>
  </si>
  <si>
    <t>Condenser Water dT (oC)</t>
  </si>
  <si>
    <t>Actl other water hr</t>
  </si>
  <si>
    <t>Latent heat of vaporisation (kJ/kg)</t>
  </si>
  <si>
    <t>Cycles of concentration</t>
  </si>
  <si>
    <t>Conversion factor</t>
  </si>
  <si>
    <t>Density of water (kg/L)</t>
  </si>
  <si>
    <t>Specific heat of water (kJ/LoC)</t>
  </si>
  <si>
    <t>Evaporation (litres)</t>
  </si>
  <si>
    <t>Drift</t>
  </si>
  <si>
    <t>Bleed (litres)</t>
  </si>
  <si>
    <t>Monthly Make-up water (m3)</t>
  </si>
  <si>
    <t>Heat rejection load (kWh/month)</t>
  </si>
  <si>
    <t>Monthly make-up water (m3)</t>
  </si>
  <si>
    <t>Base case water cooled</t>
  </si>
  <si>
    <t>Condenser water flow</t>
  </si>
  <si>
    <t>Drift (litres)</t>
  </si>
  <si>
    <t>Total bleed (m3)</t>
  </si>
  <si>
    <t>Total annual (m3)</t>
  </si>
  <si>
    <t>Does the building have any non-cooling tower water based heat rejection systems?</t>
  </si>
  <si>
    <t>None</t>
  </si>
  <si>
    <t>Non Cooling tower heat rejection water demand (m3/month)</t>
  </si>
  <si>
    <t>Summary of Heat rejection water demand</t>
  </si>
  <si>
    <t>(m3)</t>
  </si>
  <si>
    <t>Consumption (mm/m2/day) (7 day week)</t>
  </si>
  <si>
    <t>Actual building</t>
  </si>
  <si>
    <t>Notional building</t>
  </si>
  <si>
    <t>Irrigation requirement</t>
  </si>
  <si>
    <t>Peak established demand</t>
  </si>
  <si>
    <t>Irrigation Water Demand</t>
  </si>
  <si>
    <t>Landscape area</t>
  </si>
  <si>
    <t>Area</t>
  </si>
  <si>
    <t>Plant water demand (mm/m2/day)</t>
  </si>
  <si>
    <t>Microclimate factor</t>
  </si>
  <si>
    <t>Irrigation water demand (mm/m2/day)</t>
  </si>
  <si>
    <t>Irrigation application efficiency</t>
  </si>
  <si>
    <t>No controls</t>
  </si>
  <si>
    <t>Seasonal Programmable Timer</t>
  </si>
  <si>
    <t>Rainwater sensing</t>
  </si>
  <si>
    <t>Irrigation (mm/m2/day)</t>
  </si>
  <si>
    <t>Density factor</t>
  </si>
  <si>
    <t>Daily water demand (mm/m2/day)</t>
  </si>
  <si>
    <t>&lt;please select&gt;</t>
  </si>
  <si>
    <t xml:space="preserve"> </t>
  </si>
  <si>
    <t>Average irrigation application efficiency</t>
  </si>
  <si>
    <t>Xeriscaping</t>
  </si>
  <si>
    <t>0mm/m2/week</t>
  </si>
  <si>
    <t>Rainfall</t>
  </si>
  <si>
    <t>Landscape Area description</t>
  </si>
  <si>
    <t>Area (m2)</t>
  </si>
  <si>
    <t>Irrigation requirements</t>
  </si>
  <si>
    <t>Consumption per week</t>
  </si>
  <si>
    <t>Irrigation system</t>
  </si>
  <si>
    <t>Microclimate</t>
  </si>
  <si>
    <t>Irrigation System Controls</t>
  </si>
  <si>
    <t>Notional building irrigation demands (m3/year)</t>
  </si>
  <si>
    <t>Low</t>
  </si>
  <si>
    <t>7.5mm/m2/week</t>
  </si>
  <si>
    <t>Landscape 1</t>
  </si>
  <si>
    <t>Medium low</t>
  </si>
  <si>
    <t>12.5mm/m2/week</t>
  </si>
  <si>
    <t>Sprinklers - Day</t>
  </si>
  <si>
    <t>Landscape 2</t>
  </si>
  <si>
    <t>Medium</t>
  </si>
  <si>
    <t>20mm/m2/week</t>
  </si>
  <si>
    <t>Sprinklers - Night</t>
  </si>
  <si>
    <t>Landscape 3</t>
  </si>
  <si>
    <t>Medium high</t>
  </si>
  <si>
    <t>30mm/m2/week</t>
  </si>
  <si>
    <t>Sprays - Day</t>
  </si>
  <si>
    <t>Landscape 4</t>
  </si>
  <si>
    <t>High</t>
  </si>
  <si>
    <t>40mm/m2/week</t>
  </si>
  <si>
    <t>Sprays - Night</t>
  </si>
  <si>
    <t>Landscape 5</t>
  </si>
  <si>
    <t>Microsprays - Day</t>
  </si>
  <si>
    <t>TOTAL (m2)</t>
  </si>
  <si>
    <t>Microsprays - Night</t>
  </si>
  <si>
    <t>Rainfall (mm/m2/month)</t>
  </si>
  <si>
    <t>Diversity Factor</t>
  </si>
  <si>
    <t>Plant water demand (mm/m2/month)</t>
  </si>
  <si>
    <t>Irrigation requirement (mm/m2/month)</t>
  </si>
  <si>
    <t>Total zone water requirement (m3/month)</t>
  </si>
  <si>
    <t>TOTALS</t>
  </si>
  <si>
    <t>Plant water demand (m3/month)</t>
  </si>
  <si>
    <t>Drip - Bare soil</t>
  </si>
  <si>
    <t>Summary of Irrigation Water Demand</t>
  </si>
  <si>
    <t>Exposed - no shade during the day, high temperatures, full wind exposure on all sides</t>
  </si>
  <si>
    <t>Drip - Under mulch</t>
  </si>
  <si>
    <t>Normal</t>
  </si>
  <si>
    <t>Subsurface drip (SDI)</t>
  </si>
  <si>
    <t>Irrigation Schedule</t>
  </si>
  <si>
    <t>Protected - full shade, no direct sun during the day.  High wind protection, shelter on 3 or 4 sides</t>
  </si>
  <si>
    <t>Hand watering</t>
  </si>
  <si>
    <t>Plant density factor</t>
  </si>
  <si>
    <t>Monthly rainfall</t>
  </si>
  <si>
    <t>As actual</t>
  </si>
  <si>
    <t>Dense</t>
  </si>
  <si>
    <t>Total landscaped areas</t>
  </si>
  <si>
    <t>Percentage of zone undercover</t>
  </si>
  <si>
    <t>Sparse</t>
  </si>
  <si>
    <t>Peak daily water demand</t>
  </si>
  <si>
    <t>4mm/m2/day</t>
  </si>
  <si>
    <t>Monthly irrigation schedule</t>
  </si>
  <si>
    <t>Density of vegetation</t>
  </si>
  <si>
    <t>Application efficiency of sprinklers</t>
  </si>
  <si>
    <t>Duration per backwash (min)</t>
  </si>
  <si>
    <t>Net evaporation co-efficient</t>
  </si>
  <si>
    <t>Net Evaporation co-efficient</t>
  </si>
  <si>
    <t>Building Specific Major Water Uses - Swimming Pools</t>
  </si>
  <si>
    <t>BACKWASH</t>
  </si>
  <si>
    <t>ET0 (mm/m2/day)</t>
  </si>
  <si>
    <t>MAIN POOL</t>
  </si>
  <si>
    <t>FILTRATION POOL</t>
  </si>
  <si>
    <t>TOTAL Evaporation Make-up required (m3/month)</t>
  </si>
  <si>
    <r>
      <rPr>
        <b/>
        <sz val="11"/>
        <color theme="0"/>
        <rFont val="Arial"/>
        <family val="2"/>
      </rPr>
      <t>STEP 2d -</t>
    </r>
    <r>
      <rPr>
        <sz val="11"/>
        <color theme="0"/>
        <rFont val="Arial"/>
        <family val="2"/>
      </rPr>
      <t xml:space="preserve"> Please provide information regarding swimming pool water consumption in the building.  If there are no swimming pools, please proceed to the next step</t>
    </r>
  </si>
  <si>
    <t>Backwashes per month</t>
  </si>
  <si>
    <t>Water per backwash (litres)</t>
  </si>
  <si>
    <t>Backwash water per month (m3)</t>
  </si>
  <si>
    <t>Cartridge filter water per month (m3)</t>
  </si>
  <si>
    <t>Total filter water consumption</t>
  </si>
  <si>
    <t>Total Evaporation per month (m3)</t>
  </si>
  <si>
    <t>Available Rain make-up (m3)</t>
  </si>
  <si>
    <t>Evaporation make-up required (m3)</t>
  </si>
  <si>
    <t>Available rainwater make-up (m3)</t>
  </si>
  <si>
    <t>Backwash schedule</t>
  </si>
  <si>
    <t>(Assuming one backwash for every 70hrs of pool operation)</t>
  </si>
  <si>
    <t>Is there a swimming pool installed at the building?</t>
  </si>
  <si>
    <t>No</t>
  </si>
  <si>
    <t>Basic controls</t>
  </si>
  <si>
    <t>Pump hrs/day</t>
  </si>
  <si>
    <t>Days/year</t>
  </si>
  <si>
    <t>Pump operation Hrs/year</t>
  </si>
  <si>
    <t>Backwash/Cartridge cycles per year</t>
  </si>
  <si>
    <t>Pool volume (m3)</t>
  </si>
  <si>
    <t>Summer</t>
  </si>
  <si>
    <t>Pool surface area (excluding filtration pools) (m2)</t>
  </si>
  <si>
    <t>Spring/Autumn</t>
  </si>
  <si>
    <t>Winter</t>
  </si>
  <si>
    <t>Filtration system</t>
  </si>
  <si>
    <t>Please select pool filtration system</t>
  </si>
  <si>
    <t>Advanced Controls</t>
  </si>
  <si>
    <t>Please enter pool pump flow rate (litres/min)</t>
  </si>
  <si>
    <t>Hrs/year</t>
  </si>
  <si>
    <t>Please select pool filtration controls</t>
  </si>
  <si>
    <t>Number of cartridge filters</t>
  </si>
  <si>
    <t>Natural filtration pool</t>
  </si>
  <si>
    <t>Filtration pool area (m2)</t>
  </si>
  <si>
    <t>Indoor/outdoor</t>
  </si>
  <si>
    <t>Evaporation</t>
  </si>
  <si>
    <t>TOTAL</t>
  </si>
  <si>
    <t>Backwash duration</t>
  </si>
  <si>
    <t>min</t>
  </si>
  <si>
    <t>Notional Building Assumptions</t>
  </si>
  <si>
    <t>Main pool input</t>
  </si>
  <si>
    <t>Filtration pool input</t>
  </si>
  <si>
    <t xml:space="preserve">Manual </t>
  </si>
  <si>
    <t>Filter</t>
  </si>
  <si>
    <t>Sand filter</t>
  </si>
  <si>
    <t>heated/non heated</t>
  </si>
  <si>
    <t>Swimmingpool</t>
  </si>
  <si>
    <t>Indoor</t>
  </si>
  <si>
    <t>Automatic</t>
  </si>
  <si>
    <t>Pool  cover</t>
  </si>
  <si>
    <t>Sand / Sorptive media filter</t>
  </si>
  <si>
    <t>Outdoor</t>
  </si>
  <si>
    <t>Pump size (l/min)</t>
  </si>
  <si>
    <t>(assume pump can cycle pool volume in 5 hrs)</t>
  </si>
  <si>
    <t>Cartridge filter</t>
  </si>
  <si>
    <t>Non-heated</t>
  </si>
  <si>
    <t>Cartridge filtration</t>
  </si>
  <si>
    <t>litres</t>
  </si>
  <si>
    <t>Backwash duration (min)</t>
  </si>
  <si>
    <t>Notional Building (m3/year)</t>
  </si>
  <si>
    <t>Natural filtration</t>
  </si>
  <si>
    <t>Heated</t>
  </si>
  <si>
    <t>Water consumption per clean</t>
  </si>
  <si>
    <t>Backwashes per year</t>
  </si>
  <si>
    <t>Total filtration consumption (m3/year)</t>
  </si>
  <si>
    <t>Basic Controls</t>
  </si>
  <si>
    <t>Pool blanket</t>
  </si>
  <si>
    <t>Total evaporation consumption (m3/year)</t>
  </si>
  <si>
    <t>Evaporation co-efficients</t>
  </si>
  <si>
    <t>Reference</t>
  </si>
  <si>
    <t>Total swimming pool make-up (m3)</t>
  </si>
  <si>
    <t>Reference required</t>
  </si>
  <si>
    <t>Building Specific Major Water Uses - Laundry Facility Water Demand</t>
  </si>
  <si>
    <r>
      <rPr>
        <b/>
        <sz val="11"/>
        <color theme="0"/>
        <rFont val="Arial"/>
        <family val="2"/>
      </rPr>
      <t>STEP 2e</t>
    </r>
    <r>
      <rPr>
        <sz val="11"/>
        <color theme="0"/>
        <rFont val="Arial"/>
        <family val="2"/>
      </rPr>
      <t xml:space="preserve"> - Please provide information regarding laundry facilities provided as part of the base building contract.  If there are no laundry facilities, please proceed to the next step</t>
    </r>
  </si>
  <si>
    <t>Pool Cover</t>
  </si>
  <si>
    <t>Daisy Pool Covers, Fact sheet 1 Evaporation, 2005</t>
  </si>
  <si>
    <t>Are laundry facilities provided in the building?</t>
  </si>
  <si>
    <t>Facility Provided</t>
  </si>
  <si>
    <t>Optional</t>
  </si>
  <si>
    <t>Please enter the estimated laundry load per month</t>
  </si>
  <si>
    <t>Mandatory</t>
  </si>
  <si>
    <t>Estimated Laundry Load (kg)</t>
  </si>
  <si>
    <t>User select</t>
  </si>
  <si>
    <t>Total Typical Water Demand* (m3)</t>
  </si>
  <si>
    <t>Display Actual input</t>
  </si>
  <si>
    <t>Laundry Water Demand (m3)</t>
  </si>
  <si>
    <t>% Laundry of Total</t>
  </si>
  <si>
    <t>Notional Building (m3/month)</t>
  </si>
  <si>
    <t>Included</t>
  </si>
  <si>
    <t>*Includes Occupant Amenity, Heat Rejection &amp; Irrigation Water</t>
  </si>
  <si>
    <t>Laundry - Notional Building Assumptions</t>
  </si>
  <si>
    <t>Efficiency of Laundry Equipment (litre/load)</t>
  </si>
  <si>
    <t>Threshold for optional compliance</t>
  </si>
  <si>
    <t>Laundry accounts for &lt;3% of total demand, actual building input optional</t>
  </si>
  <si>
    <t>Laundry accounts for &gt;3% of total demand, actual building input mandatory</t>
  </si>
  <si>
    <t>Total Laundry demand</t>
  </si>
  <si>
    <t>Building Specific Major Water Uses - Large Kitchen Water Demand</t>
  </si>
  <si>
    <r>
      <rPr>
        <b/>
        <sz val="11"/>
        <color theme="0"/>
        <rFont val="Arial"/>
        <family val="2"/>
      </rPr>
      <t>STEP 2f -</t>
    </r>
    <r>
      <rPr>
        <sz val="11"/>
        <color theme="0"/>
        <rFont val="Arial"/>
        <family val="2"/>
      </rPr>
      <t xml:space="preserve"> Please provide information regarding Large Kitchens provided in the building.  If there are no Large Kitchen facilities, please proceed to the next step</t>
    </r>
  </si>
  <si>
    <t>Is there a large kitchen providing meals in the building?</t>
  </si>
  <si>
    <t>Please enter the estimated number of meals served per month</t>
  </si>
  <si>
    <t>Please select kitchen items installed</t>
  </si>
  <si>
    <t>Estimated number of meals served</t>
  </si>
  <si>
    <t>Dishwashers</t>
  </si>
  <si>
    <t>Under Counter</t>
  </si>
  <si>
    <t>Pre rinse valves</t>
  </si>
  <si>
    <t>INCLUDED</t>
  </si>
  <si>
    <t>Basin / Sink Taps</t>
  </si>
  <si>
    <t>Steam Cookers</t>
  </si>
  <si>
    <t>Notional Building Consumption</t>
  </si>
  <si>
    <t>Actual Building Consumption</t>
  </si>
  <si>
    <t>Kitchen - Notional Building Assumptions</t>
  </si>
  <si>
    <t>Pre rinse</t>
  </si>
  <si>
    <t>Reference case usage</t>
  </si>
  <si>
    <t>Usage</t>
  </si>
  <si>
    <t>Consumption per meal (ltr/meal)</t>
  </si>
  <si>
    <t>Consumption (ltr/meal)</t>
  </si>
  <si>
    <t>Basin</t>
  </si>
  <si>
    <t>Steam cooker</t>
  </si>
  <si>
    <t>Kitchen Water Demand (m3)</t>
  </si>
  <si>
    <t>ltr/rack</t>
  </si>
  <si>
    <t>1 rack per 10 meals</t>
  </si>
  <si>
    <t>% Kitchen of Total</t>
  </si>
  <si>
    <t>Single Tank Door</t>
  </si>
  <si>
    <t>Tank Conveyor</t>
  </si>
  <si>
    <t>Multiple Tank Conveyor</t>
  </si>
  <si>
    <t>ltr/min</t>
  </si>
  <si>
    <t>1 minute per 5 meals</t>
  </si>
  <si>
    <t>Basin / Sink Tap</t>
  </si>
  <si>
    <t>ltr/hour</t>
  </si>
  <si>
    <t>1 hour per 25 meals</t>
  </si>
  <si>
    <t>Total Kitchen demand</t>
  </si>
  <si>
    <t>Other Major Water Use</t>
  </si>
  <si>
    <t>Other Major Water Uses</t>
  </si>
  <si>
    <t>Threshold for inclusion:</t>
  </si>
  <si>
    <r>
      <rPr>
        <b/>
        <sz val="11"/>
        <color theme="0"/>
        <rFont val="Arial"/>
        <family val="2"/>
      </rPr>
      <t>STEP 2g</t>
    </r>
    <r>
      <rPr>
        <sz val="11"/>
        <color theme="0"/>
        <rFont val="Arial"/>
        <family val="2"/>
      </rPr>
      <t xml:space="preserve"> - Please provide information regarding other major water uses in the building.  If there are no other major water uses, please proceed to the next step</t>
    </r>
  </si>
  <si>
    <t>For more details on how to include major water uses, please refer to the Potable Water Calculator Guide</t>
  </si>
  <si>
    <t>Other major water use</t>
  </si>
  <si>
    <t>Are there any other major water demands not accounted for in the calculator?</t>
  </si>
  <si>
    <t>Notional Building demand &gt; 3% of total.  Demand included</t>
  </si>
  <si>
    <t>{Other Water Use 1}</t>
  </si>
  <si>
    <t>{Other Water Use 2}</t>
  </si>
  <si>
    <t>{Other Water Use 3}</t>
  </si>
  <si>
    <t>Notional Building demand &lt;3% of total.  Demand not included</t>
  </si>
  <si>
    <t>(m3 per month)</t>
  </si>
  <si>
    <t>Included:</t>
  </si>
  <si>
    <t>Total (m3 per year)</t>
  </si>
  <si>
    <t>Monthly Breakdown of demand</t>
  </si>
  <si>
    <t>Include</t>
  </si>
  <si>
    <t>Summary of Water Demands</t>
  </si>
  <si>
    <t># of days</t>
  </si>
  <si>
    <t>Evaporation &amp; Drift</t>
  </si>
  <si>
    <t>Bleed</t>
  </si>
  <si>
    <t>Laundry Facilities</t>
  </si>
  <si>
    <t>Large Kitchens</t>
  </si>
  <si>
    <t>Swimming pool</t>
  </si>
  <si>
    <t>Rainwater collection</t>
  </si>
  <si>
    <t>First flush volume (L/m2)</t>
  </si>
  <si>
    <t>Recycled water supply</t>
  </si>
  <si>
    <t>Rain day minimimum</t>
  </si>
  <si>
    <t>1mm</t>
  </si>
  <si>
    <t>Run-off co-efficients</t>
  </si>
  <si>
    <t>Steel roof &gt;30o Pitch</t>
  </si>
  <si>
    <t>Non-absorbent roof&gt;30o Pitch</t>
  </si>
  <si>
    <t>Flat non-absorbent roof &lt; 30o Pitch</t>
  </si>
  <si>
    <t>Flat gravel or turf roof &lt; 30o pitch</t>
  </si>
  <si>
    <t>Rainwater harvesting</t>
  </si>
  <si>
    <t>Off-site water supply</t>
  </si>
  <si>
    <t>Stepped sustainable water demand</t>
  </si>
  <si>
    <t>Off-site non potable</t>
  </si>
  <si>
    <t>Grey</t>
  </si>
  <si>
    <t>Rain</t>
  </si>
  <si>
    <t>Off-site supply</t>
  </si>
  <si>
    <t>Off-site demand per month</t>
  </si>
  <si>
    <t>Max  potential saving</t>
  </si>
  <si>
    <t>savings per month</t>
  </si>
  <si>
    <t>Rainwater</t>
  </si>
  <si>
    <t>Offsite water</t>
  </si>
  <si>
    <t>Total demand (m3/year)</t>
  </si>
  <si>
    <t>Maximum demand</t>
  </si>
  <si>
    <t>Off-site potential for potable demand reduction (m3/year)</t>
  </si>
  <si>
    <t>Weighted average co-efficient</t>
  </si>
  <si>
    <t>Total area</t>
  </si>
  <si>
    <t>Potential savings per year</t>
  </si>
  <si>
    <t>Discharged to sewer</t>
  </si>
  <si>
    <t>Recycled</t>
  </si>
  <si>
    <t>Reduction in discharge to sewer</t>
  </si>
  <si>
    <t>Discharge to sewer</t>
  </si>
  <si>
    <t>Water usage SUMMARY</t>
  </si>
  <si>
    <t>Total Water Demand</t>
  </si>
  <si>
    <t>WHB</t>
  </si>
  <si>
    <t>Heat Rejection Bleed</t>
  </si>
  <si>
    <t>Swimming Pool Backwash</t>
  </si>
  <si>
    <t>Potable Water demand</t>
  </si>
  <si>
    <t>Reduction</t>
  </si>
  <si>
    <t>Reduction vs. Notional Building</t>
  </si>
  <si>
    <t>Points Claimed</t>
  </si>
  <si>
    <t>Green Star SA - Existing Building Performance</t>
  </si>
  <si>
    <t>Project Building</t>
  </si>
  <si>
    <t>Points claimed</t>
  </si>
  <si>
    <t>Please fill in the water usage for a year</t>
  </si>
  <si>
    <t>Retail</t>
  </si>
  <si>
    <t>Cyclist facilities for 3% of Occupants</t>
  </si>
  <si>
    <t>Cyclist Facilities for 6% of Occupants</t>
  </si>
  <si>
    <t>Johannesburg</t>
  </si>
  <si>
    <r>
      <rPr>
        <b/>
        <sz val="11"/>
        <color theme="0"/>
        <rFont val="Arial"/>
        <family val="2"/>
      </rPr>
      <t>STEP 2c -</t>
    </r>
    <r>
      <rPr>
        <sz val="11"/>
        <color theme="0"/>
        <rFont val="Arial"/>
        <family val="2"/>
      </rPr>
      <t xml:space="preserve"> Please provide areas of landscaped zones</t>
    </r>
  </si>
  <si>
    <t>Laundry input is optional.  Would you like to consider laundry water demand?</t>
  </si>
  <si>
    <t>Number of Occupants in Building at Busiest Time of Typical Day</t>
  </si>
  <si>
    <t>Kitchen input is optional.  Would you like to consider kitchen water demand?</t>
  </si>
  <si>
    <t>for your actual building (m3)</t>
  </si>
  <si>
    <t>Change Log</t>
  </si>
  <si>
    <t>Changes &amp; Amendments</t>
  </si>
  <si>
    <t>Reissue Date</t>
  </si>
  <si>
    <t>Changes</t>
  </si>
  <si>
    <t>- Notional Building WC, urinal, tap and shower benchmarks adjusted to align with standard practice.
- Aesthetic changes made</t>
  </si>
  <si>
    <t>Anticipated Shower Usage</t>
  </si>
  <si>
    <t>Gym area (80% usage)</t>
  </si>
  <si>
    <t>Hotel (100% usage)</t>
  </si>
  <si>
    <t>Hotel</t>
  </si>
  <si>
    <t>Bedroom</t>
  </si>
  <si>
    <t>- Occupancy profiles added for Hotel spaces
- Shower profiles added for Hotel spaces</t>
  </si>
  <si>
    <t>- Point-scales adjusted to align with best practice achievement</t>
  </si>
  <si>
    <t>Precipitation Average Monthly (mm)</t>
  </si>
  <si>
    <t>SANS 204 REGION</t>
  </si>
  <si>
    <t>Diversity Factor for irrigation</t>
  </si>
  <si>
    <t xml:space="preserve">December </t>
  </si>
  <si>
    <t>Beaufort West</t>
  </si>
  <si>
    <t>Precip (mm)</t>
  </si>
  <si>
    <t>Climatic Zone</t>
  </si>
  <si>
    <t>Bela-Bela</t>
  </si>
  <si>
    <t>Belfast</t>
  </si>
  <si>
    <t>Zone 1 - Cold Interior</t>
  </si>
  <si>
    <t>Bethal</t>
  </si>
  <si>
    <t>Zone 2 - Temperate Interior</t>
  </si>
  <si>
    <t>Bethlehem</t>
  </si>
  <si>
    <t>Zone 3 - Hot Interior</t>
  </si>
  <si>
    <t>Bloemfontein</t>
  </si>
  <si>
    <t>Zone 4 - Temperate Coastal</t>
  </si>
  <si>
    <t>Calvinia</t>
  </si>
  <si>
    <t>Zone 5 - Sub-tropical Coastal</t>
  </si>
  <si>
    <t>Cape Town</t>
  </si>
  <si>
    <t>Zone 6 - Arid Interior</t>
  </si>
  <si>
    <t>De Aar</t>
  </si>
  <si>
    <t>Durban</t>
  </si>
  <si>
    <t>Evapo-Transpiration</t>
  </si>
  <si>
    <t>(mm/m2/day)</t>
  </si>
  <si>
    <t>East London</t>
  </si>
  <si>
    <t>George</t>
  </si>
  <si>
    <t>Kimberley</t>
  </si>
  <si>
    <t>Ladysmith</t>
  </si>
  <si>
    <t>Langebaan</t>
  </si>
  <si>
    <t>Musina</t>
  </si>
  <si>
    <t>Nelspruit</t>
  </si>
  <si>
    <t>Nmmabatho</t>
  </si>
  <si>
    <t>A-pan Evaporation data</t>
  </si>
  <si>
    <t>Pietermaritzburg</t>
  </si>
  <si>
    <t>Pilansberg</t>
  </si>
  <si>
    <t>Polokwane</t>
  </si>
  <si>
    <t>Port Elizabeth</t>
  </si>
  <si>
    <t>Pretoria</t>
  </si>
  <si>
    <t>Richards Bay</t>
  </si>
  <si>
    <t>Skukuza</t>
  </si>
  <si>
    <t>Thohoyandou</t>
  </si>
  <si>
    <t>Tstsikama</t>
  </si>
  <si>
    <t>Umtata</t>
  </si>
  <si>
    <t>Upington</t>
  </si>
  <si>
    <t>For graph</t>
  </si>
  <si>
    <t>Select city</t>
  </si>
  <si>
    <t>Select SANS 204 Climatic Zone</t>
  </si>
  <si>
    <t>Rainy days per month</t>
  </si>
  <si>
    <t>- Error in Rainfall Data corrected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</si>
</sst>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
    <numFmt numFmtId="165" formatCode="#,##0.0"/>
    <numFmt numFmtId="166" formatCode="0.000%"/>
    <numFmt numFmtId="167" formatCode="#,##0.000"/>
    <numFmt numFmtId="168" formatCode="0.000"/>
    <numFmt numFmtId="169" formatCode="0.0%"/>
    <numFmt numFmtId="170" formatCode="[$-1C09]dd\ mmmm\ yyyy;@"/>
  </numFmts>
  <fonts count="79">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Arial"/>
      <family val="2"/>
    </font>
    <font>
      <sz val="8"/>
      <color theme="1"/>
      <name val="Arial"/>
      <family val="2"/>
    </font>
    <font>
      <b/>
      <sz val="14"/>
      <color theme="1"/>
      <name val="Arial"/>
      <family val="2"/>
    </font>
    <font>
      <b/>
      <u/>
      <sz val="14"/>
      <color theme="1"/>
      <name val="Arial"/>
      <family val="2"/>
    </font>
    <font>
      <b/>
      <sz val="12"/>
      <color theme="1"/>
      <name val="Arial"/>
      <family val="2"/>
    </font>
    <font>
      <sz val="8"/>
      <color theme="4" tint="0.59999389629810485"/>
      <name val="Arial"/>
      <family val="2"/>
    </font>
    <font>
      <b/>
      <u/>
      <sz val="9"/>
      <color theme="0"/>
      <name val="Arial"/>
      <family val="2"/>
    </font>
    <font>
      <sz val="8"/>
      <color theme="0"/>
      <name val="Arial"/>
      <family val="2"/>
    </font>
    <font>
      <b/>
      <sz val="12"/>
      <color theme="0"/>
      <name val="Calibri"/>
      <family val="2"/>
      <scheme val="minor"/>
    </font>
    <font>
      <u/>
      <sz val="7.5"/>
      <color indexed="12"/>
      <name val="Geneva"/>
      <family val="2"/>
    </font>
    <font>
      <b/>
      <u/>
      <sz val="10"/>
      <color theme="0"/>
      <name val="Geneva"/>
      <family val="2"/>
    </font>
    <font>
      <b/>
      <sz val="8"/>
      <color theme="0"/>
      <name val="Arial"/>
      <family val="2"/>
    </font>
    <font>
      <sz val="8"/>
      <color theme="1" tint="0.14999847407452621"/>
      <name val="Arial"/>
      <family val="2"/>
    </font>
    <font>
      <sz val="9"/>
      <color theme="0"/>
      <name val="Arial"/>
      <family val="2"/>
    </font>
    <font>
      <b/>
      <sz val="8"/>
      <color rgb="FFFF0000"/>
      <name val="Arial"/>
      <family val="2"/>
    </font>
    <font>
      <sz val="9"/>
      <color theme="0" tint="-0.14999847407452621"/>
      <name val="Arial"/>
      <family val="2"/>
    </font>
    <font>
      <sz val="8"/>
      <color rgb="FFFF9900"/>
      <name val="Arial"/>
      <family val="2"/>
    </font>
    <font>
      <b/>
      <sz val="14"/>
      <color theme="0"/>
      <name val="Arial"/>
      <family val="2"/>
    </font>
    <font>
      <sz val="10"/>
      <color theme="0"/>
      <name val="Arial"/>
      <family val="2"/>
    </font>
    <font>
      <sz val="11"/>
      <color theme="0"/>
      <name val="Arial"/>
      <family val="2"/>
    </font>
    <font>
      <b/>
      <sz val="11"/>
      <color theme="0"/>
      <name val="Arial"/>
      <family val="2"/>
    </font>
    <font>
      <sz val="9"/>
      <color theme="1"/>
      <name val="Arial"/>
      <family val="2"/>
    </font>
    <font>
      <b/>
      <u/>
      <sz val="9"/>
      <color theme="0"/>
      <name val="Geneva"/>
    </font>
    <font>
      <sz val="10"/>
      <color theme="1"/>
      <name val="Arial"/>
      <family val="2"/>
    </font>
    <font>
      <sz val="8"/>
      <color theme="1"/>
      <name val="Calibri"/>
      <family val="2"/>
      <scheme val="minor"/>
    </font>
    <font>
      <b/>
      <sz val="8"/>
      <color theme="1" tint="0.14999847407452621"/>
      <name val="Arial"/>
      <family val="2"/>
    </font>
    <font>
      <b/>
      <sz val="10"/>
      <color rgb="FFFF0000"/>
      <name val="Arial"/>
      <family val="2"/>
    </font>
    <font>
      <sz val="9"/>
      <color theme="1"/>
      <name val="Calibri"/>
      <family val="2"/>
      <scheme val="minor"/>
    </font>
    <font>
      <sz val="9"/>
      <color theme="1" tint="0.14999847407452621"/>
      <name val="Arial"/>
      <family val="2"/>
    </font>
    <font>
      <b/>
      <sz val="9"/>
      <color theme="0"/>
      <name val="Arial"/>
      <family val="2"/>
    </font>
    <font>
      <b/>
      <sz val="9"/>
      <color theme="1" tint="0.14999847407452621"/>
      <name val="Arial"/>
      <family val="2"/>
    </font>
    <font>
      <b/>
      <sz val="8"/>
      <color theme="1"/>
      <name val="Arial"/>
      <family val="2"/>
    </font>
    <font>
      <sz val="9"/>
      <color rgb="FFC00000"/>
      <name val="Arial"/>
      <family val="2"/>
    </font>
    <font>
      <sz val="8"/>
      <color theme="9" tint="0.59999389629810485"/>
      <name val="Arial"/>
      <family val="2"/>
    </font>
    <font>
      <sz val="9"/>
      <name val="Arial"/>
      <family val="2"/>
    </font>
    <font>
      <sz val="9"/>
      <color theme="0" tint="-0.34998626667073579"/>
      <name val="Arial"/>
      <family val="2"/>
    </font>
    <font>
      <b/>
      <sz val="9"/>
      <color rgb="FFFF0000"/>
      <name val="Arial"/>
      <family val="2"/>
    </font>
    <font>
      <sz val="10"/>
      <name val="Verdana"/>
      <family val="2"/>
    </font>
    <font>
      <sz val="8"/>
      <color theme="1" tint="0.499984740745262"/>
      <name val="Arial"/>
      <family val="2"/>
    </font>
    <font>
      <sz val="10"/>
      <name val="Arial"/>
      <family val="2"/>
    </font>
    <font>
      <sz val="16"/>
      <color theme="0"/>
      <name val="Arial"/>
      <family val="2"/>
    </font>
    <font>
      <sz val="9"/>
      <color rgb="FFFF0000"/>
      <name val="Arial"/>
      <family val="2"/>
    </font>
    <font>
      <sz val="11"/>
      <color theme="1"/>
      <name val="Arial"/>
      <family val="2"/>
    </font>
    <font>
      <sz val="8"/>
      <name val="Arial"/>
      <family val="2"/>
    </font>
    <font>
      <sz val="8"/>
      <color rgb="FFFF0000"/>
      <name val="Arial"/>
      <family val="2"/>
    </font>
    <font>
      <b/>
      <sz val="8"/>
      <color indexed="81"/>
      <name val="Tahoma"/>
      <family val="2"/>
    </font>
    <font>
      <sz val="8"/>
      <color indexed="81"/>
      <name val="Tahoma"/>
      <family val="2"/>
    </font>
    <font>
      <sz val="11"/>
      <color indexed="8"/>
      <name val="Calibri"/>
      <family val="2"/>
    </font>
    <font>
      <sz val="11"/>
      <color indexed="9"/>
      <name val="Calibri"/>
      <family val="2"/>
    </font>
    <font>
      <sz val="11"/>
      <color indexed="25"/>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7.5"/>
      <color indexed="12"/>
      <name val="Geneva"/>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1"/>
      <color rgb="FFFF0000"/>
      <name val="Arial"/>
      <family val="2"/>
    </font>
    <font>
      <b/>
      <sz val="11"/>
      <color theme="1"/>
      <name val="Arial"/>
      <family val="2"/>
    </font>
    <font>
      <b/>
      <sz val="11"/>
      <color rgb="FFFF0000"/>
      <name val="Calibri"/>
      <family val="2"/>
      <scheme val="minor"/>
    </font>
    <font>
      <sz val="8"/>
      <color theme="1" tint="0.249977111117893"/>
      <name val="Arial"/>
      <family val="2"/>
    </font>
    <font>
      <b/>
      <sz val="9"/>
      <color indexed="81"/>
      <name val="Tahoma"/>
      <family val="2"/>
    </font>
    <font>
      <b/>
      <sz val="20"/>
      <color indexed="9"/>
      <name val="Verdana"/>
      <family val="2"/>
    </font>
    <font>
      <b/>
      <sz val="12"/>
      <name val="Arial"/>
      <family val="2"/>
    </font>
    <font>
      <b/>
      <sz val="10"/>
      <color indexed="10"/>
      <name val="Arial"/>
      <family val="2"/>
    </font>
    <font>
      <b/>
      <sz val="11"/>
      <color theme="1"/>
      <name val="Calibri"/>
      <family val="2"/>
      <scheme val="minor"/>
    </font>
    <font>
      <sz val="10"/>
      <color theme="1"/>
      <name val="Calibri"/>
      <family val="2"/>
      <scheme val="minor"/>
    </font>
  </fonts>
  <fills count="55">
    <fill>
      <patternFill patternType="none"/>
    </fill>
    <fill>
      <patternFill patternType="gray125"/>
    </fill>
    <fill>
      <patternFill patternType="solid">
        <fgColor rgb="FFD47C1F"/>
        <bgColor indexed="64"/>
      </patternFill>
    </fill>
    <fill>
      <patternFill patternType="solid">
        <fgColor theme="0"/>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2C3238"/>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969696"/>
        <bgColor indexed="64"/>
      </patternFill>
    </fill>
    <fill>
      <patternFill patternType="solid">
        <fgColor theme="0" tint="-0.34998626667073579"/>
        <bgColor indexed="64"/>
      </patternFill>
    </fill>
    <fill>
      <patternFill patternType="solid">
        <fgColor theme="2" tint="-0.749992370372631"/>
        <bgColor indexed="64"/>
      </patternFill>
    </fill>
    <fill>
      <patternFill patternType="solid">
        <fgColor theme="0" tint="-0.2499465926084170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6" tint="0.59999389629810485"/>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rgb="FF4D5863"/>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4F81BD"/>
        <bgColor indexed="64"/>
      </patternFill>
    </fill>
    <fill>
      <patternFill patternType="solid">
        <fgColor rgb="FF1F497D"/>
        <bgColor indexed="64"/>
      </patternFill>
    </fill>
    <fill>
      <patternFill patternType="solid">
        <fgColor rgb="FFC0504D"/>
        <bgColor indexed="64"/>
      </patternFill>
    </fill>
    <fill>
      <patternFill patternType="solid">
        <fgColor indexed="9"/>
      </patternFill>
    </fill>
    <fill>
      <patternFill patternType="solid">
        <fgColor indexed="47"/>
      </patternFill>
    </fill>
    <fill>
      <patternFill patternType="solid">
        <fgColor indexed="31"/>
      </patternFill>
    </fill>
    <fill>
      <patternFill patternType="solid">
        <fgColor indexed="41"/>
      </patternFill>
    </fill>
    <fill>
      <patternFill patternType="solid">
        <fgColor indexed="22"/>
      </patternFill>
    </fill>
    <fill>
      <patternFill patternType="solid">
        <fgColor indexed="44"/>
      </patternFill>
    </fill>
    <fill>
      <patternFill patternType="solid">
        <fgColor indexed="49"/>
      </patternFill>
    </fill>
    <fill>
      <patternFill patternType="solid">
        <fgColor indexed="29"/>
      </patternFill>
    </fill>
    <fill>
      <patternFill patternType="solid">
        <fgColor indexed="19"/>
      </patternFill>
    </fill>
    <fill>
      <patternFill patternType="solid">
        <fgColor indexed="54"/>
      </patternFill>
    </fill>
    <fill>
      <patternFill patternType="solid">
        <fgColor indexed="46"/>
      </patternFill>
    </fill>
    <fill>
      <patternFill patternType="solid">
        <fgColor indexed="55"/>
      </patternFill>
    </fill>
    <fill>
      <patternFill patternType="solid">
        <fgColor indexed="27"/>
      </patternFill>
    </fill>
    <fill>
      <patternFill patternType="solid">
        <fgColor indexed="26"/>
      </patternFill>
    </fill>
    <fill>
      <patternFill patternType="solid">
        <fgColor indexed="43"/>
      </patternFill>
    </fill>
    <fill>
      <patternFill patternType="solid">
        <fgColor rgb="FF004536"/>
        <bgColor indexed="64"/>
      </pattern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s>
  <borders count="104">
    <border>
      <left/>
      <right/>
      <top/>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0"/>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theme="0"/>
      </left>
      <right/>
      <top/>
      <bottom style="medium">
        <color theme="0"/>
      </bottom>
      <diagonal/>
    </border>
    <border>
      <left style="thin">
        <color theme="0"/>
      </left>
      <right/>
      <top style="thin">
        <color theme="1" tint="0.499984740745262"/>
      </top>
      <bottom style="thin">
        <color theme="1" tint="0.499984740745262"/>
      </bottom>
      <diagonal/>
    </border>
    <border>
      <left/>
      <right/>
      <top style="medium">
        <color theme="0"/>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tint="0.34998626667073579"/>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1" tint="0.499984740745262"/>
      </right>
      <top/>
      <bottom style="thin">
        <color theme="1" tint="0.499984740745262"/>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style="thin">
        <color theme="1" tint="0.34998626667073579"/>
      </left>
      <right/>
      <top/>
      <bottom/>
      <diagonal/>
    </border>
    <border>
      <left style="thin">
        <color indexed="64"/>
      </left>
      <right style="thin">
        <color indexed="64"/>
      </right>
      <top/>
      <bottom style="thin">
        <color indexed="64"/>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right/>
      <top/>
      <bottom style="thin">
        <color indexed="64"/>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hair">
        <color auto="1"/>
      </bottom>
      <diagonal/>
    </border>
    <border>
      <left/>
      <right/>
      <top style="thin">
        <color theme="1" tint="0.499984740745262"/>
      </top>
      <bottom/>
      <diagonal/>
    </border>
    <border>
      <left style="thin">
        <color indexed="64"/>
      </left>
      <right style="thin">
        <color theme="0" tint="-0.34998626667073579"/>
      </right>
      <top style="hair">
        <color auto="1"/>
      </top>
      <bottom style="hair">
        <color auto="1"/>
      </bottom>
      <diagonal/>
    </border>
    <border>
      <left/>
      <right/>
      <top/>
      <bottom style="thin">
        <color theme="1" tint="0.499984740745262"/>
      </bottom>
      <diagonal/>
    </border>
    <border>
      <left style="thin">
        <color theme="1" tint="0.499984740745262"/>
      </left>
      <right/>
      <top/>
      <bottom/>
      <diagonal/>
    </border>
    <border>
      <left/>
      <right style="medium">
        <color theme="1" tint="0.499984740745262"/>
      </right>
      <top style="thin">
        <color theme="1" tint="0.499984740745262"/>
      </top>
      <bottom/>
      <diagonal/>
    </border>
    <border>
      <left/>
      <right style="medium">
        <color theme="1" tint="0.499984740745262"/>
      </right>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indexed="64"/>
      </left>
      <right style="thin">
        <color theme="0" tint="-0.34998626667073579"/>
      </right>
      <top style="hair">
        <color auto="1"/>
      </top>
      <bottom style="thin">
        <color indexed="64"/>
      </bottom>
      <diagonal/>
    </border>
    <border>
      <left/>
      <right/>
      <top style="thin">
        <color theme="1" tint="0.34998626667073579"/>
      </top>
      <bottom style="thin">
        <color theme="1" tint="0.34998626667073579"/>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medium">
        <color theme="1" tint="0.499984740745262"/>
      </right>
      <top/>
      <bottom style="medium">
        <color theme="1"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theme="1" tint="0.499984740745262"/>
      </left>
      <right style="thin">
        <color theme="1" tint="0.499984740745262"/>
      </right>
      <top/>
      <bottom/>
      <diagonal/>
    </border>
    <border>
      <left/>
      <right style="medium">
        <color theme="0"/>
      </right>
      <top/>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s>
  <cellStyleXfs count="93">
    <xf numFmtId="0" fontId="0" fillId="0" borderId="0"/>
    <xf numFmtId="9" fontId="41" fillId="0" borderId="0" applyFont="0" applyFill="0" applyBorder="0" applyAlignment="0" applyProtection="0"/>
    <xf numFmtId="0" fontId="1" fillId="0" borderId="0"/>
    <xf numFmtId="0" fontId="1" fillId="0" borderId="0"/>
    <xf numFmtId="0" fontId="13" fillId="0" borderId="0" applyNumberFormat="0" applyFill="0" applyBorder="0" applyAlignment="0" applyProtection="0">
      <alignment vertical="top"/>
      <protection locked="0"/>
    </xf>
    <xf numFmtId="9" fontId="1" fillId="0" borderId="0" applyFont="0" applyFill="0" applyBorder="0" applyAlignment="0" applyProtection="0"/>
    <xf numFmtId="0" fontId="41" fillId="0" borderId="0"/>
    <xf numFmtId="0" fontId="51" fillId="36"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1" fillId="37" borderId="0" applyNumberFormat="0" applyBorder="0" applyAlignment="0" applyProtection="0"/>
    <xf numFmtId="0" fontId="51" fillId="40"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37"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2" fillId="38" borderId="0" applyNumberFormat="0" applyBorder="0" applyAlignment="0" applyProtection="0"/>
    <xf numFmtId="0" fontId="52" fillId="40" borderId="0" applyNumberFormat="0" applyBorder="0" applyAlignment="0" applyProtection="0"/>
    <xf numFmtId="0" fontId="52" fillId="42" borderId="0" applyNumberFormat="0" applyBorder="0" applyAlignment="0" applyProtection="0"/>
    <xf numFmtId="0" fontId="52" fillId="37" borderId="0" applyNumberFormat="0" applyBorder="0" applyAlignment="0" applyProtection="0"/>
    <xf numFmtId="0" fontId="52" fillId="42" borderId="0" applyNumberFormat="0" applyBorder="0" applyAlignment="0" applyProtection="0"/>
    <xf numFmtId="0" fontId="52" fillId="44" borderId="0" applyNumberFormat="0" applyBorder="0" applyAlignment="0" applyProtection="0"/>
    <xf numFmtId="0" fontId="52" fillId="38" borderId="0" applyNumberFormat="0" applyBorder="0" applyAlignment="0" applyProtection="0"/>
    <xf numFmtId="0" fontId="52" fillId="45"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3" fillId="46" borderId="0" applyNumberFormat="0" applyBorder="0" applyAlignment="0" applyProtection="0"/>
    <xf numFmtId="0" fontId="54" fillId="36" borderId="76" applyNumberFormat="0" applyAlignment="0" applyProtection="0"/>
    <xf numFmtId="0" fontId="55" fillId="47" borderId="77" applyNumberFormat="0" applyAlignment="0" applyProtection="0"/>
    <xf numFmtId="43" fontId="41" fillId="0" borderId="0" applyFont="0" applyFill="0" applyBorder="0" applyAlignment="0" applyProtection="0"/>
    <xf numFmtId="0" fontId="56" fillId="0" borderId="0" applyNumberFormat="0" applyFill="0" applyBorder="0" applyAlignment="0" applyProtection="0"/>
    <xf numFmtId="0" fontId="57" fillId="48" borderId="0" applyNumberFormat="0" applyBorder="0" applyAlignment="0" applyProtection="0"/>
    <xf numFmtId="0" fontId="58" fillId="0" borderId="78" applyNumberFormat="0" applyFill="0" applyAlignment="0" applyProtection="0"/>
    <xf numFmtId="0" fontId="59" fillId="0" borderId="79" applyNumberFormat="0" applyFill="0" applyAlignment="0" applyProtection="0"/>
    <xf numFmtId="0" fontId="60" fillId="0" borderId="80" applyNumberFormat="0" applyFill="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37" borderId="76" applyNumberFormat="0" applyAlignment="0" applyProtection="0"/>
    <xf numFmtId="0" fontId="63" fillId="0" borderId="81" applyNumberFormat="0" applyFill="0" applyAlignment="0" applyProtection="0"/>
    <xf numFmtId="0" fontId="64"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50" borderId="82" applyNumberFormat="0" applyFont="0" applyAlignment="0" applyProtection="0"/>
    <xf numFmtId="0" fontId="65" fillId="36" borderId="8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0" fontId="66" fillId="0" borderId="0" applyNumberFormat="0" applyFill="0" applyBorder="0" applyAlignment="0" applyProtection="0"/>
    <xf numFmtId="0" fontId="67" fillId="0" borderId="84" applyNumberFormat="0" applyFill="0" applyAlignment="0" applyProtection="0"/>
    <xf numFmtId="0" fontId="68" fillId="0" borderId="0" applyNumberFormat="0" applyFill="0" applyBorder="0" applyAlignment="0" applyProtection="0"/>
    <xf numFmtId="0" fontId="43" fillId="0" borderId="0"/>
    <xf numFmtId="0" fontId="43" fillId="0" borderId="0"/>
    <xf numFmtId="0" fontId="41" fillId="0" borderId="0"/>
    <xf numFmtId="0" fontId="51" fillId="0" borderId="0"/>
  </cellStyleXfs>
  <cellXfs count="820">
    <xf numFmtId="0" fontId="0" fillId="0" borderId="0" xfId="0"/>
    <xf numFmtId="0" fontId="5" fillId="4" borderId="0" xfId="2" applyFont="1" applyFill="1"/>
    <xf numFmtId="0" fontId="5" fillId="4" borderId="0" xfId="2" applyFont="1" applyFill="1" applyAlignment="1">
      <alignment horizontal="center"/>
    </xf>
    <xf numFmtId="0" fontId="5" fillId="5" borderId="0" xfId="2" applyFont="1" applyFill="1"/>
    <xf numFmtId="0" fontId="8" fillId="6" borderId="0" xfId="2" applyFont="1" applyFill="1"/>
    <xf numFmtId="0" fontId="8" fillId="5" borderId="0" xfId="2" applyFont="1" applyFill="1"/>
    <xf numFmtId="20" fontId="11" fillId="7" borderId="0" xfId="2" applyNumberFormat="1" applyFont="1" applyFill="1" applyBorder="1" applyAlignment="1">
      <alignment horizontal="center" wrapText="1"/>
    </xf>
    <xf numFmtId="0" fontId="1" fillId="6" borderId="0" xfId="2" applyFill="1"/>
    <xf numFmtId="0" fontId="5" fillId="6" borderId="0" xfId="2" applyFont="1" applyFill="1"/>
    <xf numFmtId="0" fontId="14" fillId="8" borderId="4" xfId="4" applyFont="1" applyFill="1" applyBorder="1" applyAlignment="1" applyProtection="1"/>
    <xf numFmtId="0" fontId="14" fillId="8" borderId="5" xfId="4" applyFont="1" applyFill="1" applyBorder="1" applyAlignment="1" applyProtection="1"/>
    <xf numFmtId="0" fontId="14" fillId="8" borderId="6" xfId="4" applyFont="1" applyFill="1" applyBorder="1" applyAlignment="1" applyProtection="1"/>
    <xf numFmtId="0" fontId="5" fillId="3" borderId="7" xfId="3" applyNumberFormat="1" applyFont="1" applyFill="1" applyBorder="1" applyAlignment="1">
      <alignment horizontal="center"/>
    </xf>
    <xf numFmtId="0" fontId="11" fillId="5" borderId="0" xfId="2" applyFont="1" applyFill="1" applyAlignment="1">
      <alignment horizontal="center"/>
    </xf>
    <xf numFmtId="0" fontId="5" fillId="9" borderId="0" xfId="2" applyFont="1" applyFill="1"/>
    <xf numFmtId="0" fontId="1" fillId="4" borderId="0" xfId="2" applyFill="1" applyAlignment="1">
      <alignment horizontal="center"/>
    </xf>
    <xf numFmtId="0" fontId="11" fillId="10" borderId="0" xfId="2" applyFont="1" applyFill="1" applyBorder="1" applyAlignment="1">
      <alignment horizontal="center"/>
    </xf>
    <xf numFmtId="0" fontId="15" fillId="10" borderId="0" xfId="2" applyFont="1" applyFill="1" applyBorder="1" applyAlignment="1">
      <alignment horizontal="center"/>
    </xf>
    <xf numFmtId="0" fontId="14" fillId="11" borderId="4" xfId="4" applyFont="1" applyFill="1" applyBorder="1" applyAlignment="1" applyProtection="1"/>
    <xf numFmtId="0" fontId="14" fillId="11" borderId="5" xfId="4" applyFont="1" applyFill="1" applyBorder="1" applyAlignment="1" applyProtection="1"/>
    <xf numFmtId="0" fontId="14" fillId="11" borderId="6" xfId="4" applyFont="1" applyFill="1" applyBorder="1" applyAlignment="1" applyProtection="1"/>
    <xf numFmtId="3" fontId="16" fillId="9" borderId="2" xfId="2" applyNumberFormat="1" applyFont="1" applyFill="1" applyBorder="1" applyAlignment="1">
      <alignment horizontal="center"/>
    </xf>
    <xf numFmtId="0" fontId="5" fillId="5" borderId="0" xfId="2" applyFont="1" applyFill="1" applyAlignment="1">
      <alignment vertical="center"/>
    </xf>
    <xf numFmtId="3" fontId="16" fillId="9" borderId="10" xfId="3" applyNumberFormat="1" applyFont="1" applyFill="1" applyBorder="1" applyAlignment="1">
      <alignment horizontal="center" wrapText="1"/>
    </xf>
    <xf numFmtId="3" fontId="16" fillId="9" borderId="11" xfId="3" applyNumberFormat="1" applyFont="1" applyFill="1" applyBorder="1" applyAlignment="1">
      <alignment horizontal="center" wrapText="1"/>
    </xf>
    <xf numFmtId="3" fontId="15" fillId="10" borderId="12" xfId="2" applyNumberFormat="1" applyFont="1" applyFill="1" applyBorder="1" applyAlignment="1">
      <alignment horizontal="center"/>
    </xf>
    <xf numFmtId="1" fontId="5" fillId="4" borderId="0" xfId="2" applyNumberFormat="1" applyFont="1" applyFill="1"/>
    <xf numFmtId="0" fontId="1" fillId="5" borderId="0" xfId="2" applyFill="1"/>
    <xf numFmtId="0" fontId="14" fillId="11" borderId="13" xfId="4" applyFont="1" applyFill="1" applyBorder="1" applyAlignment="1" applyProtection="1"/>
    <xf numFmtId="0" fontId="14" fillId="11" borderId="3" xfId="4" applyFont="1" applyFill="1" applyBorder="1" applyAlignment="1" applyProtection="1"/>
    <xf numFmtId="0" fontId="11" fillId="10" borderId="14" xfId="2" applyFont="1" applyFill="1" applyBorder="1" applyAlignment="1">
      <alignment horizontal="center"/>
    </xf>
    <xf numFmtId="3" fontId="11" fillId="12" borderId="0" xfId="2" applyNumberFormat="1" applyFont="1" applyFill="1" applyBorder="1" applyAlignment="1">
      <alignment horizontal="center"/>
    </xf>
    <xf numFmtId="0" fontId="18" fillId="9" borderId="0" xfId="2" applyFont="1" applyFill="1" applyAlignment="1">
      <alignment horizontal="center" wrapText="1"/>
    </xf>
    <xf numFmtId="0" fontId="15" fillId="10" borderId="12" xfId="2" applyFont="1" applyFill="1" applyBorder="1" applyAlignment="1">
      <alignment horizontal="center"/>
    </xf>
    <xf numFmtId="0" fontId="11" fillId="13" borderId="15" xfId="2" applyFont="1" applyFill="1" applyBorder="1"/>
    <xf numFmtId="0" fontId="1" fillId="13" borderId="15" xfId="2" applyFill="1" applyBorder="1"/>
    <xf numFmtId="0" fontId="14" fillId="13" borderId="15" xfId="4" applyFont="1" applyFill="1" applyBorder="1" applyAlignment="1" applyProtection="1"/>
    <xf numFmtId="9" fontId="19" fillId="6" borderId="7" xfId="3" applyNumberFormat="1" applyFont="1" applyFill="1" applyBorder="1" applyAlignment="1" applyProtection="1">
      <alignment horizontal="center"/>
      <protection locked="0"/>
    </xf>
    <xf numFmtId="0" fontId="20" fillId="5" borderId="0" xfId="2" applyFont="1" applyFill="1"/>
    <xf numFmtId="3" fontId="16" fillId="6" borderId="10" xfId="3" applyNumberFormat="1" applyFont="1" applyFill="1" applyBorder="1" applyAlignment="1">
      <alignment horizontal="center" wrapText="1"/>
    </xf>
    <xf numFmtId="3" fontId="16" fillId="6" borderId="11" xfId="3" applyNumberFormat="1" applyFont="1" applyFill="1" applyBorder="1" applyAlignment="1">
      <alignment horizontal="center" wrapText="1"/>
    </xf>
    <xf numFmtId="20" fontId="4" fillId="5" borderId="0" xfId="2" applyNumberFormat="1" applyFont="1" applyFill="1" applyBorder="1" applyAlignment="1">
      <alignment horizontal="left" vertical="center"/>
    </xf>
    <xf numFmtId="20" fontId="21" fillId="7" borderId="0" xfId="2" applyNumberFormat="1" applyFont="1" applyFill="1" applyBorder="1" applyAlignment="1">
      <alignment horizontal="left"/>
    </xf>
    <xf numFmtId="20" fontId="21" fillId="7" borderId="0" xfId="2" applyNumberFormat="1" applyFont="1" applyFill="1" applyBorder="1" applyAlignment="1">
      <alignment horizontal="left" vertical="center"/>
    </xf>
    <xf numFmtId="20" fontId="11" fillId="7" borderId="0" xfId="2" applyNumberFormat="1" applyFont="1" applyFill="1" applyBorder="1" applyAlignment="1">
      <alignment horizontal="left" wrapText="1"/>
    </xf>
    <xf numFmtId="0" fontId="11" fillId="5" borderId="0" xfId="2" applyFont="1" applyFill="1"/>
    <xf numFmtId="164" fontId="11" fillId="10" borderId="12" xfId="2" applyNumberFormat="1" applyFont="1" applyFill="1" applyBorder="1" applyAlignment="1">
      <alignment horizontal="center"/>
    </xf>
    <xf numFmtId="0" fontId="11" fillId="5" borderId="0" xfId="2" applyFont="1" applyFill="1" applyBorder="1"/>
    <xf numFmtId="0" fontId="18" fillId="9" borderId="0" xfId="2" applyFont="1" applyFill="1" applyAlignment="1">
      <alignment horizontal="center"/>
    </xf>
    <xf numFmtId="2" fontId="5" fillId="4" borderId="0" xfId="2" applyNumberFormat="1" applyFont="1" applyFill="1" applyAlignment="1">
      <alignment horizontal="center"/>
    </xf>
    <xf numFmtId="1" fontId="22" fillId="7" borderId="18" xfId="2" applyNumberFormat="1" applyFont="1" applyFill="1" applyBorder="1" applyAlignment="1">
      <alignment horizontal="center" vertical="center"/>
    </xf>
    <xf numFmtId="0" fontId="5" fillId="5" borderId="0" xfId="2" applyFont="1" applyFill="1" applyBorder="1"/>
    <xf numFmtId="0" fontId="11" fillId="5" borderId="0" xfId="2" applyFont="1" applyFill="1" applyBorder="1" applyAlignment="1">
      <alignment vertical="center"/>
    </xf>
    <xf numFmtId="0" fontId="23" fillId="5" borderId="0" xfId="2" applyFont="1" applyFill="1" applyAlignment="1">
      <alignment vertical="center"/>
    </xf>
    <xf numFmtId="0" fontId="1" fillId="5" borderId="0" xfId="2" applyFill="1" applyAlignment="1">
      <alignment vertical="center"/>
    </xf>
    <xf numFmtId="0" fontId="5" fillId="9" borderId="0" xfId="2" applyFont="1" applyFill="1" applyAlignment="1">
      <alignment horizontal="center" vertical="center" wrapText="1"/>
    </xf>
    <xf numFmtId="0" fontId="5" fillId="9" borderId="0" xfId="2" applyFont="1" applyFill="1" applyAlignment="1">
      <alignment vertical="center"/>
    </xf>
    <xf numFmtId="1" fontId="11" fillId="10" borderId="19" xfId="2" applyNumberFormat="1" applyFont="1" applyFill="1" applyBorder="1" applyAlignment="1">
      <alignment horizontal="left" vertical="center"/>
    </xf>
    <xf numFmtId="1" fontId="11" fillId="10" borderId="19" xfId="2" applyNumberFormat="1" applyFont="1" applyFill="1" applyBorder="1" applyAlignment="1">
      <alignment vertical="center"/>
    </xf>
    <xf numFmtId="1" fontId="11" fillId="10" borderId="0" xfId="2" applyNumberFormat="1" applyFont="1" applyFill="1" applyBorder="1" applyAlignment="1">
      <alignment horizontal="right" vertical="center"/>
    </xf>
    <xf numFmtId="1" fontId="5" fillId="14" borderId="19" xfId="2" applyNumberFormat="1" applyFont="1" applyFill="1" applyBorder="1" applyAlignment="1">
      <alignment horizontal="left" vertical="center"/>
    </xf>
    <xf numFmtId="20" fontId="22" fillId="7" borderId="0" xfId="2" applyNumberFormat="1" applyFont="1" applyFill="1" applyBorder="1" applyAlignment="1">
      <alignment vertical="center"/>
    </xf>
    <xf numFmtId="0" fontId="5" fillId="4" borderId="0" xfId="2" applyFont="1" applyFill="1" applyAlignment="1">
      <alignment vertical="center"/>
    </xf>
    <xf numFmtId="0" fontId="1" fillId="4" borderId="0" xfId="2" applyFill="1" applyAlignment="1">
      <alignment vertical="center"/>
    </xf>
    <xf numFmtId="0" fontId="5" fillId="4" borderId="0" xfId="2" applyFont="1" applyFill="1" applyAlignment="1">
      <alignment horizontal="center" vertical="center"/>
    </xf>
    <xf numFmtId="0" fontId="1" fillId="4" borderId="0" xfId="2" applyFill="1" applyAlignment="1">
      <alignment horizontal="center" vertical="center"/>
    </xf>
    <xf numFmtId="1" fontId="5" fillId="4" borderId="0" xfId="2" applyNumberFormat="1" applyFont="1" applyFill="1" applyAlignment="1">
      <alignment vertical="center"/>
    </xf>
    <xf numFmtId="0" fontId="5" fillId="6" borderId="0" xfId="2" applyFont="1" applyFill="1" applyAlignment="1">
      <alignment vertical="center"/>
    </xf>
    <xf numFmtId="0" fontId="25" fillId="6" borderId="20" xfId="2" applyFont="1" applyFill="1" applyBorder="1" applyAlignment="1">
      <alignment horizontal="center"/>
    </xf>
    <xf numFmtId="20" fontId="22" fillId="7" borderId="20" xfId="2" applyNumberFormat="1" applyFont="1" applyFill="1" applyBorder="1" applyAlignment="1">
      <alignment vertical="center"/>
    </xf>
    <xf numFmtId="0" fontId="25" fillId="5" borderId="0" xfId="2" applyFont="1" applyFill="1"/>
    <xf numFmtId="0" fontId="5" fillId="9" borderId="0" xfId="2" applyFont="1" applyFill="1" applyAlignment="1">
      <alignment horizontal="center"/>
    </xf>
    <xf numFmtId="0" fontId="17" fillId="10" borderId="27" xfId="2" applyFont="1" applyFill="1" applyBorder="1" applyAlignment="1"/>
    <xf numFmtId="0" fontId="17" fillId="10" borderId="1" xfId="2" applyFont="1" applyFill="1" applyBorder="1" applyAlignment="1"/>
    <xf numFmtId="0" fontId="17" fillId="10" borderId="2" xfId="2" applyFont="1" applyFill="1" applyBorder="1" applyAlignment="1"/>
    <xf numFmtId="20" fontId="17" fillId="7" borderId="0" xfId="2" applyNumberFormat="1" applyFont="1" applyFill="1" applyBorder="1" applyAlignment="1">
      <alignment wrapText="1"/>
    </xf>
    <xf numFmtId="20" fontId="17" fillId="7" borderId="28" xfId="2" applyNumberFormat="1" applyFont="1" applyFill="1" applyBorder="1" applyAlignment="1">
      <alignment wrapText="1"/>
    </xf>
    <xf numFmtId="3" fontId="16" fillId="9" borderId="24" xfId="3" applyNumberFormat="1" applyFont="1" applyFill="1" applyBorder="1" applyAlignment="1">
      <alignment horizontal="center" wrapText="1"/>
    </xf>
    <xf numFmtId="20" fontId="17" fillId="7" borderId="16" xfId="2" applyNumberFormat="1" applyFont="1" applyFill="1" applyBorder="1" applyAlignment="1">
      <alignment wrapText="1"/>
    </xf>
    <xf numFmtId="20" fontId="17" fillId="7" borderId="18" xfId="2" applyNumberFormat="1" applyFont="1" applyFill="1" applyBorder="1" applyAlignment="1">
      <alignment wrapText="1"/>
    </xf>
    <xf numFmtId="20" fontId="22" fillId="7" borderId="29" xfId="2" applyNumberFormat="1" applyFont="1" applyFill="1" applyBorder="1"/>
    <xf numFmtId="0" fontId="22" fillId="5" borderId="0" xfId="2" applyFont="1" applyFill="1" applyBorder="1"/>
    <xf numFmtId="0" fontId="5" fillId="9" borderId="0" xfId="2" applyFont="1" applyFill="1" applyAlignment="1">
      <alignment horizontal="center" wrapText="1"/>
    </xf>
    <xf numFmtId="20" fontId="11" fillId="7" borderId="33" xfId="2" applyNumberFormat="1" applyFont="1" applyFill="1" applyBorder="1" applyAlignment="1">
      <alignment wrapText="1"/>
    </xf>
    <xf numFmtId="20" fontId="11" fillId="7" borderId="34" xfId="2" applyNumberFormat="1" applyFont="1" applyFill="1" applyBorder="1" applyAlignment="1">
      <alignment wrapText="1"/>
    </xf>
    <xf numFmtId="20" fontId="11" fillId="7" borderId="35" xfId="2" applyNumberFormat="1" applyFont="1" applyFill="1" applyBorder="1" applyAlignment="1">
      <alignment wrapText="1"/>
    </xf>
    <xf numFmtId="20" fontId="11" fillId="7" borderId="36" xfId="2" applyNumberFormat="1" applyFont="1" applyFill="1" applyBorder="1" applyAlignment="1">
      <alignment wrapText="1"/>
    </xf>
    <xf numFmtId="0" fontId="17" fillId="10" borderId="24" xfId="2" applyFont="1" applyFill="1" applyBorder="1" applyAlignment="1">
      <alignment horizontal="center"/>
    </xf>
    <xf numFmtId="20" fontId="11" fillId="7" borderId="0" xfId="2" applyNumberFormat="1" applyFont="1" applyFill="1" applyBorder="1" applyAlignment="1"/>
    <xf numFmtId="20" fontId="11" fillId="7" borderId="28" xfId="2" applyNumberFormat="1" applyFont="1" applyFill="1" applyBorder="1" applyAlignment="1"/>
    <xf numFmtId="165" fontId="16" fillId="9" borderId="10" xfId="3" applyNumberFormat="1" applyFont="1" applyFill="1" applyBorder="1" applyAlignment="1">
      <alignment horizontal="center" wrapText="1"/>
    </xf>
    <xf numFmtId="20" fontId="17" fillId="7" borderId="32" xfId="2" applyNumberFormat="1" applyFont="1" applyFill="1" applyBorder="1" applyAlignment="1">
      <alignment horizontal="left" wrapText="1"/>
    </xf>
    <xf numFmtId="20" fontId="17" fillId="7" borderId="2" xfId="2" applyNumberFormat="1" applyFont="1" applyFill="1" applyBorder="1" applyAlignment="1">
      <alignment horizontal="center" wrapText="1"/>
    </xf>
    <xf numFmtId="20" fontId="17" fillId="7" borderId="32" xfId="2" applyNumberFormat="1" applyFont="1" applyFill="1" applyBorder="1" applyAlignment="1">
      <alignment horizontal="center" wrapText="1"/>
    </xf>
    <xf numFmtId="20" fontId="11" fillId="7" borderId="0" xfId="2" applyNumberFormat="1" applyFont="1" applyFill="1" applyBorder="1" applyAlignment="1">
      <alignment wrapText="1"/>
    </xf>
    <xf numFmtId="20" fontId="11" fillId="7" borderId="41" xfId="2" applyNumberFormat="1" applyFont="1" applyFill="1" applyBorder="1" applyAlignment="1">
      <alignment wrapText="1"/>
    </xf>
    <xf numFmtId="20" fontId="11" fillId="7" borderId="42" xfId="2" applyNumberFormat="1" applyFont="1" applyFill="1" applyBorder="1" applyAlignment="1">
      <alignment wrapText="1"/>
    </xf>
    <xf numFmtId="20" fontId="11" fillId="7" borderId="43" xfId="2" applyNumberFormat="1" applyFont="1" applyFill="1" applyBorder="1" applyAlignment="1">
      <alignment wrapText="1"/>
    </xf>
    <xf numFmtId="164" fontId="17" fillId="10" borderId="24" xfId="2" applyNumberFormat="1" applyFont="1" applyFill="1" applyBorder="1" applyAlignment="1">
      <alignment horizontal="center"/>
    </xf>
    <xf numFmtId="9" fontId="17" fillId="10" borderId="24" xfId="2" applyNumberFormat="1" applyFont="1" applyFill="1" applyBorder="1" applyAlignment="1">
      <alignment horizontal="center"/>
    </xf>
    <xf numFmtId="20" fontId="22" fillId="7" borderId="44" xfId="2" applyNumberFormat="1" applyFont="1" applyFill="1" applyBorder="1"/>
    <xf numFmtId="20" fontId="17" fillId="5" borderId="0" xfId="2" applyNumberFormat="1" applyFont="1" applyFill="1" applyBorder="1" applyAlignment="1">
      <alignment horizontal="center" wrapText="1"/>
    </xf>
    <xf numFmtId="0" fontId="25" fillId="3" borderId="2" xfId="3" applyNumberFormat="1" applyFont="1" applyFill="1" applyBorder="1" applyAlignment="1" applyProtection="1">
      <alignment horizontal="left"/>
      <protection locked="0"/>
    </xf>
    <xf numFmtId="3" fontId="25" fillId="3" borderId="2" xfId="3" applyNumberFormat="1" applyFont="1" applyFill="1" applyBorder="1" applyAlignment="1" applyProtection="1">
      <alignment horizontal="center"/>
      <protection locked="0"/>
    </xf>
    <xf numFmtId="0" fontId="25" fillId="3" borderId="2" xfId="3" applyNumberFormat="1" applyFont="1" applyFill="1" applyBorder="1" applyAlignment="1" applyProtection="1">
      <alignment horizontal="center"/>
      <protection locked="0"/>
    </xf>
    <xf numFmtId="9" fontId="25" fillId="3" borderId="2" xfId="3" applyNumberFormat="1" applyFont="1" applyFill="1" applyBorder="1" applyAlignment="1" applyProtection="1">
      <alignment horizontal="center"/>
      <protection locked="0"/>
    </xf>
    <xf numFmtId="20" fontId="11" fillId="7" borderId="19" xfId="2" applyNumberFormat="1" applyFont="1" applyFill="1" applyBorder="1" applyAlignment="1">
      <alignment wrapText="1"/>
    </xf>
    <xf numFmtId="20" fontId="11" fillId="7" borderId="45" xfId="2" applyNumberFormat="1" applyFont="1" applyFill="1" applyBorder="1" applyAlignment="1">
      <alignment wrapText="1"/>
    </xf>
    <xf numFmtId="20" fontId="11" fillId="7" borderId="46" xfId="2" applyNumberFormat="1" applyFont="1" applyFill="1" applyBorder="1" applyAlignment="1">
      <alignment wrapText="1"/>
    </xf>
    <xf numFmtId="20" fontId="11" fillId="7" borderId="28" xfId="2" applyNumberFormat="1" applyFont="1" applyFill="1" applyBorder="1" applyAlignment="1">
      <alignment wrapText="1"/>
    </xf>
    <xf numFmtId="0" fontId="27" fillId="15" borderId="47" xfId="2" applyFont="1" applyFill="1" applyBorder="1" applyAlignment="1">
      <alignment horizontal="left"/>
    </xf>
    <xf numFmtId="0" fontId="27" fillId="15" borderId="48" xfId="2" applyFont="1" applyFill="1" applyBorder="1" applyAlignment="1">
      <alignment horizontal="center"/>
    </xf>
    <xf numFmtId="0" fontId="1" fillId="15" borderId="48" xfId="2" applyFill="1" applyBorder="1" applyAlignment="1">
      <alignment horizontal="center"/>
    </xf>
    <xf numFmtId="0" fontId="1" fillId="15" borderId="49" xfId="2" applyFill="1" applyBorder="1" applyAlignment="1">
      <alignment horizontal="center"/>
    </xf>
    <xf numFmtId="0" fontId="28" fillId="16" borderId="21" xfId="2" applyFont="1" applyFill="1" applyBorder="1" applyAlignment="1">
      <alignment horizontal="center" wrapText="1"/>
    </xf>
    <xf numFmtId="20" fontId="11" fillId="7" borderId="12" xfId="2" applyNumberFormat="1" applyFont="1" applyFill="1" applyBorder="1" applyAlignment="1">
      <alignment horizontal="right" wrapText="1"/>
    </xf>
    <xf numFmtId="0" fontId="27" fillId="17" borderId="51" xfId="2" applyFont="1" applyFill="1" applyBorder="1" applyAlignment="1">
      <alignment horizontal="left"/>
    </xf>
    <xf numFmtId="0" fontId="27" fillId="17" borderId="0" xfId="2" applyFont="1" applyFill="1" applyBorder="1" applyAlignment="1">
      <alignment horizontal="center"/>
    </xf>
    <xf numFmtId="0" fontId="27" fillId="18" borderId="0" xfId="2" applyFont="1" applyFill="1" applyBorder="1" applyAlignment="1">
      <alignment horizontal="left"/>
    </xf>
    <xf numFmtId="0" fontId="1" fillId="18" borderId="0" xfId="2" applyFill="1" applyBorder="1" applyAlignment="1">
      <alignment horizontal="center"/>
    </xf>
    <xf numFmtId="0" fontId="1" fillId="18" borderId="52" xfId="2" applyFill="1" applyBorder="1" applyAlignment="1">
      <alignment horizontal="center"/>
    </xf>
    <xf numFmtId="0" fontId="28" fillId="16" borderId="44" xfId="2" applyFont="1" applyFill="1" applyBorder="1" applyAlignment="1">
      <alignment horizontal="center" wrapText="1"/>
    </xf>
    <xf numFmtId="20" fontId="11" fillId="7" borderId="40" xfId="2" applyNumberFormat="1" applyFont="1" applyFill="1" applyBorder="1" applyAlignment="1">
      <alignment horizontal="right"/>
    </xf>
    <xf numFmtId="0" fontId="25" fillId="5" borderId="0" xfId="3" applyNumberFormat="1" applyFont="1" applyFill="1" applyBorder="1" applyAlignment="1">
      <alignment horizontal="left"/>
    </xf>
    <xf numFmtId="3" fontId="11" fillId="10" borderId="10" xfId="2" applyNumberFormat="1" applyFont="1" applyFill="1" applyBorder="1" applyAlignment="1">
      <alignment horizontal="right"/>
    </xf>
    <xf numFmtId="0" fontId="5" fillId="0" borderId="0" xfId="2" applyFont="1"/>
    <xf numFmtId="3" fontId="5" fillId="0" borderId="0" xfId="2" applyNumberFormat="1" applyFont="1"/>
    <xf numFmtId="164" fontId="5" fillId="0" borderId="0" xfId="2" applyNumberFormat="1" applyFont="1"/>
    <xf numFmtId="9" fontId="5" fillId="0" borderId="0" xfId="2" applyNumberFormat="1" applyFont="1"/>
    <xf numFmtId="0" fontId="28" fillId="19" borderId="57" xfId="2" applyFont="1" applyFill="1" applyBorder="1" applyAlignment="1">
      <alignment horizontal="center" wrapText="1"/>
    </xf>
    <xf numFmtId="9" fontId="27" fillId="3" borderId="32" xfId="3" applyNumberFormat="1" applyFont="1" applyFill="1" applyBorder="1" applyAlignment="1">
      <alignment horizontal="right"/>
    </xf>
    <xf numFmtId="9" fontId="27" fillId="3" borderId="10" xfId="3" applyNumberFormat="1" applyFont="1" applyFill="1" applyBorder="1" applyAlignment="1">
      <alignment horizontal="right"/>
    </xf>
    <xf numFmtId="9" fontId="27" fillId="3" borderId="32" xfId="3" applyNumberFormat="1" applyFont="1" applyFill="1" applyBorder="1" applyAlignment="1" applyProtection="1">
      <alignment horizontal="right"/>
      <protection locked="0"/>
    </xf>
    <xf numFmtId="20" fontId="17" fillId="10" borderId="27" xfId="2" applyNumberFormat="1" applyFont="1" applyFill="1" applyBorder="1" applyAlignment="1"/>
    <xf numFmtId="20" fontId="17" fillId="10" borderId="1" xfId="2" applyNumberFormat="1" applyFont="1" applyFill="1" applyBorder="1" applyAlignment="1"/>
    <xf numFmtId="20" fontId="17" fillId="10" borderId="2" xfId="2" applyNumberFormat="1" applyFont="1" applyFill="1" applyBorder="1" applyAlignment="1"/>
    <xf numFmtId="0" fontId="1" fillId="4" borderId="0" xfId="2" applyFill="1"/>
    <xf numFmtId="20" fontId="11" fillId="7" borderId="25" xfId="2" applyNumberFormat="1" applyFont="1" applyFill="1" applyBorder="1" applyAlignment="1">
      <alignment horizontal="left"/>
    </xf>
    <xf numFmtId="20" fontId="11" fillId="7" borderId="58" xfId="2" applyNumberFormat="1" applyFont="1" applyFill="1" applyBorder="1" applyAlignment="1">
      <alignment horizontal="center" wrapText="1"/>
    </xf>
    <xf numFmtId="9" fontId="16" fillId="9" borderId="27" xfId="3" applyNumberFormat="1" applyFont="1" applyFill="1" applyBorder="1" applyAlignment="1">
      <alignment horizontal="center" wrapText="1"/>
    </xf>
    <xf numFmtId="9" fontId="16" fillId="9" borderId="24" xfId="3" applyNumberFormat="1" applyFont="1" applyFill="1" applyBorder="1" applyAlignment="1">
      <alignment horizontal="center" wrapText="1"/>
    </xf>
    <xf numFmtId="1" fontId="5" fillId="4" borderId="0" xfId="2" applyNumberFormat="1" applyFont="1" applyFill="1" applyAlignment="1">
      <alignment horizontal="center"/>
    </xf>
    <xf numFmtId="0" fontId="28" fillId="19" borderId="59" xfId="2" applyFont="1" applyFill="1" applyBorder="1" applyAlignment="1">
      <alignment horizontal="center" wrapText="1"/>
    </xf>
    <xf numFmtId="9" fontId="27" fillId="3" borderId="2" xfId="3" applyNumberFormat="1" applyFont="1" applyFill="1" applyBorder="1" applyAlignment="1">
      <alignment horizontal="right"/>
    </xf>
    <xf numFmtId="0" fontId="3" fillId="17" borderId="0" xfId="2" applyFont="1" applyFill="1" applyAlignment="1">
      <alignment horizontal="left"/>
    </xf>
    <xf numFmtId="0" fontId="5" fillId="17" borderId="0" xfId="2" applyFont="1" applyFill="1"/>
    <xf numFmtId="0" fontId="1" fillId="17" borderId="0" xfId="2" applyFill="1"/>
    <xf numFmtId="0" fontId="3" fillId="20" borderId="0" xfId="2" applyFont="1" applyFill="1" applyAlignment="1">
      <alignment horizontal="left"/>
    </xf>
    <xf numFmtId="0" fontId="3" fillId="20" borderId="0" xfId="2" applyFont="1" applyFill="1" applyAlignment="1">
      <alignment horizontal="center"/>
    </xf>
    <xf numFmtId="0" fontId="3" fillId="21" borderId="0" xfId="2" applyFont="1" applyFill="1" applyAlignment="1">
      <alignment horizontal="center"/>
    </xf>
    <xf numFmtId="20" fontId="11" fillId="7" borderId="11" xfId="2" applyNumberFormat="1" applyFont="1" applyFill="1" applyBorder="1" applyAlignment="1">
      <alignment horizontal="left"/>
    </xf>
    <xf numFmtId="20" fontId="11" fillId="7" borderId="60" xfId="2" applyNumberFormat="1" applyFont="1" applyFill="1" applyBorder="1" applyAlignment="1">
      <alignment horizontal="center" wrapText="1"/>
    </xf>
    <xf numFmtId="9" fontId="16" fillId="9" borderId="11" xfId="3" applyNumberFormat="1" applyFont="1" applyFill="1" applyBorder="1" applyAlignment="1">
      <alignment horizontal="center" wrapText="1"/>
    </xf>
    <xf numFmtId="9" fontId="16" fillId="9" borderId="10" xfId="3" applyNumberFormat="1" applyFont="1" applyFill="1" applyBorder="1" applyAlignment="1">
      <alignment horizontal="center" wrapText="1"/>
    </xf>
    <xf numFmtId="0" fontId="1" fillId="16" borderId="0" xfId="2" applyFill="1" applyAlignment="1">
      <alignment horizontal="left"/>
    </xf>
    <xf numFmtId="0" fontId="5" fillId="16" borderId="0" xfId="2" applyFont="1" applyFill="1" applyAlignment="1">
      <alignment horizontal="center"/>
    </xf>
    <xf numFmtId="0" fontId="5" fillId="17" borderId="0" xfId="2" applyFont="1" applyFill="1" applyAlignment="1">
      <alignment horizontal="center"/>
    </xf>
    <xf numFmtId="20" fontId="11" fillId="7" borderId="47" xfId="2" applyNumberFormat="1" applyFont="1" applyFill="1" applyBorder="1" applyAlignment="1">
      <alignment horizontal="center" wrapText="1"/>
    </xf>
    <xf numFmtId="20" fontId="11" fillId="7" borderId="48" xfId="2" applyNumberFormat="1" applyFont="1" applyFill="1" applyBorder="1" applyAlignment="1">
      <alignment horizontal="center" wrapText="1"/>
    </xf>
    <xf numFmtId="20" fontId="11" fillId="7" borderId="49" xfId="2" applyNumberFormat="1" applyFont="1" applyFill="1" applyBorder="1" applyAlignment="1">
      <alignment horizontal="center" wrapText="1"/>
    </xf>
    <xf numFmtId="0" fontId="1" fillId="4" borderId="0" xfId="2" applyFill="1" applyAlignment="1">
      <alignment wrapText="1"/>
    </xf>
    <xf numFmtId="9" fontId="27" fillId="3" borderId="24" xfId="3" applyNumberFormat="1" applyFont="1" applyFill="1" applyBorder="1" applyAlignment="1">
      <alignment horizontal="right"/>
    </xf>
    <xf numFmtId="9" fontId="27" fillId="3" borderId="24" xfId="3" applyNumberFormat="1" applyFont="1" applyFill="1" applyBorder="1" applyAlignment="1" applyProtection="1">
      <alignment horizontal="right"/>
      <protection locked="0"/>
    </xf>
    <xf numFmtId="9" fontId="11" fillId="7" borderId="51" xfId="2" applyNumberFormat="1" applyFont="1" applyFill="1" applyBorder="1" applyAlignment="1">
      <alignment horizontal="center" wrapText="1"/>
    </xf>
    <xf numFmtId="20" fontId="11" fillId="7" borderId="52" xfId="2" applyNumberFormat="1" applyFont="1" applyFill="1" applyBorder="1" applyAlignment="1">
      <alignment horizontal="center" wrapText="1"/>
    </xf>
    <xf numFmtId="3" fontId="16" fillId="9" borderId="10" xfId="3" applyNumberFormat="1" applyFont="1" applyFill="1" applyBorder="1" applyAlignment="1">
      <alignment horizontal="left" wrapText="1"/>
    </xf>
    <xf numFmtId="1" fontId="11" fillId="10" borderId="12" xfId="2" applyNumberFormat="1" applyFont="1" applyFill="1" applyBorder="1" applyAlignment="1">
      <alignment horizontal="center"/>
    </xf>
    <xf numFmtId="1" fontId="5" fillId="22" borderId="0" xfId="2" applyNumberFormat="1" applyFont="1" applyFill="1" applyAlignment="1">
      <alignment horizontal="center"/>
    </xf>
    <xf numFmtId="4" fontId="16" fillId="9" borderId="64" xfId="3" applyNumberFormat="1" applyFont="1" applyFill="1" applyBorder="1" applyAlignment="1">
      <alignment horizontal="center" wrapText="1"/>
    </xf>
    <xf numFmtId="4" fontId="5" fillId="18" borderId="0" xfId="2" applyNumberFormat="1" applyFont="1" applyFill="1" applyBorder="1" applyAlignment="1">
      <alignment horizontal="center"/>
    </xf>
    <xf numFmtId="4" fontId="5" fillId="23" borderId="0" xfId="2" applyNumberFormat="1" applyFont="1" applyFill="1" applyBorder="1" applyAlignment="1">
      <alignment horizontal="center"/>
    </xf>
    <xf numFmtId="2" fontId="5" fillId="18" borderId="0" xfId="2" applyNumberFormat="1" applyFont="1" applyFill="1" applyBorder="1" applyAlignment="1">
      <alignment horizontal="center"/>
    </xf>
    <xf numFmtId="4" fontId="16" fillId="9" borderId="10" xfId="3" applyNumberFormat="1" applyFont="1" applyFill="1" applyBorder="1" applyAlignment="1">
      <alignment horizontal="center" wrapText="1"/>
    </xf>
    <xf numFmtId="4" fontId="16" fillId="9" borderId="65" xfId="3" applyNumberFormat="1" applyFont="1" applyFill="1" applyBorder="1" applyAlignment="1">
      <alignment horizontal="center" wrapText="1"/>
    </xf>
    <xf numFmtId="4" fontId="16" fillId="9" borderId="32" xfId="3" applyNumberFormat="1" applyFont="1" applyFill="1" applyBorder="1" applyAlignment="1">
      <alignment horizontal="center" wrapText="1"/>
    </xf>
    <xf numFmtId="1" fontId="11" fillId="24" borderId="0" xfId="2" applyNumberFormat="1" applyFont="1" applyFill="1" applyAlignment="1">
      <alignment horizontal="center"/>
    </xf>
    <xf numFmtId="0" fontId="25" fillId="6" borderId="40" xfId="2" applyFont="1" applyFill="1" applyBorder="1" applyAlignment="1">
      <alignment horizontal="center"/>
    </xf>
    <xf numFmtId="9" fontId="27" fillId="3" borderId="24" xfId="3" applyNumberFormat="1" applyFont="1" applyFill="1" applyBorder="1" applyAlignment="1">
      <alignment horizontal="right" wrapText="1"/>
    </xf>
    <xf numFmtId="3" fontId="29" fillId="9" borderId="24" xfId="2" applyNumberFormat="1" applyFont="1" applyFill="1" applyBorder="1" applyAlignment="1">
      <alignment horizontal="center"/>
    </xf>
    <xf numFmtId="0" fontId="30" fillId="5" borderId="0" xfId="2" applyFont="1" applyFill="1"/>
    <xf numFmtId="0" fontId="31" fillId="5" borderId="0" xfId="2" applyFont="1" applyFill="1"/>
    <xf numFmtId="0" fontId="25" fillId="5" borderId="0" xfId="2" applyFont="1" applyFill="1" applyBorder="1"/>
    <xf numFmtId="0" fontId="23" fillId="5" borderId="0" xfId="2" applyFont="1" applyFill="1"/>
    <xf numFmtId="3" fontId="11" fillId="10" borderId="0" xfId="2" applyNumberFormat="1" applyFont="1" applyFill="1" applyBorder="1" applyAlignment="1">
      <alignment horizontal="right"/>
    </xf>
    <xf numFmtId="0" fontId="9" fillId="24" borderId="0" xfId="2" applyFont="1" applyFill="1"/>
    <xf numFmtId="3" fontId="9" fillId="24" borderId="0" xfId="2" applyNumberFormat="1" applyFont="1" applyFill="1"/>
    <xf numFmtId="20" fontId="17" fillId="5" borderId="0" xfId="2" applyNumberFormat="1" applyFont="1" applyFill="1" applyBorder="1" applyAlignment="1">
      <alignment horizontal="left" wrapText="1"/>
    </xf>
    <xf numFmtId="9" fontId="27" fillId="3" borderId="24" xfId="3" applyNumberFormat="1" applyFont="1" applyFill="1" applyBorder="1" applyAlignment="1" applyProtection="1">
      <alignment horizontal="right" wrapText="1"/>
      <protection locked="0"/>
    </xf>
    <xf numFmtId="0" fontId="17" fillId="5" borderId="0" xfId="2" applyFont="1" applyFill="1" applyBorder="1"/>
    <xf numFmtId="3" fontId="5" fillId="5" borderId="0" xfId="2" applyNumberFormat="1" applyFont="1" applyFill="1"/>
    <xf numFmtId="20" fontId="17" fillId="7" borderId="0" xfId="2" applyNumberFormat="1" applyFont="1" applyFill="1" applyBorder="1" applyAlignment="1">
      <alignment horizontal="center" wrapText="1"/>
    </xf>
    <xf numFmtId="20" fontId="17" fillId="7" borderId="0" xfId="2" applyNumberFormat="1" applyFont="1" applyFill="1" applyBorder="1" applyAlignment="1">
      <alignment horizontal="center" vertical="center" wrapText="1"/>
    </xf>
    <xf numFmtId="20" fontId="17" fillId="7" borderId="60" xfId="2" applyNumberFormat="1" applyFont="1" applyFill="1" applyBorder="1" applyAlignment="1">
      <alignment horizontal="center" wrapText="1"/>
    </xf>
    <xf numFmtId="0" fontId="22" fillId="10" borderId="0" xfId="2" applyFont="1" applyFill="1" applyBorder="1" applyAlignment="1">
      <alignment horizontal="center"/>
    </xf>
    <xf numFmtId="0" fontId="17" fillId="10" borderId="0" xfId="2" applyFont="1" applyFill="1" applyBorder="1" applyAlignment="1">
      <alignment horizontal="left"/>
    </xf>
    <xf numFmtId="3" fontId="32" fillId="9" borderId="24" xfId="2" applyNumberFormat="1" applyFont="1" applyFill="1" applyBorder="1" applyAlignment="1">
      <alignment horizontal="center"/>
    </xf>
    <xf numFmtId="1" fontId="3" fillId="10" borderId="0" xfId="2" applyNumberFormat="1" applyFont="1" applyFill="1" applyAlignment="1">
      <alignment horizontal="center"/>
    </xf>
    <xf numFmtId="0" fontId="17" fillId="5" borderId="0" xfId="2" applyFont="1" applyFill="1" applyBorder="1" applyAlignment="1">
      <alignment horizontal="left"/>
    </xf>
    <xf numFmtId="0" fontId="28" fillId="19" borderId="66" xfId="2" applyFont="1" applyFill="1" applyBorder="1" applyAlignment="1">
      <alignment horizontal="center" wrapText="1"/>
    </xf>
    <xf numFmtId="20" fontId="22" fillId="10" borderId="0" xfId="2" applyNumberFormat="1" applyFont="1" applyFill="1" applyBorder="1" applyAlignment="1">
      <alignment wrapText="1"/>
    </xf>
    <xf numFmtId="2" fontId="3" fillId="10" borderId="0" xfId="2" applyNumberFormat="1" applyFont="1" applyFill="1"/>
    <xf numFmtId="9" fontId="3" fillId="10" borderId="0" xfId="5" applyFont="1" applyFill="1"/>
    <xf numFmtId="0" fontId="33" fillId="10" borderId="0" xfId="2" applyFont="1" applyFill="1" applyBorder="1" applyAlignment="1">
      <alignment horizontal="left"/>
    </xf>
    <xf numFmtId="3" fontId="34" fillId="9" borderId="24" xfId="2" applyNumberFormat="1" applyFont="1" applyFill="1" applyBorder="1" applyAlignment="1">
      <alignment horizontal="center"/>
    </xf>
    <xf numFmtId="0" fontId="33" fillId="5" borderId="0" xfId="2" applyFont="1" applyFill="1" applyBorder="1" applyAlignment="1">
      <alignment horizontal="left"/>
    </xf>
    <xf numFmtId="0" fontId="14" fillId="5" borderId="0" xfId="4" applyFont="1" applyFill="1" applyAlignment="1" applyProtection="1"/>
    <xf numFmtId="3" fontId="16" fillId="9" borderId="10" xfId="3" applyNumberFormat="1" applyFont="1" applyFill="1" applyBorder="1" applyAlignment="1">
      <alignment horizontal="left" vertical="center" wrapText="1"/>
    </xf>
    <xf numFmtId="3" fontId="16" fillId="9" borderId="10" xfId="3" applyNumberFormat="1" applyFont="1" applyFill="1" applyBorder="1" applyAlignment="1">
      <alignment horizontal="center" vertical="center" wrapText="1"/>
    </xf>
    <xf numFmtId="165" fontId="16" fillId="9" borderId="10" xfId="3" applyNumberFormat="1" applyFont="1" applyFill="1" applyBorder="1" applyAlignment="1">
      <alignment horizontal="center" vertical="center" wrapText="1"/>
    </xf>
    <xf numFmtId="164" fontId="11" fillId="10" borderId="12" xfId="2" applyNumberFormat="1" applyFont="1" applyFill="1" applyBorder="1" applyAlignment="1">
      <alignment horizontal="center" vertical="center"/>
    </xf>
    <xf numFmtId="1" fontId="11" fillId="10" borderId="12" xfId="2" applyNumberFormat="1" applyFont="1" applyFill="1" applyBorder="1" applyAlignment="1">
      <alignment horizontal="center" vertical="center"/>
    </xf>
    <xf numFmtId="1" fontId="11" fillId="24" borderId="0" xfId="2" applyNumberFormat="1" applyFont="1" applyFill="1" applyAlignment="1">
      <alignment horizontal="center" vertical="center"/>
    </xf>
    <xf numFmtId="3" fontId="16" fillId="9" borderId="11" xfId="3" applyNumberFormat="1" applyFont="1" applyFill="1" applyBorder="1" applyAlignment="1">
      <alignment horizontal="center" vertical="center" wrapText="1"/>
    </xf>
    <xf numFmtId="4" fontId="16" fillId="9" borderId="64" xfId="3" applyNumberFormat="1" applyFont="1" applyFill="1" applyBorder="1" applyAlignment="1">
      <alignment horizontal="center" vertical="center" wrapText="1"/>
    </xf>
    <xf numFmtId="4" fontId="16" fillId="9" borderId="65" xfId="3" applyNumberFormat="1" applyFont="1" applyFill="1" applyBorder="1" applyAlignment="1">
      <alignment horizontal="center" vertical="center" wrapText="1"/>
    </xf>
    <xf numFmtId="4" fontId="16" fillId="9" borderId="10" xfId="3" applyNumberFormat="1" applyFont="1" applyFill="1" applyBorder="1" applyAlignment="1">
      <alignment horizontal="center" vertical="center" wrapText="1"/>
    </xf>
    <xf numFmtId="0" fontId="25" fillId="5" borderId="0" xfId="2" applyFont="1" applyFill="1" applyBorder="1" applyAlignment="1">
      <alignment vertical="center"/>
    </xf>
    <xf numFmtId="20" fontId="24" fillId="25" borderId="0" xfId="2" applyNumberFormat="1" applyFont="1" applyFill="1" applyBorder="1" applyAlignment="1">
      <alignment horizontal="left"/>
    </xf>
    <xf numFmtId="20" fontId="11" fillId="25" borderId="0" xfId="2" applyNumberFormat="1" applyFont="1" applyFill="1" applyBorder="1" applyAlignment="1">
      <alignment horizontal="left" wrapText="1"/>
    </xf>
    <xf numFmtId="20" fontId="11" fillId="6" borderId="0" xfId="2" applyNumberFormat="1" applyFont="1" applyFill="1" applyBorder="1" applyAlignment="1">
      <alignment horizontal="left"/>
    </xf>
    <xf numFmtId="20" fontId="11" fillId="6" borderId="0" xfId="2" applyNumberFormat="1" applyFont="1" applyFill="1" applyBorder="1" applyAlignment="1">
      <alignment horizontal="center" wrapText="1"/>
    </xf>
    <xf numFmtId="20" fontId="22" fillId="5" borderId="0" xfId="2" applyNumberFormat="1" applyFont="1" applyFill="1" applyBorder="1" applyAlignment="1">
      <alignment horizontal="left"/>
    </xf>
    <xf numFmtId="20" fontId="22" fillId="25" borderId="0" xfId="2" applyNumberFormat="1" applyFont="1" applyFill="1" applyBorder="1" applyAlignment="1">
      <alignment horizontal="left"/>
    </xf>
    <xf numFmtId="3" fontId="11" fillId="10" borderId="0" xfId="2" applyNumberFormat="1" applyFont="1" applyFill="1" applyBorder="1" applyAlignment="1">
      <alignment horizontal="center"/>
    </xf>
    <xf numFmtId="20" fontId="22" fillId="7" borderId="0" xfId="2" applyNumberFormat="1" applyFont="1" applyFill="1" applyBorder="1" applyAlignment="1">
      <alignment wrapText="1"/>
    </xf>
    <xf numFmtId="20" fontId="11" fillId="7" borderId="58" xfId="2" applyNumberFormat="1" applyFont="1" applyFill="1" applyBorder="1" applyAlignment="1">
      <alignment horizontal="left"/>
    </xf>
    <xf numFmtId="20" fontId="11" fillId="7" borderId="26" xfId="2" applyNumberFormat="1" applyFont="1" applyFill="1" applyBorder="1" applyAlignment="1">
      <alignment horizontal="left"/>
    </xf>
    <xf numFmtId="0" fontId="27" fillId="6" borderId="0" xfId="3" applyNumberFormat="1" applyFont="1" applyFill="1" applyBorder="1" applyAlignment="1">
      <alignment horizontal="right"/>
    </xf>
    <xf numFmtId="20" fontId="11" fillId="7" borderId="61" xfId="2" applyNumberFormat="1" applyFont="1" applyFill="1" applyBorder="1" applyAlignment="1">
      <alignment horizontal="center" wrapText="1"/>
    </xf>
    <xf numFmtId="20" fontId="11" fillId="7" borderId="28" xfId="2" applyNumberFormat="1" applyFont="1" applyFill="1" applyBorder="1" applyAlignment="1">
      <alignment horizontal="center" wrapText="1"/>
    </xf>
    <xf numFmtId="20" fontId="17" fillId="5" borderId="0" xfId="2" applyNumberFormat="1" applyFont="1" applyFill="1" applyBorder="1" applyAlignment="1">
      <alignment horizontal="left"/>
    </xf>
    <xf numFmtId="0" fontId="25" fillId="3" borderId="24" xfId="3" applyNumberFormat="1" applyFont="1" applyFill="1" applyBorder="1" applyAlignment="1" applyProtection="1">
      <alignment horizontal="center"/>
      <protection locked="0"/>
    </xf>
    <xf numFmtId="9" fontId="25" fillId="3" borderId="27" xfId="3" applyNumberFormat="1" applyFont="1" applyFill="1" applyBorder="1" applyAlignment="1" applyProtection="1">
      <alignment horizontal="center"/>
      <protection locked="0"/>
    </xf>
    <xf numFmtId="0" fontId="35" fillId="9" borderId="0" xfId="2" applyFont="1" applyFill="1"/>
    <xf numFmtId="0" fontId="11" fillId="10" borderId="0" xfId="2" applyFont="1" applyFill="1" applyBorder="1" applyAlignment="1">
      <alignment horizontal="left"/>
    </xf>
    <xf numFmtId="0" fontId="27" fillId="3" borderId="10" xfId="3" applyNumberFormat="1" applyFont="1" applyFill="1" applyBorder="1" applyAlignment="1">
      <alignment horizontal="center"/>
    </xf>
    <xf numFmtId="0" fontId="27" fillId="3" borderId="32" xfId="3" applyNumberFormat="1" applyFont="1" applyFill="1" applyBorder="1" applyAlignment="1">
      <alignment horizontal="right"/>
    </xf>
    <xf numFmtId="2" fontId="27" fillId="3" borderId="32" xfId="3" applyNumberFormat="1" applyFont="1" applyFill="1" applyBorder="1" applyAlignment="1">
      <alignment horizontal="right"/>
    </xf>
    <xf numFmtId="0" fontId="27" fillId="9" borderId="32" xfId="3" applyNumberFormat="1" applyFont="1" applyFill="1" applyBorder="1" applyAlignment="1">
      <alignment horizontal="right"/>
    </xf>
    <xf numFmtId="4" fontId="11" fillId="10" borderId="2" xfId="2" applyNumberFormat="1" applyFont="1" applyFill="1" applyBorder="1" applyAlignment="1">
      <alignment horizontal="center"/>
    </xf>
    <xf numFmtId="3" fontId="11" fillId="10" borderId="24" xfId="2" applyNumberFormat="1" applyFont="1" applyFill="1" applyBorder="1" applyAlignment="1">
      <alignment horizontal="center"/>
    </xf>
    <xf numFmtId="4" fontId="11" fillId="10" borderId="24" xfId="2" applyNumberFormat="1" applyFont="1" applyFill="1" applyBorder="1" applyAlignment="1">
      <alignment horizontal="center"/>
    </xf>
    <xf numFmtId="4" fontId="9" fillId="24" borderId="0" xfId="2" applyNumberFormat="1" applyFont="1" applyFill="1"/>
    <xf numFmtId="20" fontId="25" fillId="5" borderId="0" xfId="3" applyNumberFormat="1" applyFont="1" applyFill="1" applyBorder="1" applyAlignment="1">
      <alignment horizontal="left"/>
    </xf>
    <xf numFmtId="9" fontId="32" fillId="9" borderId="25" xfId="2" applyNumberFormat="1" applyFont="1" applyFill="1" applyBorder="1" applyAlignment="1">
      <alignment horizontal="center"/>
    </xf>
    <xf numFmtId="0" fontId="37" fillId="27" borderId="27" xfId="2" applyFont="1" applyFill="1" applyBorder="1" applyAlignment="1">
      <alignment horizontal="center"/>
    </xf>
    <xf numFmtId="0" fontId="37" fillId="27" borderId="2" xfId="2" applyFont="1" applyFill="1" applyBorder="1" applyAlignment="1">
      <alignment horizontal="center"/>
    </xf>
    <xf numFmtId="0" fontId="11" fillId="10" borderId="0" xfId="2" applyFont="1" applyFill="1" applyBorder="1" applyAlignment="1">
      <alignment horizontal="right"/>
    </xf>
    <xf numFmtId="3" fontId="17" fillId="12" borderId="0" xfId="2" applyNumberFormat="1" applyFont="1" applyFill="1" applyBorder="1" applyAlignment="1">
      <alignment horizontal="right"/>
    </xf>
    <xf numFmtId="0" fontId="27" fillId="9" borderId="10" xfId="3" applyNumberFormat="1" applyFont="1" applyFill="1" applyBorder="1" applyAlignment="1">
      <alignment horizontal="center"/>
    </xf>
    <xf numFmtId="20" fontId="17" fillId="25" borderId="0" xfId="2" applyNumberFormat="1" applyFont="1" applyFill="1" applyBorder="1" applyAlignment="1">
      <alignment horizontal="left"/>
    </xf>
    <xf numFmtId="20" fontId="17" fillId="25" borderId="0" xfId="2" applyNumberFormat="1" applyFont="1" applyFill="1" applyBorder="1" applyAlignment="1">
      <alignment horizontal="right"/>
    </xf>
    <xf numFmtId="0" fontId="25" fillId="3" borderId="24" xfId="3" applyNumberFormat="1" applyFont="1" applyFill="1" applyBorder="1" applyAlignment="1" applyProtection="1">
      <alignment horizontal="center" wrapText="1"/>
      <protection locked="0"/>
    </xf>
    <xf numFmtId="0" fontId="38" fillId="9" borderId="27" xfId="2" applyFont="1" applyFill="1" applyBorder="1" applyAlignment="1">
      <alignment horizontal="left"/>
    </xf>
    <xf numFmtId="0" fontId="5" fillId="9" borderId="2" xfId="2" applyFont="1" applyFill="1" applyBorder="1"/>
    <xf numFmtId="9" fontId="25" fillId="3" borderId="24" xfId="3" applyNumberFormat="1" applyFont="1" applyFill="1" applyBorder="1" applyAlignment="1" applyProtection="1">
      <alignment horizontal="center"/>
      <protection locked="0"/>
    </xf>
    <xf numFmtId="0" fontId="39" fillId="5" borderId="0" xfId="2" applyFont="1" applyFill="1" applyAlignment="1">
      <alignment horizontal="left"/>
    </xf>
    <xf numFmtId="20" fontId="11" fillId="7" borderId="61" xfId="2" applyNumberFormat="1" applyFont="1" applyFill="1" applyBorder="1" applyAlignment="1">
      <alignment horizontal="left" wrapText="1"/>
    </xf>
    <xf numFmtId="9" fontId="17" fillId="10" borderId="24" xfId="2" applyNumberFormat="1" applyFont="1" applyFill="1" applyBorder="1" applyAlignment="1">
      <alignment horizontal="left"/>
    </xf>
    <xf numFmtId="9" fontId="27" fillId="3" borderId="10" xfId="5" applyFont="1" applyFill="1" applyBorder="1" applyAlignment="1">
      <alignment horizontal="right"/>
    </xf>
    <xf numFmtId="20" fontId="17" fillId="7" borderId="0" xfId="2" applyNumberFormat="1" applyFont="1" applyFill="1" applyBorder="1" applyAlignment="1">
      <alignment horizontal="left" wrapText="1"/>
    </xf>
    <xf numFmtId="9" fontId="32" fillId="9" borderId="23" xfId="2" applyNumberFormat="1" applyFont="1" applyFill="1" applyBorder="1" applyAlignment="1">
      <alignment horizontal="center"/>
    </xf>
    <xf numFmtId="0" fontId="37" fillId="27" borderId="0" xfId="2" applyFont="1" applyFill="1" applyAlignment="1">
      <alignment horizontal="center" wrapText="1"/>
    </xf>
    <xf numFmtId="9" fontId="5" fillId="3" borderId="32" xfId="3" applyNumberFormat="1" applyFont="1" applyFill="1" applyBorder="1" applyAlignment="1" applyProtection="1">
      <alignment horizontal="center"/>
      <protection locked="0"/>
    </xf>
    <xf numFmtId="0" fontId="25" fillId="3" borderId="10" xfId="3" applyNumberFormat="1" applyFont="1" applyFill="1" applyBorder="1" applyAlignment="1" applyProtection="1">
      <alignment horizontal="center"/>
      <protection locked="0"/>
    </xf>
    <xf numFmtId="9" fontId="25" fillId="3" borderId="10" xfId="3" applyNumberFormat="1" applyFont="1" applyFill="1" applyBorder="1" applyAlignment="1" applyProtection="1">
      <alignment horizontal="center"/>
      <protection locked="0"/>
    </xf>
    <xf numFmtId="2" fontId="37" fillId="27" borderId="0" xfId="2" applyNumberFormat="1" applyFont="1" applyFill="1" applyAlignment="1">
      <alignment horizontal="center"/>
    </xf>
    <xf numFmtId="9" fontId="32" fillId="9" borderId="24" xfId="2" applyNumberFormat="1" applyFont="1" applyFill="1" applyBorder="1" applyAlignment="1">
      <alignment horizontal="center"/>
    </xf>
    <xf numFmtId="0" fontId="36" fillId="5" borderId="0" xfId="2" applyFont="1" applyFill="1" applyAlignment="1">
      <alignment horizontal="left"/>
    </xf>
    <xf numFmtId="0" fontId="40" fillId="5" borderId="0" xfId="2" applyFont="1" applyFill="1" applyAlignment="1">
      <alignment horizontal="left"/>
    </xf>
    <xf numFmtId="0" fontId="17" fillId="5" borderId="0" xfId="2" applyFont="1" applyFill="1" applyBorder="1" applyAlignment="1">
      <alignment horizontal="right"/>
    </xf>
    <xf numFmtId="0" fontId="25" fillId="3" borderId="32" xfId="3" applyNumberFormat="1" applyFont="1" applyFill="1" applyBorder="1" applyAlignment="1" applyProtection="1">
      <alignment horizontal="center"/>
      <protection locked="0"/>
    </xf>
    <xf numFmtId="20" fontId="23" fillId="25" borderId="0" xfId="2" applyNumberFormat="1" applyFont="1" applyFill="1" applyBorder="1" applyAlignment="1">
      <alignment horizontal="left"/>
    </xf>
    <xf numFmtId="3" fontId="17" fillId="12" borderId="0" xfId="2" applyNumberFormat="1" applyFont="1" applyFill="1" applyBorder="1" applyAlignment="1">
      <alignment horizontal="center"/>
    </xf>
    <xf numFmtId="20" fontId="11" fillId="6" borderId="0" xfId="2" applyNumberFormat="1" applyFont="1" applyFill="1" applyBorder="1" applyAlignment="1">
      <alignment horizontal="left" wrapText="1"/>
    </xf>
    <xf numFmtId="0" fontId="25" fillId="5" borderId="0" xfId="2" applyFont="1" applyFill="1" applyAlignment="1">
      <alignment vertical="center"/>
    </xf>
    <xf numFmtId="20" fontId="11" fillId="5" borderId="0" xfId="2" applyNumberFormat="1" applyFont="1" applyFill="1" applyBorder="1" applyAlignment="1">
      <alignment horizontal="left" wrapText="1"/>
    </xf>
    <xf numFmtId="0" fontId="23" fillId="5" borderId="0" xfId="2" applyFont="1" applyFill="1" applyAlignment="1">
      <alignment horizontal="left" vertical="center"/>
    </xf>
    <xf numFmtId="20" fontId="17" fillId="7" borderId="27" xfId="6" applyNumberFormat="1" applyFont="1" applyFill="1" applyBorder="1" applyAlignment="1">
      <alignment wrapText="1"/>
    </xf>
    <xf numFmtId="20" fontId="17" fillId="7" borderId="1" xfId="6" applyNumberFormat="1" applyFont="1" applyFill="1" applyBorder="1" applyAlignment="1">
      <alignment horizontal="center"/>
    </xf>
    <xf numFmtId="20" fontId="17" fillId="7" borderId="1" xfId="6" applyNumberFormat="1" applyFont="1" applyFill="1" applyBorder="1" applyAlignment="1"/>
    <xf numFmtId="20" fontId="17" fillId="7" borderId="2" xfId="6" applyNumberFormat="1" applyFont="1" applyFill="1" applyBorder="1" applyAlignment="1"/>
    <xf numFmtId="0" fontId="25" fillId="3" borderId="27" xfId="3" applyFont="1" applyFill="1" applyBorder="1" applyAlignment="1" applyProtection="1">
      <protection locked="0"/>
    </xf>
    <xf numFmtId="0" fontId="17" fillId="5" borderId="0" xfId="2" applyFont="1" applyFill="1" applyAlignment="1">
      <alignment vertical="center"/>
    </xf>
    <xf numFmtId="0" fontId="17" fillId="10" borderId="10" xfId="6" applyFont="1" applyFill="1" applyBorder="1" applyAlignment="1">
      <alignment horizontal="left"/>
    </xf>
    <xf numFmtId="166" fontId="38" fillId="3" borderId="10" xfId="3" applyNumberFormat="1" applyFont="1" applyFill="1" applyBorder="1" applyAlignment="1">
      <alignment horizontal="center"/>
    </xf>
    <xf numFmtId="0" fontId="17" fillId="10" borderId="24" xfId="6" applyFont="1" applyFill="1" applyBorder="1" applyAlignment="1">
      <alignment horizontal="left"/>
    </xf>
    <xf numFmtId="0" fontId="25" fillId="3" borderId="24" xfId="3" applyNumberFormat="1" applyFont="1" applyFill="1" applyBorder="1" applyAlignment="1">
      <alignment horizontal="center" wrapText="1"/>
    </xf>
    <xf numFmtId="20" fontId="17" fillId="26" borderId="0" xfId="2" applyNumberFormat="1" applyFont="1" applyFill="1" applyBorder="1" applyAlignment="1">
      <alignment horizontal="left" wrapText="1"/>
    </xf>
    <xf numFmtId="20" fontId="17" fillId="26" borderId="0" xfId="2" applyNumberFormat="1" applyFont="1" applyFill="1" applyBorder="1" applyAlignment="1">
      <alignment horizontal="center" wrapText="1"/>
    </xf>
    <xf numFmtId="0" fontId="38" fillId="3" borderId="24" xfId="3" applyNumberFormat="1" applyFont="1" applyFill="1" applyBorder="1" applyAlignment="1">
      <alignment horizontal="center" wrapText="1"/>
    </xf>
    <xf numFmtId="0" fontId="17" fillId="10" borderId="0" xfId="2" applyFont="1" applyFill="1" applyBorder="1" applyAlignment="1"/>
    <xf numFmtId="166" fontId="32" fillId="9" borderId="24" xfId="2" applyNumberFormat="1" applyFont="1" applyFill="1" applyBorder="1" applyAlignment="1">
      <alignment horizontal="center"/>
    </xf>
    <xf numFmtId="0" fontId="5" fillId="9" borderId="0" xfId="2" applyFont="1" applyFill="1" applyAlignment="1">
      <alignment horizontal="right"/>
    </xf>
    <xf numFmtId="0" fontId="5" fillId="6" borderId="0" xfId="6" applyFont="1" applyFill="1"/>
    <xf numFmtId="0" fontId="17" fillId="7" borderId="0" xfId="2" applyFont="1" applyFill="1"/>
    <xf numFmtId="166" fontId="32" fillId="9" borderId="10" xfId="2" applyNumberFormat="1" applyFont="1" applyFill="1" applyBorder="1" applyAlignment="1">
      <alignment horizontal="center"/>
    </xf>
    <xf numFmtId="20" fontId="17" fillId="7" borderId="1" xfId="6" applyNumberFormat="1" applyFont="1" applyFill="1" applyBorder="1" applyAlignment="1">
      <alignment horizontal="left"/>
    </xf>
    <xf numFmtId="20" fontId="17" fillId="7" borderId="2" xfId="6" applyNumberFormat="1" applyFont="1" applyFill="1" applyBorder="1" applyAlignment="1">
      <alignment horizontal="left"/>
    </xf>
    <xf numFmtId="0" fontId="32" fillId="9" borderId="24" xfId="3" applyNumberFormat="1" applyFont="1" applyFill="1" applyBorder="1" applyAlignment="1">
      <alignment horizontal="center" wrapText="1"/>
    </xf>
    <xf numFmtId="0" fontId="5" fillId="9" borderId="0" xfId="2" applyFont="1" applyFill="1" applyAlignment="1">
      <alignment horizontal="right" vertical="center"/>
    </xf>
    <xf numFmtId="1" fontId="25" fillId="3" borderId="10" xfId="3" applyNumberFormat="1" applyFont="1" applyFill="1" applyBorder="1" applyAlignment="1">
      <alignment horizontal="right" wrapText="1"/>
    </xf>
    <xf numFmtId="0" fontId="32" fillId="9" borderId="10" xfId="3" applyNumberFormat="1" applyFont="1" applyFill="1" applyBorder="1" applyAlignment="1">
      <alignment horizontal="center" wrapText="1"/>
    </xf>
    <xf numFmtId="1" fontId="25" fillId="3" borderId="24" xfId="3" applyNumberFormat="1" applyFont="1" applyFill="1" applyBorder="1" applyAlignment="1">
      <alignment horizontal="right" wrapText="1"/>
    </xf>
    <xf numFmtId="2" fontId="25" fillId="3" borderId="24" xfId="3" applyNumberFormat="1" applyFont="1" applyFill="1" applyBorder="1" applyAlignment="1">
      <alignment horizontal="right" wrapText="1"/>
    </xf>
    <xf numFmtId="3" fontId="17" fillId="12" borderId="0" xfId="2" applyNumberFormat="1" applyFont="1" applyFill="1" applyBorder="1" applyAlignment="1"/>
    <xf numFmtId="20" fontId="17" fillId="5" borderId="0" xfId="2" applyNumberFormat="1" applyFont="1" applyFill="1" applyBorder="1" applyAlignment="1">
      <alignment wrapText="1"/>
    </xf>
    <xf numFmtId="0" fontId="5" fillId="5" borderId="0" xfId="2" applyFont="1" applyFill="1" applyAlignment="1">
      <alignment horizontal="center"/>
    </xf>
    <xf numFmtId="0" fontId="25" fillId="5" borderId="0" xfId="2" applyFont="1" applyFill="1" applyAlignment="1">
      <alignment horizontal="center"/>
    </xf>
    <xf numFmtId="20" fontId="11" fillId="7" borderId="12" xfId="2" applyNumberFormat="1" applyFont="1" applyFill="1" applyBorder="1" applyAlignment="1">
      <alignment horizontal="center" wrapText="1"/>
    </xf>
    <xf numFmtId="3" fontId="25" fillId="3" borderId="10" xfId="3" applyNumberFormat="1" applyFont="1" applyFill="1" applyBorder="1" applyAlignment="1" applyProtection="1">
      <alignment horizontal="center"/>
      <protection locked="0"/>
    </xf>
    <xf numFmtId="3" fontId="32" fillId="9" borderId="10" xfId="2" applyNumberFormat="1" applyFont="1" applyFill="1" applyBorder="1" applyAlignment="1">
      <alignment horizontal="center"/>
    </xf>
    <xf numFmtId="3" fontId="42" fillId="9" borderId="10" xfId="3" applyNumberFormat="1" applyFont="1" applyFill="1" applyBorder="1" applyAlignment="1">
      <alignment horizontal="center" wrapText="1"/>
    </xf>
    <xf numFmtId="3" fontId="16" fillId="9" borderId="10" xfId="2" applyNumberFormat="1" applyFont="1" applyFill="1" applyBorder="1" applyAlignment="1">
      <alignment horizontal="center"/>
    </xf>
    <xf numFmtId="3" fontId="42" fillId="9" borderId="10" xfId="2" applyNumberFormat="1" applyFont="1" applyFill="1" applyBorder="1" applyAlignment="1">
      <alignment horizontal="center"/>
    </xf>
    <xf numFmtId="3" fontId="16" fillId="9" borderId="24" xfId="2" applyNumberFormat="1" applyFont="1" applyFill="1" applyBorder="1" applyAlignment="1">
      <alignment horizontal="center"/>
    </xf>
    <xf numFmtId="3" fontId="34" fillId="9" borderId="11" xfId="3" applyNumberFormat="1" applyFont="1" applyFill="1" applyBorder="1" applyAlignment="1">
      <alignment horizontal="center" wrapText="1"/>
    </xf>
    <xf numFmtId="3" fontId="15" fillId="12" borderId="0" xfId="2" applyNumberFormat="1" applyFont="1" applyFill="1" applyBorder="1" applyAlignment="1">
      <alignment horizontal="center"/>
    </xf>
    <xf numFmtId="20" fontId="11" fillId="26" borderId="0" xfId="2" applyNumberFormat="1" applyFont="1" applyFill="1" applyBorder="1" applyAlignment="1">
      <alignment horizontal="right"/>
    </xf>
    <xf numFmtId="3" fontId="11" fillId="26" borderId="0" xfId="2" applyNumberFormat="1" applyFont="1" applyFill="1" applyBorder="1" applyAlignment="1">
      <alignment horizontal="center"/>
    </xf>
    <xf numFmtId="0" fontId="25" fillId="7" borderId="0" xfId="2" applyFont="1" applyFill="1"/>
    <xf numFmtId="0" fontId="25" fillId="3" borderId="24" xfId="3" applyFont="1" applyFill="1" applyBorder="1" applyAlignment="1" applyProtection="1">
      <alignment horizontal="center"/>
      <protection locked="0"/>
    </xf>
    <xf numFmtId="3" fontId="17" fillId="12" borderId="0" xfId="2" applyNumberFormat="1" applyFont="1" applyFill="1" applyBorder="1" applyAlignment="1">
      <alignment horizontal="center" wrapText="1"/>
    </xf>
    <xf numFmtId="0" fontId="17" fillId="10" borderId="0" xfId="2" applyFont="1" applyFill="1" applyBorder="1" applyAlignment="1">
      <alignment horizontal="right"/>
    </xf>
    <xf numFmtId="3" fontId="32" fillId="9" borderId="10" xfId="3" applyNumberFormat="1" applyFont="1" applyFill="1" applyBorder="1" applyAlignment="1">
      <alignment horizontal="center" wrapText="1"/>
    </xf>
    <xf numFmtId="20" fontId="22" fillId="7" borderId="58" xfId="6" applyNumberFormat="1" applyFont="1" applyFill="1" applyBorder="1" applyAlignment="1">
      <alignment horizontal="center" wrapText="1"/>
    </xf>
    <xf numFmtId="20" fontId="11" fillId="26" borderId="0" xfId="2" applyNumberFormat="1" applyFont="1" applyFill="1" applyBorder="1" applyAlignment="1">
      <alignment wrapText="1"/>
    </xf>
    <xf numFmtId="3" fontId="11" fillId="12" borderId="0" xfId="2" applyNumberFormat="1" applyFont="1" applyFill="1" applyBorder="1" applyAlignment="1">
      <alignment horizontal="left"/>
    </xf>
    <xf numFmtId="20" fontId="22" fillId="7" borderId="58" xfId="6" applyNumberFormat="1" applyFont="1" applyFill="1" applyBorder="1" applyAlignment="1">
      <alignment wrapText="1"/>
    </xf>
    <xf numFmtId="20" fontId="22" fillId="7" borderId="60" xfId="6" applyNumberFormat="1" applyFont="1" applyFill="1" applyBorder="1" applyAlignment="1">
      <alignment horizontal="center" wrapText="1"/>
    </xf>
    <xf numFmtId="3" fontId="11" fillId="10" borderId="24" xfId="2" applyNumberFormat="1" applyFont="1" applyFill="1" applyBorder="1" applyAlignment="1">
      <alignment horizontal="center" wrapText="1"/>
    </xf>
    <xf numFmtId="0" fontId="22" fillId="10" borderId="24" xfId="6" applyFont="1" applyFill="1" applyBorder="1" applyAlignment="1">
      <alignment horizontal="left"/>
    </xf>
    <xf numFmtId="0" fontId="22" fillId="10" borderId="24" xfId="6" applyFont="1" applyFill="1" applyBorder="1" applyAlignment="1">
      <alignment horizontal="center"/>
    </xf>
    <xf numFmtId="1" fontId="22" fillId="10" borderId="24" xfId="6" applyNumberFormat="1" applyFont="1" applyFill="1" applyBorder="1" applyAlignment="1">
      <alignment horizontal="center"/>
    </xf>
    <xf numFmtId="0" fontId="25" fillId="5" borderId="0" xfId="3" applyNumberFormat="1" applyFont="1" applyFill="1" applyBorder="1" applyAlignment="1">
      <alignment horizontal="left" vertical="center"/>
    </xf>
    <xf numFmtId="0" fontId="31" fillId="5" borderId="0" xfId="2" applyFont="1" applyFill="1" applyAlignment="1">
      <alignment vertical="center"/>
    </xf>
    <xf numFmtId="167" fontId="11" fillId="10" borderId="24" xfId="2" applyNumberFormat="1" applyFont="1" applyFill="1" applyBorder="1" applyAlignment="1">
      <alignment horizontal="center"/>
    </xf>
    <xf numFmtId="165" fontId="11" fillId="10" borderId="24" xfId="2" applyNumberFormat="1" applyFont="1" applyFill="1" applyBorder="1" applyAlignment="1">
      <alignment horizontal="center"/>
    </xf>
    <xf numFmtId="167" fontId="11" fillId="28" borderId="24" xfId="2" applyNumberFormat="1" applyFont="1" applyFill="1" applyBorder="1" applyAlignment="1">
      <alignment horizontal="center"/>
    </xf>
    <xf numFmtId="9" fontId="11" fillId="10" borderId="24" xfId="2" applyNumberFormat="1" applyFont="1" applyFill="1" applyBorder="1" applyAlignment="1">
      <alignment horizontal="center"/>
    </xf>
    <xf numFmtId="0" fontId="22" fillId="10" borderId="0" xfId="6" applyFont="1" applyFill="1" applyBorder="1" applyAlignment="1">
      <alignment horizontal="left"/>
    </xf>
    <xf numFmtId="9" fontId="38" fillId="3" borderId="24" xfId="3" applyNumberFormat="1" applyFont="1" applyFill="1" applyBorder="1" applyAlignment="1">
      <alignment horizontal="right"/>
    </xf>
    <xf numFmtId="3" fontId="32" fillId="5" borderId="0" xfId="3" applyNumberFormat="1" applyFont="1" applyFill="1" applyBorder="1" applyAlignment="1">
      <alignment horizontal="center" wrapText="1"/>
    </xf>
    <xf numFmtId="9" fontId="38" fillId="3" borderId="10" xfId="3" applyNumberFormat="1" applyFont="1" applyFill="1" applyBorder="1" applyAlignment="1">
      <alignment horizontal="right"/>
    </xf>
    <xf numFmtId="0" fontId="25" fillId="3" borderId="24" xfId="3" applyNumberFormat="1" applyFont="1" applyFill="1" applyBorder="1" applyAlignment="1" applyProtection="1">
      <alignment horizontal="left"/>
      <protection locked="0"/>
    </xf>
    <xf numFmtId="3" fontId="32" fillId="9" borderId="24" xfId="3" applyNumberFormat="1" applyFont="1" applyFill="1" applyBorder="1" applyAlignment="1">
      <alignment horizontal="center" wrapText="1"/>
    </xf>
    <xf numFmtId="9" fontId="38" fillId="3" borderId="10" xfId="3" applyNumberFormat="1" applyFont="1" applyFill="1" applyBorder="1" applyAlignment="1">
      <alignment horizontal="right" wrapText="1"/>
    </xf>
    <xf numFmtId="20" fontId="11" fillId="26" borderId="19" xfId="2" applyNumberFormat="1" applyFont="1" applyFill="1" applyBorder="1" applyAlignment="1">
      <alignment wrapText="1"/>
    </xf>
    <xf numFmtId="3" fontId="11" fillId="12" borderId="0" xfId="2" applyNumberFormat="1" applyFont="1" applyFill="1" applyBorder="1" applyAlignment="1"/>
    <xf numFmtId="165" fontId="16" fillId="9" borderId="64" xfId="3" applyNumberFormat="1" applyFont="1" applyFill="1" applyBorder="1" applyAlignment="1">
      <alignment horizontal="center" wrapText="1"/>
    </xf>
    <xf numFmtId="3" fontId="32" fillId="9" borderId="32" xfId="3" applyNumberFormat="1" applyFont="1" applyFill="1" applyBorder="1" applyAlignment="1">
      <alignment horizontal="center" wrapText="1"/>
    </xf>
    <xf numFmtId="0" fontId="17" fillId="5" borderId="0" xfId="2" applyFont="1" applyFill="1"/>
    <xf numFmtId="49" fontId="11" fillId="7" borderId="8" xfId="2" applyNumberFormat="1" applyFont="1" applyFill="1" applyBorder="1" applyAlignment="1">
      <alignment wrapText="1"/>
    </xf>
    <xf numFmtId="49" fontId="11" fillId="7" borderId="67" xfId="2" applyNumberFormat="1" applyFont="1" applyFill="1" applyBorder="1" applyAlignment="1">
      <alignment horizontal="right" wrapText="1"/>
    </xf>
    <xf numFmtId="49" fontId="11" fillId="7" borderId="67" xfId="2" applyNumberFormat="1" applyFont="1" applyFill="1" applyBorder="1" applyAlignment="1">
      <alignment wrapText="1"/>
    </xf>
    <xf numFmtId="0" fontId="11" fillId="7" borderId="8" xfId="2" applyNumberFormat="1" applyFont="1" applyFill="1" applyBorder="1" applyAlignment="1">
      <alignment wrapText="1"/>
    </xf>
    <xf numFmtId="0" fontId="11" fillId="7" borderId="67" xfId="2" applyNumberFormat="1" applyFont="1" applyFill="1" applyBorder="1" applyAlignment="1">
      <alignment wrapText="1"/>
    </xf>
    <xf numFmtId="49" fontId="11" fillId="7" borderId="9" xfId="2" applyNumberFormat="1" applyFont="1" applyFill="1" applyBorder="1" applyAlignment="1">
      <alignment wrapText="1"/>
    </xf>
    <xf numFmtId="49" fontId="11" fillId="7" borderId="0" xfId="2" applyNumberFormat="1" applyFont="1" applyFill="1" applyBorder="1" applyAlignment="1">
      <alignment horizontal="center" wrapText="1"/>
    </xf>
    <xf numFmtId="20" fontId="22" fillId="7" borderId="0" xfId="6" applyNumberFormat="1" applyFont="1" applyFill="1" applyBorder="1" applyAlignment="1">
      <alignment horizontal="center" wrapText="1"/>
    </xf>
    <xf numFmtId="0" fontId="43" fillId="3" borderId="10" xfId="3" applyNumberFormat="1" applyFont="1" applyFill="1" applyBorder="1" applyAlignment="1">
      <alignment horizontal="right" wrapText="1"/>
    </xf>
    <xf numFmtId="0" fontId="22" fillId="5" borderId="0" xfId="2" applyFont="1" applyFill="1" applyAlignment="1">
      <alignment horizontal="left"/>
    </xf>
    <xf numFmtId="0" fontId="22" fillId="10" borderId="24" xfId="6" applyFont="1" applyFill="1" applyBorder="1" applyAlignment="1">
      <alignment horizontal="left" wrapText="1"/>
    </xf>
    <xf numFmtId="0" fontId="43" fillId="3" borderId="24" xfId="3" applyNumberFormat="1" applyFont="1" applyFill="1" applyBorder="1" applyAlignment="1">
      <alignment horizontal="right"/>
    </xf>
    <xf numFmtId="1" fontId="5" fillId="3" borderId="24" xfId="3" applyNumberFormat="1" applyFont="1" applyFill="1" applyBorder="1" applyAlignment="1">
      <alignment horizontal="center"/>
    </xf>
    <xf numFmtId="1" fontId="5" fillId="3" borderId="10" xfId="3" applyNumberFormat="1" applyFont="1" applyFill="1" applyBorder="1" applyAlignment="1">
      <alignment horizontal="center"/>
    </xf>
    <xf numFmtId="164" fontId="5" fillId="3" borderId="10" xfId="3" applyNumberFormat="1" applyFont="1" applyFill="1" applyBorder="1" applyAlignment="1">
      <alignment horizontal="center"/>
    </xf>
    <xf numFmtId="20" fontId="22" fillId="7" borderId="0" xfId="6" applyNumberFormat="1" applyFont="1" applyFill="1" applyBorder="1" applyAlignment="1">
      <alignment wrapText="1"/>
    </xf>
    <xf numFmtId="20" fontId="11" fillId="7" borderId="58" xfId="6" applyNumberFormat="1" applyFont="1" applyFill="1" applyBorder="1" applyAlignment="1">
      <alignment horizontal="center"/>
    </xf>
    <xf numFmtId="0" fontId="27" fillId="3" borderId="32" xfId="3" applyNumberFormat="1" applyFont="1" applyFill="1" applyBorder="1" applyAlignment="1">
      <alignment horizontal="center"/>
    </xf>
    <xf numFmtId="0" fontId="27" fillId="3" borderId="32" xfId="3" applyNumberFormat="1" applyFont="1" applyFill="1" applyBorder="1" applyAlignment="1">
      <alignment horizontal="center" wrapText="1"/>
    </xf>
    <xf numFmtId="0" fontId="11" fillId="10" borderId="0" xfId="2" applyFont="1" applyFill="1" applyBorder="1" applyAlignment="1">
      <alignment horizontal="left" vertical="center"/>
    </xf>
    <xf numFmtId="1" fontId="5" fillId="3" borderId="24" xfId="3" applyNumberFormat="1" applyFont="1" applyFill="1" applyBorder="1" applyAlignment="1">
      <alignment horizontal="center" vertical="center"/>
    </xf>
    <xf numFmtId="1" fontId="5" fillId="3" borderId="10" xfId="3" applyNumberFormat="1" applyFont="1" applyFill="1" applyBorder="1" applyAlignment="1">
      <alignment horizontal="center" vertical="center"/>
    </xf>
    <xf numFmtId="164" fontId="5" fillId="3" borderId="10" xfId="3" applyNumberFormat="1" applyFont="1" applyFill="1" applyBorder="1" applyAlignment="1">
      <alignment horizontal="center" vertical="center"/>
    </xf>
    <xf numFmtId="9" fontId="27" fillId="3" borderId="32" xfId="3" applyNumberFormat="1" applyFont="1" applyFill="1" applyBorder="1" applyAlignment="1">
      <alignment horizontal="center" wrapText="1"/>
    </xf>
    <xf numFmtId="2" fontId="5" fillId="9" borderId="0" xfId="2" applyNumberFormat="1" applyFont="1" applyFill="1"/>
    <xf numFmtId="3" fontId="5" fillId="9" borderId="0" xfId="2" applyNumberFormat="1" applyFont="1" applyFill="1"/>
    <xf numFmtId="0" fontId="31" fillId="5" borderId="0" xfId="2" applyFont="1" applyFill="1" applyAlignment="1">
      <alignment horizontal="center"/>
    </xf>
    <xf numFmtId="20" fontId="43" fillId="6" borderId="0" xfId="2" applyNumberFormat="1" applyFont="1" applyFill="1" applyBorder="1" applyAlignment="1">
      <alignment horizontal="left"/>
    </xf>
    <xf numFmtId="20" fontId="22" fillId="6" borderId="0" xfId="2" applyNumberFormat="1" applyFont="1" applyFill="1" applyBorder="1" applyAlignment="1"/>
    <xf numFmtId="20" fontId="17" fillId="21" borderId="48" xfId="2" applyNumberFormat="1" applyFont="1" applyFill="1" applyBorder="1" applyAlignment="1">
      <alignment wrapText="1"/>
    </xf>
    <xf numFmtId="20" fontId="22" fillId="7" borderId="27" xfId="6" applyNumberFormat="1" applyFont="1" applyFill="1" applyBorder="1" applyAlignment="1"/>
    <xf numFmtId="20" fontId="22" fillId="7" borderId="1" xfId="6" applyNumberFormat="1" applyFont="1" applyFill="1" applyBorder="1" applyAlignment="1"/>
    <xf numFmtId="20" fontId="22" fillId="7" borderId="1" xfId="6" applyNumberFormat="1" applyFont="1" applyFill="1" applyBorder="1" applyAlignment="1">
      <alignment wrapText="1"/>
    </xf>
    <xf numFmtId="20" fontId="22" fillId="7" borderId="2" xfId="6" applyNumberFormat="1" applyFont="1" applyFill="1" applyBorder="1" applyAlignment="1">
      <alignment wrapText="1"/>
    </xf>
    <xf numFmtId="0" fontId="17" fillId="5" borderId="0" xfId="2" applyFont="1" applyFill="1" applyAlignment="1">
      <alignment horizontal="left"/>
    </xf>
    <xf numFmtId="20" fontId="22" fillId="7" borderId="27" xfId="6" applyNumberFormat="1" applyFont="1" applyFill="1" applyBorder="1" applyAlignment="1">
      <alignment wrapText="1"/>
    </xf>
    <xf numFmtId="0" fontId="17" fillId="5" borderId="0" xfId="2" applyFont="1" applyFill="1" applyAlignment="1">
      <alignment horizontal="center"/>
    </xf>
    <xf numFmtId="164" fontId="5" fillId="27" borderId="51" xfId="2" applyNumberFormat="1" applyFont="1" applyFill="1" applyBorder="1" applyAlignment="1">
      <alignment horizontal="center"/>
    </xf>
    <xf numFmtId="164" fontId="5" fillId="9" borderId="69" xfId="2" applyNumberFormat="1" applyFont="1" applyFill="1" applyBorder="1" applyAlignment="1">
      <alignment horizontal="center"/>
    </xf>
    <xf numFmtId="0" fontId="22" fillId="10" borderId="0" xfId="6" applyFont="1" applyFill="1" applyBorder="1" applyAlignment="1">
      <alignment horizontal="left" wrapText="1"/>
    </xf>
    <xf numFmtId="168" fontId="43" fillId="3" borderId="24" xfId="3" applyNumberFormat="1" applyFont="1" applyFill="1" applyBorder="1" applyAlignment="1">
      <alignment horizontal="right"/>
    </xf>
    <xf numFmtId="164" fontId="5" fillId="15" borderId="51" xfId="2" applyNumberFormat="1" applyFont="1" applyFill="1" applyBorder="1" applyAlignment="1">
      <alignment horizontal="center"/>
    </xf>
    <xf numFmtId="168" fontId="43" fillId="3" borderId="10" xfId="3" applyNumberFormat="1" applyFont="1" applyFill="1" applyBorder="1" applyAlignment="1">
      <alignment horizontal="right" wrapText="1"/>
    </xf>
    <xf numFmtId="164" fontId="43" fillId="3" borderId="10" xfId="3" applyNumberFormat="1" applyFont="1" applyFill="1" applyBorder="1" applyAlignment="1">
      <alignment horizontal="right" wrapText="1"/>
    </xf>
    <xf numFmtId="0" fontId="22" fillId="5" borderId="0" xfId="2" applyFont="1" applyFill="1"/>
    <xf numFmtId="0" fontId="27" fillId="5" borderId="0" xfId="2" applyFont="1" applyFill="1"/>
    <xf numFmtId="0" fontId="27" fillId="5" borderId="0" xfId="2" applyFont="1" applyFill="1" applyAlignment="1">
      <alignment horizontal="center"/>
    </xf>
    <xf numFmtId="164" fontId="22" fillId="10" borderId="0" xfId="6" applyNumberFormat="1" applyFont="1" applyFill="1" applyBorder="1" applyAlignment="1">
      <alignment horizontal="right"/>
    </xf>
    <xf numFmtId="1" fontId="22" fillId="10" borderId="0" xfId="6" applyNumberFormat="1" applyFont="1" applyFill="1" applyBorder="1" applyAlignment="1">
      <alignment horizontal="right"/>
    </xf>
    <xf numFmtId="164" fontId="5" fillId="21" borderId="51" xfId="2" applyNumberFormat="1" applyFont="1" applyFill="1" applyBorder="1" applyAlignment="1">
      <alignment horizontal="center"/>
    </xf>
    <xf numFmtId="164" fontId="25" fillId="3" borderId="24" xfId="3" applyNumberFormat="1" applyFont="1" applyFill="1" applyBorder="1" applyAlignment="1" applyProtection="1">
      <alignment horizontal="center"/>
      <protection locked="0"/>
    </xf>
    <xf numFmtId="0" fontId="1" fillId="5" borderId="0" xfId="2" applyFill="1" applyProtection="1">
      <protection locked="0"/>
    </xf>
    <xf numFmtId="0" fontId="1" fillId="5" borderId="0" xfId="2" applyFill="1" applyAlignment="1">
      <alignment horizontal="center"/>
    </xf>
    <xf numFmtId="164" fontId="43" fillId="3" borderId="24" xfId="3" applyNumberFormat="1" applyFont="1" applyFill="1" applyBorder="1" applyAlignment="1">
      <alignment horizontal="right"/>
    </xf>
    <xf numFmtId="0" fontId="22" fillId="5" borderId="0" xfId="2" applyFont="1" applyFill="1" applyAlignment="1">
      <alignment horizontal="center"/>
    </xf>
    <xf numFmtId="0" fontId="11" fillId="10" borderId="70" xfId="2" applyFont="1" applyFill="1" applyBorder="1" applyAlignment="1">
      <alignment horizontal="left"/>
    </xf>
    <xf numFmtId="0" fontId="11" fillId="10" borderId="71" xfId="2" applyFont="1" applyFill="1" applyBorder="1" applyAlignment="1">
      <alignment horizontal="left"/>
    </xf>
    <xf numFmtId="164" fontId="9" fillId="24" borderId="71" xfId="2" applyNumberFormat="1" applyFont="1" applyFill="1" applyBorder="1" applyAlignment="1">
      <alignment horizontal="center"/>
    </xf>
    <xf numFmtId="164" fontId="11" fillId="10" borderId="71" xfId="2" applyNumberFormat="1" applyFont="1" applyFill="1" applyBorder="1" applyAlignment="1">
      <alignment horizontal="center"/>
    </xf>
    <xf numFmtId="164" fontId="9" fillId="24" borderId="72" xfId="2" applyNumberFormat="1" applyFont="1" applyFill="1" applyBorder="1" applyAlignment="1">
      <alignment horizontal="center"/>
    </xf>
    <xf numFmtId="164" fontId="11" fillId="10" borderId="0" xfId="2" applyNumberFormat="1" applyFont="1" applyFill="1" applyBorder="1" applyAlignment="1">
      <alignment horizontal="center"/>
    </xf>
    <xf numFmtId="164" fontId="9" fillId="24" borderId="0" xfId="2" applyNumberFormat="1" applyFont="1" applyFill="1" applyAlignment="1">
      <alignment horizontal="center"/>
    </xf>
    <xf numFmtId="20" fontId="11" fillId="7" borderId="2" xfId="6" applyNumberFormat="1" applyFont="1" applyFill="1" applyBorder="1" applyAlignment="1">
      <alignment horizontal="right"/>
    </xf>
    <xf numFmtId="20" fontId="22" fillId="7" borderId="2" xfId="6" applyNumberFormat="1" applyFont="1" applyFill="1" applyBorder="1" applyAlignment="1"/>
    <xf numFmtId="0" fontId="43" fillId="3" borderId="10" xfId="3" applyNumberFormat="1" applyFont="1" applyFill="1" applyBorder="1" applyAlignment="1">
      <alignment horizontal="right"/>
    </xf>
    <xf numFmtId="0" fontId="17" fillId="5" borderId="0" xfId="2" applyFont="1" applyFill="1" applyAlignment="1">
      <alignment horizontal="left" wrapText="1"/>
    </xf>
    <xf numFmtId="0" fontId="43" fillId="3" borderId="32" xfId="3" applyNumberFormat="1" applyFont="1" applyFill="1" applyBorder="1" applyAlignment="1">
      <alignment horizontal="right"/>
    </xf>
    <xf numFmtId="9" fontId="43" fillId="3" borderId="11" xfId="3" applyNumberFormat="1" applyFont="1" applyFill="1" applyBorder="1" applyAlignment="1">
      <alignment horizontal="left" vertical="center"/>
    </xf>
    <xf numFmtId="9" fontId="43" fillId="3" borderId="60" xfId="3" applyNumberFormat="1" applyFont="1" applyFill="1" applyBorder="1" applyAlignment="1">
      <alignment horizontal="left" vertical="center"/>
    </xf>
    <xf numFmtId="9" fontId="43" fillId="3" borderId="32" xfId="3" applyNumberFormat="1" applyFont="1" applyFill="1" applyBorder="1" applyAlignment="1">
      <alignment horizontal="left" vertical="center"/>
    </xf>
    <xf numFmtId="20" fontId="4" fillId="5" borderId="0" xfId="2" applyNumberFormat="1" applyFont="1" applyFill="1" applyBorder="1" applyAlignment="1">
      <alignment horizontal="left"/>
    </xf>
    <xf numFmtId="9" fontId="43" fillId="3" borderId="27" xfId="3" applyNumberFormat="1" applyFont="1" applyFill="1" applyBorder="1" applyAlignment="1">
      <alignment horizontal="left" vertical="center"/>
    </xf>
    <xf numFmtId="9" fontId="43" fillId="3" borderId="1" xfId="3" applyNumberFormat="1" applyFont="1" applyFill="1" applyBorder="1" applyAlignment="1">
      <alignment horizontal="left" vertical="center"/>
    </xf>
    <xf numFmtId="9" fontId="43" fillId="3" borderId="2" xfId="3" applyNumberFormat="1" applyFont="1" applyFill="1" applyBorder="1" applyAlignment="1">
      <alignment horizontal="left" vertical="center"/>
    </xf>
    <xf numFmtId="9" fontId="43" fillId="3" borderId="27" xfId="3" applyNumberFormat="1" applyFont="1" applyFill="1" applyBorder="1" applyAlignment="1">
      <alignment horizontal="left" vertical="center" wrapText="1"/>
    </xf>
    <xf numFmtId="9" fontId="43" fillId="3" borderId="1" xfId="3" applyNumberFormat="1" applyFont="1" applyFill="1" applyBorder="1" applyAlignment="1">
      <alignment horizontal="left" vertical="center" wrapText="1"/>
    </xf>
    <xf numFmtId="9" fontId="43" fillId="3" borderId="2" xfId="3" applyNumberFormat="1" applyFont="1" applyFill="1" applyBorder="1" applyAlignment="1">
      <alignment horizontal="left" vertical="center" wrapText="1"/>
    </xf>
    <xf numFmtId="20" fontId="17" fillId="7" borderId="0" xfId="2" applyNumberFormat="1" applyFont="1" applyFill="1" applyBorder="1" applyAlignment="1">
      <alignment horizontal="left"/>
    </xf>
    <xf numFmtId="20" fontId="22" fillId="5" borderId="0" xfId="2" applyNumberFormat="1" applyFont="1" applyFill="1" applyBorder="1" applyAlignment="1">
      <alignment horizontal="left" wrapText="1"/>
    </xf>
    <xf numFmtId="169" fontId="32" fillId="9" borderId="23" xfId="2" applyNumberFormat="1" applyFont="1" applyFill="1" applyBorder="1" applyAlignment="1">
      <alignment horizontal="center"/>
    </xf>
    <xf numFmtId="3" fontId="32" fillId="9" borderId="10" xfId="3" applyNumberFormat="1" applyFont="1" applyFill="1" applyBorder="1" applyAlignment="1" applyProtection="1">
      <alignment horizontal="center"/>
    </xf>
    <xf numFmtId="0" fontId="1" fillId="5" borderId="0" xfId="2" applyFont="1" applyFill="1"/>
    <xf numFmtId="9" fontId="5" fillId="9" borderId="0" xfId="2" applyNumberFormat="1" applyFont="1" applyFill="1"/>
    <xf numFmtId="10" fontId="44" fillId="5" borderId="0" xfId="2" applyNumberFormat="1" applyFont="1" applyFill="1" applyBorder="1" applyAlignment="1">
      <alignment vertical="center"/>
    </xf>
    <xf numFmtId="0" fontId="17" fillId="5" borderId="0" xfId="2" applyFont="1" applyFill="1" applyAlignment="1"/>
    <xf numFmtId="0" fontId="17" fillId="5" borderId="0" xfId="2" applyFont="1" applyFill="1" applyAlignment="1">
      <alignment wrapText="1"/>
    </xf>
    <xf numFmtId="0" fontId="11" fillId="5" borderId="0" xfId="2" applyFont="1" applyFill="1" applyAlignment="1">
      <alignment horizontal="left" vertical="center"/>
    </xf>
    <xf numFmtId="165" fontId="16" fillId="9" borderId="10" xfId="3" applyNumberFormat="1" applyFont="1" applyFill="1" applyBorder="1" applyAlignment="1">
      <alignment horizontal="left" wrapText="1"/>
    </xf>
    <xf numFmtId="164" fontId="11" fillId="10" borderId="12" xfId="2" applyNumberFormat="1" applyFont="1" applyFill="1" applyBorder="1" applyAlignment="1">
      <alignment horizontal="left"/>
    </xf>
    <xf numFmtId="1" fontId="11" fillId="10" borderId="12" xfId="2" applyNumberFormat="1" applyFont="1" applyFill="1" applyBorder="1" applyAlignment="1">
      <alignment horizontal="left"/>
    </xf>
    <xf numFmtId="1" fontId="11" fillId="24" borderId="0" xfId="2" applyNumberFormat="1" applyFont="1" applyFill="1" applyAlignment="1">
      <alignment horizontal="left"/>
    </xf>
    <xf numFmtId="3" fontId="16" fillId="9" borderId="11" xfId="3" applyNumberFormat="1" applyFont="1" applyFill="1" applyBorder="1" applyAlignment="1">
      <alignment horizontal="left" wrapText="1"/>
    </xf>
    <xf numFmtId="4" fontId="16" fillId="9" borderId="64" xfId="3" applyNumberFormat="1" applyFont="1" applyFill="1" applyBorder="1" applyAlignment="1">
      <alignment horizontal="left" wrapText="1"/>
    </xf>
    <xf numFmtId="4" fontId="16" fillId="9" borderId="65" xfId="3" applyNumberFormat="1" applyFont="1" applyFill="1" applyBorder="1" applyAlignment="1">
      <alignment horizontal="left" wrapText="1"/>
    </xf>
    <xf numFmtId="4" fontId="16" fillId="9" borderId="10" xfId="3" applyNumberFormat="1" applyFont="1" applyFill="1" applyBorder="1" applyAlignment="1">
      <alignment horizontal="left" wrapText="1"/>
    </xf>
    <xf numFmtId="0" fontId="1" fillId="4" borderId="0" xfId="2" applyFill="1" applyAlignment="1">
      <alignment horizontal="left"/>
    </xf>
    <xf numFmtId="165" fontId="32" fillId="9" borderId="10" xfId="3" applyNumberFormat="1" applyFont="1" applyFill="1" applyBorder="1" applyAlignment="1" applyProtection="1">
      <alignment horizontal="center"/>
    </xf>
    <xf numFmtId="20" fontId="22" fillId="7" borderId="25" xfId="6" applyNumberFormat="1" applyFont="1" applyFill="1" applyBorder="1" applyAlignment="1"/>
    <xf numFmtId="165" fontId="32" fillId="9" borderId="58" xfId="2" applyNumberFormat="1" applyFont="1" applyFill="1" applyBorder="1" applyAlignment="1">
      <alignment horizontal="center"/>
    </xf>
    <xf numFmtId="0" fontId="22" fillId="10" borderId="24" xfId="6" applyFont="1" applyFill="1" applyBorder="1" applyAlignment="1">
      <alignment wrapText="1"/>
    </xf>
    <xf numFmtId="0" fontId="43" fillId="3" borderId="24" xfId="3" applyNumberFormat="1" applyFont="1" applyFill="1" applyBorder="1" applyAlignment="1">
      <alignment vertical="center"/>
    </xf>
    <xf numFmtId="165" fontId="34" fillId="9" borderId="11" xfId="3" applyNumberFormat="1" applyFont="1" applyFill="1" applyBorder="1" applyAlignment="1">
      <alignment horizontal="center" wrapText="1"/>
    </xf>
    <xf numFmtId="9" fontId="32" fillId="9" borderId="24" xfId="1" applyFont="1" applyFill="1" applyBorder="1" applyAlignment="1">
      <alignment horizontal="center"/>
    </xf>
    <xf numFmtId="0" fontId="17" fillId="5" borderId="61" xfId="2" applyFont="1" applyFill="1" applyBorder="1" applyAlignment="1"/>
    <xf numFmtId="20" fontId="4" fillId="25" borderId="0" xfId="2" applyNumberFormat="1" applyFont="1" applyFill="1" applyBorder="1" applyAlignment="1">
      <alignment horizontal="left"/>
    </xf>
    <xf numFmtId="20" fontId="21" fillId="25" borderId="0" xfId="2" applyNumberFormat="1" applyFont="1" applyFill="1" applyBorder="1" applyAlignment="1">
      <alignment horizontal="left"/>
    </xf>
    <xf numFmtId="20" fontId="11" fillId="5" borderId="0" xfId="2" applyNumberFormat="1" applyFont="1" applyFill="1" applyAlignment="1">
      <alignment horizontal="center"/>
    </xf>
    <xf numFmtId="0" fontId="45" fillId="5" borderId="0" xfId="2" applyFont="1" applyFill="1" applyBorder="1" applyAlignment="1">
      <alignment horizontal="left"/>
    </xf>
    <xf numFmtId="1" fontId="11" fillId="10" borderId="0" xfId="2" applyNumberFormat="1" applyFont="1" applyFill="1" applyBorder="1" applyAlignment="1">
      <alignment horizontal="center"/>
    </xf>
    <xf numFmtId="3" fontId="17" fillId="10" borderId="0" xfId="2" applyNumberFormat="1" applyFont="1" applyFill="1" applyBorder="1" applyAlignment="1">
      <alignment horizontal="center"/>
    </xf>
    <xf numFmtId="0" fontId="46" fillId="9" borderId="0" xfId="2" applyFont="1" applyFill="1"/>
    <xf numFmtId="0" fontId="17" fillId="5" borderId="0" xfId="2" applyFont="1" applyFill="1" applyBorder="1" applyAlignment="1">
      <alignment horizontal="center" wrapText="1"/>
    </xf>
    <xf numFmtId="0" fontId="5" fillId="31" borderId="0" xfId="2" applyFont="1" applyFill="1"/>
    <xf numFmtId="0" fontId="5" fillId="32" borderId="0" xfId="2" applyFont="1" applyFill="1"/>
    <xf numFmtId="3" fontId="9" fillId="24" borderId="0" xfId="2" applyNumberFormat="1" applyFont="1" applyFill="1" applyBorder="1" applyAlignment="1">
      <alignment horizontal="left"/>
    </xf>
    <xf numFmtId="3" fontId="9" fillId="24" borderId="0" xfId="2" applyNumberFormat="1" applyFont="1" applyFill="1" applyBorder="1" applyAlignment="1">
      <alignment horizontal="center"/>
    </xf>
    <xf numFmtId="0" fontId="17" fillId="5" borderId="0" xfId="2" applyFont="1" applyFill="1" applyBorder="1" applyAlignment="1">
      <alignment horizontal="center"/>
    </xf>
    <xf numFmtId="0" fontId="22" fillId="10" borderId="0" xfId="6" applyFont="1" applyFill="1" applyBorder="1" applyAlignment="1">
      <alignment horizontal="right"/>
    </xf>
    <xf numFmtId="3" fontId="16" fillId="31" borderId="10" xfId="3" applyNumberFormat="1" applyFont="1" applyFill="1" applyBorder="1" applyAlignment="1">
      <alignment horizontal="center" wrapText="1"/>
    </xf>
    <xf numFmtId="3" fontId="16" fillId="32" borderId="10" xfId="3" applyNumberFormat="1" applyFont="1" applyFill="1" applyBorder="1" applyAlignment="1">
      <alignment horizontal="center" wrapText="1"/>
    </xf>
    <xf numFmtId="3" fontId="9" fillId="24" borderId="24" xfId="2" applyNumberFormat="1" applyFont="1" applyFill="1" applyBorder="1" applyAlignment="1">
      <alignment horizontal="center"/>
    </xf>
    <xf numFmtId="0" fontId="23" fillId="33" borderId="0" xfId="2" applyFont="1" applyFill="1" applyBorder="1" applyAlignment="1"/>
    <xf numFmtId="0" fontId="27" fillId="3" borderId="23" xfId="3" applyFont="1" applyFill="1" applyBorder="1" applyAlignment="1" applyProtection="1">
      <alignment horizontal="center" vertical="center"/>
      <protection locked="0"/>
    </xf>
    <xf numFmtId="0" fontId="22" fillId="5" borderId="0" xfId="2" applyFont="1" applyFill="1" applyAlignment="1">
      <alignment horizontal="left" wrapText="1"/>
    </xf>
    <xf numFmtId="0" fontId="25" fillId="5" borderId="0" xfId="2" applyFont="1" applyFill="1" applyAlignment="1">
      <alignment horizontal="left"/>
    </xf>
    <xf numFmtId="20" fontId="25" fillId="5" borderId="0" xfId="2" applyNumberFormat="1" applyFont="1" applyFill="1" applyBorder="1"/>
    <xf numFmtId="0" fontId="5" fillId="3" borderId="24" xfId="3" applyNumberFormat="1" applyFont="1" applyFill="1" applyBorder="1" applyAlignment="1" applyProtection="1">
      <alignment horizontal="center"/>
      <protection locked="0"/>
    </xf>
    <xf numFmtId="0" fontId="5" fillId="9" borderId="0" xfId="2" applyFont="1" applyFill="1" applyBorder="1"/>
    <xf numFmtId="0" fontId="1" fillId="5" borderId="0" xfId="2" applyFill="1" applyAlignment="1">
      <alignment horizontal="left"/>
    </xf>
    <xf numFmtId="3" fontId="16" fillId="9" borderId="0" xfId="3" applyNumberFormat="1" applyFont="1" applyFill="1" applyBorder="1" applyAlignment="1">
      <alignment horizontal="center" wrapText="1"/>
    </xf>
    <xf numFmtId="165" fontId="16" fillId="9" borderId="0" xfId="3" applyNumberFormat="1" applyFont="1" applyFill="1" applyBorder="1" applyAlignment="1">
      <alignment horizontal="center" wrapText="1"/>
    </xf>
    <xf numFmtId="3" fontId="16" fillId="31" borderId="0" xfId="3" applyNumberFormat="1" applyFont="1" applyFill="1" applyBorder="1" applyAlignment="1">
      <alignment horizontal="center" wrapText="1"/>
    </xf>
    <xf numFmtId="3" fontId="16" fillId="32" borderId="0" xfId="3" applyNumberFormat="1" applyFont="1" applyFill="1" applyBorder="1" applyAlignment="1">
      <alignment horizontal="center" wrapText="1"/>
    </xf>
    <xf numFmtId="0" fontId="5" fillId="9" borderId="0" xfId="2" applyFont="1" applyFill="1" applyBorder="1" applyAlignment="1">
      <alignment horizontal="left"/>
    </xf>
    <xf numFmtId="3" fontId="9" fillId="24" borderId="0" xfId="2" applyNumberFormat="1" applyFont="1" applyFill="1" applyAlignment="1">
      <alignment horizontal="center"/>
    </xf>
    <xf numFmtId="165" fontId="16" fillId="9" borderId="73" xfId="3" applyNumberFormat="1" applyFont="1" applyFill="1" applyBorder="1" applyAlignment="1">
      <alignment horizontal="center" wrapText="1"/>
    </xf>
    <xf numFmtId="2" fontId="5" fillId="23" borderId="71" xfId="2" applyNumberFormat="1" applyFont="1" applyFill="1" applyBorder="1" applyAlignment="1">
      <alignment horizontal="center"/>
    </xf>
    <xf numFmtId="2" fontId="5" fillId="18" borderId="71" xfId="2" applyNumberFormat="1" applyFont="1" applyFill="1" applyBorder="1" applyAlignment="1">
      <alignment horizontal="center"/>
    </xf>
    <xf numFmtId="2" fontId="5" fillId="23" borderId="0" xfId="2" applyNumberFormat="1" applyFont="1" applyFill="1" applyBorder="1" applyAlignment="1">
      <alignment horizontal="center"/>
    </xf>
    <xf numFmtId="4" fontId="16" fillId="9" borderId="74" xfId="3" applyNumberFormat="1" applyFont="1" applyFill="1" applyBorder="1" applyAlignment="1">
      <alignment horizontal="center" wrapText="1"/>
    </xf>
    <xf numFmtId="4" fontId="16" fillId="9" borderId="75" xfId="3" applyNumberFormat="1" applyFont="1" applyFill="1" applyBorder="1" applyAlignment="1">
      <alignment horizontal="center" wrapText="1"/>
    </xf>
    <xf numFmtId="0" fontId="5" fillId="9" borderId="0" xfId="2" applyFont="1" applyFill="1" applyAlignment="1">
      <alignment horizontal="left"/>
    </xf>
    <xf numFmtId="0" fontId="5" fillId="9" borderId="0" xfId="2" applyFont="1" applyFill="1" applyBorder="1" applyAlignment="1">
      <alignment horizontal="right"/>
    </xf>
    <xf numFmtId="3" fontId="16" fillId="9" borderId="0" xfId="3" applyNumberFormat="1" applyFont="1" applyFill="1" applyBorder="1" applyAlignment="1">
      <alignment horizontal="right" wrapText="1"/>
    </xf>
    <xf numFmtId="3" fontId="33" fillId="33" borderId="0" xfId="2" applyNumberFormat="1" applyFont="1" applyFill="1" applyBorder="1" applyAlignment="1">
      <alignment horizontal="center"/>
    </xf>
    <xf numFmtId="4" fontId="5" fillId="4" borderId="0" xfId="2" applyNumberFormat="1" applyFont="1" applyFill="1" applyAlignment="1">
      <alignment horizontal="center"/>
    </xf>
    <xf numFmtId="4" fontId="47" fillId="4" borderId="0" xfId="2" applyNumberFormat="1" applyFont="1" applyFill="1" applyAlignment="1">
      <alignment horizontal="center"/>
    </xf>
    <xf numFmtId="2" fontId="35" fillId="4" borderId="0" xfId="2" applyNumberFormat="1" applyFont="1" applyFill="1" applyAlignment="1">
      <alignment horizontal="center"/>
    </xf>
    <xf numFmtId="1" fontId="47" fillId="4" borderId="0" xfId="2" applyNumberFormat="1" applyFont="1" applyFill="1" applyAlignment="1">
      <alignment horizontal="center"/>
    </xf>
    <xf numFmtId="0" fontId="5" fillId="4" borderId="0" xfId="2" applyFont="1" applyFill="1" applyAlignment="1">
      <alignment horizontal="right"/>
    </xf>
    <xf numFmtId="3" fontId="5" fillId="4" borderId="0" xfId="2" applyNumberFormat="1" applyFont="1" applyFill="1" applyAlignment="1">
      <alignment horizontal="center"/>
    </xf>
    <xf numFmtId="9" fontId="1" fillId="5" borderId="0" xfId="1" applyFont="1" applyFill="1"/>
    <xf numFmtId="4" fontId="16" fillId="9" borderId="0" xfId="3" applyNumberFormat="1" applyFont="1" applyFill="1" applyBorder="1" applyAlignment="1">
      <alignment horizontal="left"/>
    </xf>
    <xf numFmtId="4" fontId="16" fillId="9" borderId="0" xfId="3" applyNumberFormat="1" applyFont="1" applyFill="1" applyBorder="1" applyAlignment="1">
      <alignment horizontal="center" wrapText="1"/>
    </xf>
    <xf numFmtId="20" fontId="11" fillId="9" borderId="0" xfId="2" applyNumberFormat="1" applyFont="1" applyFill="1" applyBorder="1" applyAlignment="1">
      <alignment horizontal="left"/>
    </xf>
    <xf numFmtId="2" fontId="5" fillId="9" borderId="0" xfId="2" applyNumberFormat="1" applyFont="1" applyFill="1" applyBorder="1"/>
    <xf numFmtId="20" fontId="11" fillId="9" borderId="0" xfId="2" applyNumberFormat="1" applyFont="1" applyFill="1" applyBorder="1" applyAlignment="1">
      <alignment horizontal="center"/>
    </xf>
    <xf numFmtId="0" fontId="1" fillId="6" borderId="0" xfId="2" applyFill="1" applyAlignment="1">
      <alignment horizontal="left"/>
    </xf>
    <xf numFmtId="1" fontId="5" fillId="9" borderId="0" xfId="2" applyNumberFormat="1" applyFont="1" applyFill="1" applyBorder="1"/>
    <xf numFmtId="0" fontId="48" fillId="4" borderId="0" xfId="2" applyFont="1" applyFill="1"/>
    <xf numFmtId="3" fontId="34" fillId="9" borderId="10" xfId="3" applyNumberFormat="1" applyFont="1" applyFill="1" applyBorder="1" applyAlignment="1">
      <alignment horizontal="center" wrapText="1"/>
    </xf>
    <xf numFmtId="3" fontId="34" fillId="9" borderId="0" xfId="3" applyNumberFormat="1" applyFont="1" applyFill="1" applyBorder="1" applyAlignment="1">
      <alignment horizontal="center" wrapText="1"/>
    </xf>
    <xf numFmtId="1" fontId="5" fillId="0" borderId="0" xfId="2" applyNumberFormat="1" applyFont="1"/>
    <xf numFmtId="0" fontId="5" fillId="0" borderId="0" xfId="2" applyFont="1" applyAlignment="1">
      <alignment horizontal="center"/>
    </xf>
    <xf numFmtId="3" fontId="33" fillId="33" borderId="58" xfId="3" applyNumberFormat="1" applyFont="1" applyFill="1" applyBorder="1" applyAlignment="1">
      <alignment horizontal="center" vertical="center" wrapText="1"/>
    </xf>
    <xf numFmtId="4" fontId="16" fillId="9" borderId="0" xfId="3" applyNumberFormat="1" applyFont="1" applyFill="1" applyBorder="1" applyAlignment="1">
      <alignment horizontal="left" wrapText="1"/>
    </xf>
    <xf numFmtId="0" fontId="23" fillId="34" borderId="0" xfId="2" applyFont="1" applyFill="1" applyBorder="1" applyAlignment="1"/>
    <xf numFmtId="0" fontId="27" fillId="3" borderId="24" xfId="3" applyFont="1" applyFill="1" applyBorder="1" applyAlignment="1" applyProtection="1">
      <alignment horizontal="center" vertical="center"/>
      <protection locked="0"/>
    </xf>
    <xf numFmtId="164" fontId="5" fillId="0" borderId="0" xfId="2" applyNumberFormat="1" applyFont="1" applyAlignment="1">
      <alignment horizontal="center"/>
    </xf>
    <xf numFmtId="0" fontId="27" fillId="3" borderId="24" xfId="3" applyFont="1" applyFill="1" applyBorder="1" applyAlignment="1" applyProtection="1">
      <alignment horizontal="center"/>
      <protection locked="0"/>
    </xf>
    <xf numFmtId="0" fontId="15" fillId="10" borderId="0" xfId="2" applyFont="1" applyFill="1" applyBorder="1" applyAlignment="1">
      <alignment horizontal="left"/>
    </xf>
    <xf numFmtId="3" fontId="29" fillId="9" borderId="10" xfId="3" applyNumberFormat="1" applyFont="1" applyFill="1" applyBorder="1" applyAlignment="1">
      <alignment horizontal="center" wrapText="1"/>
    </xf>
    <xf numFmtId="0" fontId="25" fillId="3" borderId="11" xfId="3" applyNumberFormat="1" applyFont="1" applyFill="1" applyBorder="1" applyAlignment="1" applyProtection="1">
      <protection locked="0"/>
    </xf>
    <xf numFmtId="4" fontId="32" fillId="9" borderId="10" xfId="3" applyNumberFormat="1" applyFont="1" applyFill="1" applyBorder="1" applyAlignment="1">
      <alignment horizontal="center" wrapText="1"/>
    </xf>
    <xf numFmtId="0" fontId="25" fillId="3" borderId="27" xfId="3" applyNumberFormat="1" applyFont="1" applyFill="1" applyBorder="1" applyAlignment="1" applyProtection="1">
      <protection locked="0"/>
    </xf>
    <xf numFmtId="3" fontId="33" fillId="34" borderId="0" xfId="2" applyNumberFormat="1" applyFont="1" applyFill="1" applyBorder="1" applyAlignment="1">
      <alignment horizontal="center"/>
    </xf>
    <xf numFmtId="3" fontId="34" fillId="9" borderId="24" xfId="3" applyNumberFormat="1" applyFont="1" applyFill="1" applyBorder="1" applyAlignment="1">
      <alignment horizontal="center" wrapText="1"/>
    </xf>
    <xf numFmtId="3" fontId="29" fillId="9" borderId="0" xfId="3" applyNumberFormat="1" applyFont="1" applyFill="1" applyBorder="1" applyAlignment="1">
      <alignment horizontal="center" wrapText="1"/>
    </xf>
    <xf numFmtId="0" fontId="9" fillId="9" borderId="0" xfId="2" applyFont="1" applyFill="1" applyBorder="1"/>
    <xf numFmtId="3" fontId="9" fillId="9" borderId="0" xfId="2" applyNumberFormat="1" applyFont="1" applyFill="1" applyBorder="1"/>
    <xf numFmtId="165" fontId="32" fillId="9" borderId="10" xfId="3" applyNumberFormat="1" applyFont="1" applyFill="1" applyBorder="1" applyAlignment="1">
      <alignment horizontal="center" wrapText="1"/>
    </xf>
    <xf numFmtId="165" fontId="32" fillId="9" borderId="24" xfId="3" applyNumberFormat="1" applyFont="1" applyFill="1" applyBorder="1" applyAlignment="1">
      <alignment horizontal="center" wrapText="1"/>
    </xf>
    <xf numFmtId="4" fontId="17" fillId="34" borderId="0" xfId="2" applyNumberFormat="1" applyFont="1" applyFill="1" applyBorder="1" applyAlignment="1"/>
    <xf numFmtId="0" fontId="1" fillId="34" borderId="0" xfId="2" applyFill="1"/>
    <xf numFmtId="3" fontId="33" fillId="34" borderId="0" xfId="3" applyNumberFormat="1" applyFont="1" applyFill="1" applyBorder="1" applyAlignment="1">
      <alignment horizontal="center" wrapText="1"/>
    </xf>
    <xf numFmtId="0" fontId="23" fillId="18" borderId="0" xfId="2" applyFont="1" applyFill="1" applyBorder="1" applyAlignment="1"/>
    <xf numFmtId="3" fontId="25" fillId="3" borderId="24" xfId="3" applyNumberFormat="1" applyFont="1" applyFill="1" applyBorder="1" applyAlignment="1" applyProtection="1">
      <alignment horizontal="center"/>
      <protection locked="0"/>
    </xf>
    <xf numFmtId="0" fontId="31" fillId="5" borderId="0" xfId="2" applyFont="1" applyFill="1" applyBorder="1"/>
    <xf numFmtId="3" fontId="33" fillId="18" borderId="0" xfId="2" applyNumberFormat="1" applyFont="1" applyFill="1" applyBorder="1" applyAlignment="1">
      <alignment horizontal="center"/>
    </xf>
    <xf numFmtId="20" fontId="11" fillId="5" borderId="0" xfId="2" applyNumberFormat="1" applyFont="1" applyFill="1" applyBorder="1" applyAlignment="1">
      <alignment horizontal="left"/>
    </xf>
    <xf numFmtId="0" fontId="5" fillId="35" borderId="0" xfId="2" applyFont="1" applyFill="1"/>
    <xf numFmtId="3" fontId="33" fillId="18" borderId="0" xfId="3" applyNumberFormat="1" applyFont="1" applyFill="1" applyBorder="1" applyAlignment="1">
      <alignment horizontal="center" wrapText="1"/>
    </xf>
    <xf numFmtId="2" fontId="5" fillId="5" borderId="0" xfId="2" applyNumberFormat="1" applyFont="1" applyFill="1"/>
    <xf numFmtId="20" fontId="11" fillId="7" borderId="0" xfId="2" applyNumberFormat="1" applyFont="1" applyFill="1" applyBorder="1" applyAlignment="1">
      <alignment horizontal="left"/>
    </xf>
    <xf numFmtId="20" fontId="4" fillId="7" borderId="0" xfId="2" applyNumberFormat="1" applyFont="1" applyFill="1" applyBorder="1" applyAlignment="1">
      <alignment horizontal="left" vertical="center"/>
    </xf>
    <xf numFmtId="4" fontId="17" fillId="26" borderId="0" xfId="2" applyNumberFormat="1" applyFont="1" applyFill="1" applyBorder="1" applyAlignment="1">
      <alignment horizontal="center"/>
    </xf>
    <xf numFmtId="3" fontId="17" fillId="26" borderId="0" xfId="2" applyNumberFormat="1" applyFont="1" applyFill="1" applyBorder="1" applyAlignment="1">
      <alignment horizontal="center"/>
    </xf>
    <xf numFmtId="9" fontId="9" fillId="24" borderId="0" xfId="2" applyNumberFormat="1" applyFont="1" applyFill="1" applyAlignment="1">
      <alignment horizontal="center"/>
    </xf>
    <xf numFmtId="10" fontId="31" fillId="5" borderId="0" xfId="2" applyNumberFormat="1" applyFont="1" applyFill="1"/>
    <xf numFmtId="0" fontId="1" fillId="9" borderId="0" xfId="2" applyFill="1"/>
    <xf numFmtId="0" fontId="6" fillId="3" borderId="1" xfId="3" applyNumberFormat="1" applyFont="1" applyFill="1" applyBorder="1" applyAlignment="1"/>
    <xf numFmtId="0" fontId="6" fillId="3" borderId="2" xfId="3" applyNumberFormat="1" applyFont="1" applyFill="1" applyBorder="1" applyAlignment="1"/>
    <xf numFmtId="0" fontId="5" fillId="3" borderId="0" xfId="2" applyFont="1" applyFill="1"/>
    <xf numFmtId="4" fontId="17" fillId="33" borderId="0" xfId="2" applyNumberFormat="1" applyFont="1" applyFill="1" applyBorder="1" applyAlignment="1">
      <alignment horizontal="center"/>
    </xf>
    <xf numFmtId="3" fontId="17" fillId="33" borderId="0" xfId="2" applyNumberFormat="1" applyFont="1" applyFill="1" applyBorder="1" applyAlignment="1">
      <alignment horizontal="center"/>
    </xf>
    <xf numFmtId="0" fontId="69" fillId="3" borderId="0" xfId="2" applyFont="1" applyFill="1"/>
    <xf numFmtId="0" fontId="70" fillId="3" borderId="0" xfId="2" applyFont="1" applyFill="1"/>
    <xf numFmtId="3" fontId="32" fillId="19" borderId="85" xfId="3" applyNumberFormat="1" applyFont="1" applyFill="1" applyBorder="1" applyAlignment="1">
      <alignment horizontal="center" wrapText="1"/>
    </xf>
    <xf numFmtId="3" fontId="32" fillId="19" borderId="10" xfId="3" applyNumberFormat="1" applyFont="1" applyFill="1" applyBorder="1" applyAlignment="1">
      <alignment horizontal="center" wrapText="1"/>
    </xf>
    <xf numFmtId="10" fontId="34" fillId="19" borderId="10" xfId="3" applyNumberFormat="1" applyFont="1" applyFill="1" applyBorder="1" applyAlignment="1">
      <alignment horizontal="center" wrapText="1"/>
    </xf>
    <xf numFmtId="3" fontId="32" fillId="9" borderId="10" xfId="45" applyNumberFormat="1" applyFont="1" applyFill="1" applyBorder="1" applyAlignment="1">
      <alignment horizontal="center" wrapText="1"/>
    </xf>
    <xf numFmtId="20" fontId="17" fillId="7" borderId="0" xfId="2" applyNumberFormat="1" applyFont="1" applyFill="1" applyBorder="1" applyAlignment="1">
      <alignment horizontal="center" wrapText="1"/>
    </xf>
    <xf numFmtId="0" fontId="4" fillId="51" borderId="0" xfId="2" applyFont="1" applyFill="1" applyBorder="1"/>
    <xf numFmtId="0" fontId="5" fillId="51" borderId="0" xfId="2" applyFont="1" applyFill="1"/>
    <xf numFmtId="0" fontId="1" fillId="51" borderId="0" xfId="2" applyFill="1"/>
    <xf numFmtId="0" fontId="8" fillId="51" borderId="0" xfId="2" applyFont="1" applyFill="1"/>
    <xf numFmtId="0" fontId="11" fillId="51" borderId="0" xfId="2" applyFont="1" applyFill="1"/>
    <xf numFmtId="0" fontId="2" fillId="51" borderId="0" xfId="2" applyFont="1" applyFill="1" applyAlignment="1">
      <alignment vertical="center"/>
    </xf>
    <xf numFmtId="0" fontId="12" fillId="51" borderId="0" xfId="2" applyFont="1" applyFill="1" applyAlignment="1">
      <alignment horizontal="right" vertical="center"/>
    </xf>
    <xf numFmtId="0" fontId="5" fillId="51" borderId="0" xfId="2" applyFont="1" applyFill="1" applyAlignment="1">
      <alignment vertical="center"/>
    </xf>
    <xf numFmtId="0" fontId="1" fillId="51" borderId="0" xfId="2" applyFill="1" applyAlignment="1">
      <alignment vertical="center"/>
    </xf>
    <xf numFmtId="0" fontId="5" fillId="51" borderId="0" xfId="2" applyFont="1" applyFill="1" applyAlignment="1">
      <alignment horizontal="center"/>
    </xf>
    <xf numFmtId="0" fontId="1" fillId="51" borderId="0" xfId="2" applyFill="1" applyAlignment="1">
      <alignment horizontal="left"/>
    </xf>
    <xf numFmtId="0" fontId="14" fillId="11" borderId="0" xfId="4" applyFont="1" applyFill="1" applyBorder="1" applyAlignment="1" applyProtection="1"/>
    <xf numFmtId="0" fontId="14" fillId="11" borderId="86" xfId="4" applyFont="1" applyFill="1" applyBorder="1" applyAlignment="1" applyProtection="1"/>
    <xf numFmtId="0" fontId="21" fillId="51" borderId="0" xfId="2" applyFont="1" applyFill="1"/>
    <xf numFmtId="3" fontId="32" fillId="0" borderId="85" xfId="3" applyNumberFormat="1" applyFont="1" applyFill="1" applyBorder="1" applyAlignment="1" applyProtection="1">
      <alignment horizontal="center" wrapText="1"/>
      <protection locked="0"/>
    </xf>
    <xf numFmtId="0" fontId="72" fillId="5" borderId="0" xfId="2" applyFont="1" applyFill="1"/>
    <xf numFmtId="0" fontId="43" fillId="52" borderId="0" xfId="89" applyFont="1" applyFill="1" applyAlignment="1" applyProtection="1">
      <alignment vertical="top" wrapText="1"/>
      <protection hidden="1"/>
    </xf>
    <xf numFmtId="0" fontId="43" fillId="53" borderId="0" xfId="89" applyFont="1" applyFill="1" applyAlignment="1" applyProtection="1">
      <alignment vertical="top" wrapText="1"/>
      <protection hidden="1"/>
    </xf>
    <xf numFmtId="0" fontId="75" fillId="0" borderId="0" xfId="6" applyFont="1"/>
    <xf numFmtId="0" fontId="76" fillId="52" borderId="0" xfId="6" applyNumberFormat="1" applyFont="1" applyFill="1" applyBorder="1" applyAlignment="1" applyProtection="1">
      <alignment horizontal="justify"/>
      <protection hidden="1"/>
    </xf>
    <xf numFmtId="0" fontId="76" fillId="53" borderId="0" xfId="6" applyNumberFormat="1" applyFont="1" applyFill="1" applyBorder="1" applyAlignment="1" applyProtection="1">
      <alignment horizontal="justify"/>
      <protection hidden="1"/>
    </xf>
    <xf numFmtId="0" fontId="47" fillId="52" borderId="0" xfId="6" applyFont="1" applyFill="1" applyBorder="1" applyAlignment="1" applyProtection="1">
      <alignment horizontal="justify"/>
      <protection hidden="1"/>
    </xf>
    <xf numFmtId="170" fontId="43" fillId="52" borderId="90" xfId="89" applyNumberFormat="1" applyFont="1" applyFill="1" applyBorder="1" applyAlignment="1" applyProtection="1">
      <alignment horizontal="center" vertical="top" wrapText="1"/>
      <protection hidden="1"/>
    </xf>
    <xf numFmtId="0" fontId="43" fillId="52" borderId="91" xfId="6" applyFont="1" applyFill="1" applyBorder="1" applyAlignment="1" applyProtection="1">
      <alignment horizontal="justify" wrapText="1"/>
      <protection hidden="1"/>
    </xf>
    <xf numFmtId="0" fontId="43" fillId="52" borderId="91" xfId="6" applyFont="1" applyFill="1" applyBorder="1" applyAlignment="1" applyProtection="1">
      <alignment vertical="top" wrapText="1"/>
      <protection hidden="1"/>
    </xf>
    <xf numFmtId="170" fontId="43" fillId="52" borderId="92" xfId="89" applyNumberFormat="1" applyFont="1" applyFill="1" applyBorder="1" applyAlignment="1" applyProtection="1">
      <alignment horizontal="center" vertical="top" wrapText="1"/>
      <protection hidden="1"/>
    </xf>
    <xf numFmtId="0" fontId="2" fillId="51" borderId="93" xfId="2" applyFont="1" applyFill="1" applyBorder="1" applyAlignment="1">
      <alignment horizontal="center" vertical="center"/>
    </xf>
    <xf numFmtId="0" fontId="2" fillId="51" borderId="87" xfId="2" applyFont="1" applyFill="1" applyBorder="1" applyAlignment="1">
      <alignment horizontal="left" vertical="center"/>
    </xf>
    <xf numFmtId="0" fontId="43" fillId="51" borderId="0" xfId="89" applyFont="1" applyFill="1" applyAlignment="1" applyProtection="1">
      <alignment vertical="top" wrapText="1"/>
      <protection hidden="1"/>
    </xf>
    <xf numFmtId="0" fontId="74" fillId="51" borderId="0" xfId="90" applyFont="1" applyFill="1" applyAlignment="1" applyProtection="1">
      <alignment vertical="center"/>
      <protection hidden="1"/>
    </xf>
    <xf numFmtId="170" fontId="43" fillId="52" borderId="88" xfId="89" applyNumberFormat="1" applyFont="1" applyFill="1" applyBorder="1" applyAlignment="1" applyProtection="1">
      <alignment horizontal="center" vertical="center" wrapText="1"/>
      <protection hidden="1"/>
    </xf>
    <xf numFmtId="0" fontId="43" fillId="52" borderId="89" xfId="6" quotePrefix="1" applyFont="1" applyFill="1" applyBorder="1" applyAlignment="1" applyProtection="1">
      <alignment horizontal="justify" vertical="center" wrapText="1"/>
      <protection hidden="1"/>
    </xf>
    <xf numFmtId="20" fontId="17" fillId="7" borderId="32" xfId="2" applyNumberFormat="1" applyFont="1" applyFill="1" applyBorder="1" applyAlignment="1">
      <alignment horizontal="center" wrapText="1"/>
    </xf>
    <xf numFmtId="0" fontId="33" fillId="5" borderId="0" xfId="2" applyFont="1" applyFill="1" applyAlignment="1">
      <alignment wrapText="1"/>
    </xf>
    <xf numFmtId="0" fontId="40" fillId="5" borderId="0" xfId="2" applyFont="1" applyFill="1" applyAlignment="1">
      <alignment horizontal="left" wrapText="1"/>
    </xf>
    <xf numFmtId="0" fontId="25" fillId="0" borderId="61" xfId="2" applyFont="1" applyBorder="1" applyAlignment="1" applyProtection="1">
      <alignment wrapText="1"/>
      <protection locked="0"/>
    </xf>
    <xf numFmtId="9" fontId="17" fillId="10" borderId="24" xfId="2" applyNumberFormat="1" applyFont="1" applyFill="1" applyBorder="1" applyAlignment="1">
      <alignment horizontal="left" wrapText="1"/>
    </xf>
    <xf numFmtId="0" fontId="43" fillId="52" borderId="91" xfId="6" quotePrefix="1" applyFont="1" applyFill="1" applyBorder="1" applyAlignment="1" applyProtection="1">
      <alignment horizontal="justify" wrapText="1"/>
      <protection hidden="1"/>
    </xf>
    <xf numFmtId="170" fontId="43" fillId="52" borderId="90" xfId="89" applyNumberFormat="1" applyFont="1" applyFill="1" applyBorder="1" applyAlignment="1" applyProtection="1">
      <alignment horizontal="center" vertical="center" wrapText="1"/>
      <protection hidden="1"/>
    </xf>
    <xf numFmtId="9" fontId="77" fillId="54" borderId="94" xfId="78" applyFont="1" applyFill="1" applyBorder="1" applyAlignment="1">
      <alignment horizontal="center"/>
    </xf>
    <xf numFmtId="0" fontId="77" fillId="54" borderId="95" xfId="0" applyFont="1" applyFill="1" applyBorder="1" applyAlignment="1">
      <alignment horizontal="center"/>
    </xf>
    <xf numFmtId="169" fontId="78" fillId="54" borderId="96" xfId="78" applyNumberFormat="1" applyFont="1" applyFill="1" applyBorder="1" applyAlignment="1">
      <alignment horizontal="center"/>
    </xf>
    <xf numFmtId="0" fontId="78" fillId="54" borderId="97" xfId="0" applyFont="1" applyFill="1" applyBorder="1" applyAlignment="1">
      <alignment horizontal="center"/>
    </xf>
    <xf numFmtId="9" fontId="77" fillId="54" borderId="96" xfId="78" applyFont="1" applyFill="1" applyBorder="1" applyAlignment="1">
      <alignment horizontal="center"/>
    </xf>
    <xf numFmtId="0" fontId="77" fillId="54" borderId="97" xfId="0" applyFont="1" applyFill="1" applyBorder="1" applyAlignment="1">
      <alignment horizontal="center"/>
    </xf>
    <xf numFmtId="9" fontId="1" fillId="0" borderId="96" xfId="78" applyFont="1" applyBorder="1" applyAlignment="1">
      <alignment horizontal="center"/>
    </xf>
    <xf numFmtId="0" fontId="0" fillId="0" borderId="97" xfId="0" applyFont="1" applyBorder="1" applyAlignment="1">
      <alignment horizontal="center"/>
    </xf>
    <xf numFmtId="9" fontId="77" fillId="0" borderId="96" xfId="78" applyFont="1" applyBorder="1" applyAlignment="1">
      <alignment horizontal="center"/>
    </xf>
    <xf numFmtId="0" fontId="77" fillId="0" borderId="97" xfId="0" applyFont="1" applyBorder="1" applyAlignment="1">
      <alignment horizontal="center"/>
    </xf>
    <xf numFmtId="9" fontId="77" fillId="0" borderId="98" xfId="78" applyFont="1" applyFill="1" applyBorder="1" applyAlignment="1">
      <alignment horizontal="center"/>
    </xf>
    <xf numFmtId="0" fontId="77" fillId="0" borderId="99" xfId="0" applyFont="1" applyFill="1" applyBorder="1" applyAlignment="1">
      <alignment horizontal="center"/>
    </xf>
    <xf numFmtId="165" fontId="34" fillId="19" borderId="10" xfId="3" applyNumberFormat="1" applyFont="1" applyFill="1" applyBorder="1" applyAlignment="1">
      <alignment horizontal="center" wrapText="1"/>
    </xf>
    <xf numFmtId="20" fontId="17" fillId="7" borderId="21" xfId="2" applyNumberFormat="1" applyFont="1" applyFill="1" applyBorder="1" applyAlignment="1">
      <alignment horizontal="center" wrapText="1"/>
    </xf>
    <xf numFmtId="20" fontId="17" fillId="7" borderId="22" xfId="2" applyNumberFormat="1" applyFont="1" applyFill="1" applyBorder="1" applyAlignment="1">
      <alignment horizontal="center" wrapText="1"/>
    </xf>
    <xf numFmtId="20" fontId="17" fillId="7" borderId="37" xfId="2" applyNumberFormat="1" applyFont="1" applyFill="1" applyBorder="1" applyAlignment="1">
      <alignment horizontal="center" wrapText="1"/>
    </xf>
    <xf numFmtId="20" fontId="17" fillId="7" borderId="38" xfId="2" applyNumberFormat="1" applyFont="1" applyFill="1" applyBorder="1" applyAlignment="1">
      <alignment horizontal="center" wrapText="1"/>
    </xf>
    <xf numFmtId="20" fontId="17" fillId="7" borderId="30" xfId="2" applyNumberFormat="1" applyFont="1" applyFill="1" applyBorder="1" applyAlignment="1">
      <alignment horizontal="center" wrapText="1"/>
    </xf>
    <xf numFmtId="20" fontId="17" fillId="7" borderId="31" xfId="2" applyNumberFormat="1" applyFont="1" applyFill="1" applyBorder="1" applyAlignment="1">
      <alignment horizontal="center" wrapText="1"/>
    </xf>
    <xf numFmtId="0" fontId="17" fillId="10" borderId="0" xfId="2" applyFont="1" applyFill="1" applyBorder="1" applyAlignment="1">
      <alignment horizontal="left"/>
    </xf>
    <xf numFmtId="0" fontId="31" fillId="0" borderId="28" xfId="2" applyFont="1" applyBorder="1"/>
    <xf numFmtId="0" fontId="17" fillId="10" borderId="0" xfId="2" applyFont="1" applyFill="1" applyBorder="1" applyAlignment="1"/>
    <xf numFmtId="4" fontId="17" fillId="35" borderId="0" xfId="2" applyNumberFormat="1" applyFont="1" applyFill="1" applyBorder="1" applyAlignment="1">
      <alignment horizontal="center"/>
    </xf>
    <xf numFmtId="0" fontId="69" fillId="3" borderId="0" xfId="2" applyFont="1" applyFill="1" applyBorder="1" applyAlignment="1">
      <alignment horizontal="left"/>
    </xf>
    <xf numFmtId="0" fontId="71" fillId="3" borderId="0" xfId="2" applyFont="1" applyFill="1" applyBorder="1"/>
    <xf numFmtId="0" fontId="22" fillId="5" borderId="0" xfId="2" applyFont="1" applyFill="1" applyAlignment="1">
      <alignment horizontal="left" wrapText="1"/>
    </xf>
    <xf numFmtId="20" fontId="17" fillId="7" borderId="0" xfId="2" applyNumberFormat="1" applyFont="1" applyFill="1" applyBorder="1" applyAlignment="1">
      <alignment horizontal="center" vertical="center" wrapText="1"/>
    </xf>
    <xf numFmtId="0" fontId="17" fillId="18" borderId="0" xfId="2" applyFont="1" applyFill="1" applyBorder="1" applyAlignment="1">
      <alignment horizontal="left"/>
    </xf>
    <xf numFmtId="20" fontId="17" fillId="7" borderId="0" xfId="2" applyNumberFormat="1" applyFont="1" applyFill="1" applyBorder="1" applyAlignment="1">
      <alignment horizontal="center" wrapText="1"/>
    </xf>
    <xf numFmtId="20" fontId="17" fillId="7" borderId="60" xfId="2" applyNumberFormat="1" applyFont="1" applyFill="1" applyBorder="1" applyAlignment="1">
      <alignment horizontal="center" wrapText="1"/>
    </xf>
    <xf numFmtId="0" fontId="5" fillId="3" borderId="27" xfId="3" applyNumberFormat="1" applyFont="1" applyFill="1" applyBorder="1" applyAlignment="1" applyProtection="1">
      <alignment horizontal="center"/>
      <protection locked="0"/>
    </xf>
    <xf numFmtId="0" fontId="5" fillId="3" borderId="2" xfId="3" applyNumberFormat="1" applyFont="1" applyFill="1" applyBorder="1" applyAlignment="1" applyProtection="1">
      <alignment horizontal="center"/>
      <protection locked="0"/>
    </xf>
    <xf numFmtId="0" fontId="17" fillId="34" borderId="0" xfId="2" applyFont="1" applyFill="1" applyBorder="1" applyAlignment="1">
      <alignment horizontal="left"/>
    </xf>
    <xf numFmtId="20" fontId="11" fillId="9" borderId="0" xfId="2" applyNumberFormat="1" applyFont="1" applyFill="1" applyBorder="1" applyAlignment="1">
      <alignment horizontal="center"/>
    </xf>
    <xf numFmtId="20" fontId="11" fillId="9" borderId="0" xfId="2" applyNumberFormat="1" applyFont="1" applyFill="1" applyBorder="1" applyAlignment="1">
      <alignment horizontal="center" wrapText="1"/>
    </xf>
    <xf numFmtId="4" fontId="17" fillId="33" borderId="0" xfId="2" applyNumberFormat="1" applyFont="1" applyFill="1" applyBorder="1" applyAlignment="1">
      <alignment horizontal="center" vertical="center" wrapText="1"/>
    </xf>
    <xf numFmtId="0" fontId="5" fillId="3" borderId="11" xfId="3" applyNumberFormat="1" applyFont="1" applyFill="1" applyBorder="1" applyAlignment="1" applyProtection="1">
      <alignment horizontal="center"/>
      <protection locked="0"/>
    </xf>
    <xf numFmtId="0" fontId="5" fillId="3" borderId="32" xfId="3" applyNumberFormat="1" applyFont="1" applyFill="1" applyBorder="1" applyAlignment="1" applyProtection="1">
      <alignment horizontal="center"/>
      <protection locked="0"/>
    </xf>
    <xf numFmtId="0" fontId="17" fillId="33" borderId="0" xfId="2" applyFont="1" applyFill="1" applyBorder="1" applyAlignment="1">
      <alignment horizontal="left"/>
    </xf>
    <xf numFmtId="20" fontId="22" fillId="7" borderId="0" xfId="6" applyNumberFormat="1" applyFont="1" applyFill="1" applyBorder="1" applyAlignment="1">
      <alignment horizontal="left"/>
    </xf>
    <xf numFmtId="20" fontId="11" fillId="7" borderId="0" xfId="2" applyNumberFormat="1" applyFont="1" applyFill="1" applyBorder="1" applyAlignment="1">
      <alignment horizontal="center" wrapText="1"/>
    </xf>
    <xf numFmtId="0" fontId="22" fillId="30" borderId="0" xfId="2" applyFont="1" applyFill="1" applyAlignment="1">
      <alignment horizontal="center"/>
    </xf>
    <xf numFmtId="4" fontId="11" fillId="26" borderId="0" xfId="2" applyNumberFormat="1" applyFont="1" applyFill="1" applyBorder="1" applyAlignment="1">
      <alignment horizontal="left"/>
    </xf>
    <xf numFmtId="3" fontId="11" fillId="12" borderId="0" xfId="2" applyNumberFormat="1" applyFont="1" applyFill="1" applyBorder="1" applyAlignment="1">
      <alignment horizontal="left"/>
    </xf>
    <xf numFmtId="0" fontId="11" fillId="5" borderId="0" xfId="2" applyFont="1" applyFill="1" applyAlignment="1">
      <alignment horizontal="center"/>
    </xf>
    <xf numFmtId="20" fontId="17" fillId="7" borderId="0" xfId="2" applyNumberFormat="1" applyFont="1" applyFill="1" applyBorder="1" applyAlignment="1">
      <alignment horizontal="center"/>
    </xf>
    <xf numFmtId="3" fontId="32" fillId="3" borderId="11" xfId="3" applyNumberFormat="1" applyFont="1" applyFill="1" applyBorder="1" applyAlignment="1" applyProtection="1">
      <alignment horizontal="center" wrapText="1"/>
      <protection locked="0"/>
    </xf>
    <xf numFmtId="3" fontId="32" fillId="3" borderId="32" xfId="3" applyNumberFormat="1" applyFont="1" applyFill="1" applyBorder="1" applyAlignment="1" applyProtection="1">
      <alignment horizontal="center" wrapText="1"/>
      <protection locked="0"/>
    </xf>
    <xf numFmtId="3" fontId="17" fillId="12" borderId="58" xfId="2" applyNumberFormat="1" applyFont="1" applyFill="1" applyBorder="1" applyAlignment="1">
      <alignment horizontal="center"/>
    </xf>
    <xf numFmtId="20" fontId="22" fillId="7" borderId="1" xfId="6" applyNumberFormat="1" applyFont="1" applyFill="1" applyBorder="1" applyAlignment="1">
      <alignment horizontal="center"/>
    </xf>
    <xf numFmtId="20" fontId="22" fillId="7" borderId="2" xfId="6" applyNumberFormat="1" applyFont="1" applyFill="1" applyBorder="1" applyAlignment="1">
      <alignment horizontal="center"/>
    </xf>
    <xf numFmtId="3" fontId="17" fillId="12" borderId="0" xfId="2" applyNumberFormat="1" applyFont="1" applyFill="1" applyBorder="1" applyAlignment="1">
      <alignment horizontal="center" wrapText="1"/>
    </xf>
    <xf numFmtId="20" fontId="17" fillId="7" borderId="0" xfId="2" applyNumberFormat="1" applyFont="1" applyFill="1" applyBorder="1" applyAlignment="1">
      <alignment horizontal="left"/>
    </xf>
    <xf numFmtId="20" fontId="17" fillId="7" borderId="28" xfId="2" applyNumberFormat="1" applyFont="1" applyFill="1" applyBorder="1" applyAlignment="1">
      <alignment horizontal="left"/>
    </xf>
    <xf numFmtId="0" fontId="27" fillId="3" borderId="61" xfId="3" applyNumberFormat="1" applyFont="1" applyFill="1" applyBorder="1" applyAlignment="1" applyProtection="1">
      <alignment horizontal="center"/>
      <protection locked="0"/>
    </xf>
    <xf numFmtId="0" fontId="27" fillId="3" borderId="0" xfId="3" applyNumberFormat="1" applyFont="1" applyFill="1" applyBorder="1" applyAlignment="1" applyProtection="1">
      <alignment horizontal="center"/>
      <protection locked="0"/>
    </xf>
    <xf numFmtId="0" fontId="27" fillId="3" borderId="28" xfId="3" applyNumberFormat="1" applyFont="1" applyFill="1" applyBorder="1" applyAlignment="1" applyProtection="1">
      <alignment horizontal="center"/>
      <protection locked="0"/>
    </xf>
    <xf numFmtId="3" fontId="17" fillId="12" borderId="0" xfId="2" applyNumberFormat="1" applyFont="1" applyFill="1" applyBorder="1" applyAlignment="1">
      <alignment horizontal="center"/>
    </xf>
    <xf numFmtId="3" fontId="17" fillId="12" borderId="58" xfId="2" applyNumberFormat="1" applyFont="1" applyFill="1" applyBorder="1" applyAlignment="1">
      <alignment horizontal="center" wrapText="1"/>
    </xf>
    <xf numFmtId="3" fontId="17" fillId="12" borderId="0" xfId="2" applyNumberFormat="1" applyFont="1" applyFill="1" applyBorder="1" applyAlignment="1">
      <alignment horizontal="left" wrapText="1"/>
    </xf>
    <xf numFmtId="0" fontId="22" fillId="10" borderId="23" xfId="6" applyFont="1" applyFill="1" applyBorder="1" applyAlignment="1">
      <alignment horizontal="left" wrapText="1"/>
    </xf>
    <xf numFmtId="0" fontId="22" fillId="10" borderId="10" xfId="6" applyFont="1" applyFill="1" applyBorder="1" applyAlignment="1">
      <alignment horizontal="left" wrapText="1"/>
    </xf>
    <xf numFmtId="0" fontId="43" fillId="3" borderId="23" xfId="3" applyNumberFormat="1" applyFont="1" applyFill="1" applyBorder="1" applyAlignment="1">
      <alignment horizontal="center" vertical="center"/>
    </xf>
    <xf numFmtId="0" fontId="43" fillId="3" borderId="10" xfId="3" applyNumberFormat="1" applyFont="1" applyFill="1" applyBorder="1" applyAlignment="1">
      <alignment horizontal="center" vertical="center"/>
    </xf>
    <xf numFmtId="0" fontId="17" fillId="7" borderId="0" xfId="2" applyFont="1" applyFill="1" applyAlignment="1">
      <alignment horizontal="center" wrapText="1"/>
    </xf>
    <xf numFmtId="0" fontId="25" fillId="3" borderId="58" xfId="3" applyNumberFormat="1" applyFont="1" applyFill="1" applyBorder="1" applyAlignment="1" applyProtection="1">
      <alignment horizontal="center" vertical="center"/>
      <protection locked="0"/>
    </xf>
    <xf numFmtId="0" fontId="25" fillId="3" borderId="0" xfId="3" applyNumberFormat="1" applyFont="1" applyFill="1" applyBorder="1" applyAlignment="1" applyProtection="1">
      <alignment horizontal="center" vertical="center"/>
      <protection locked="0"/>
    </xf>
    <xf numFmtId="0" fontId="17" fillId="5" borderId="0" xfId="2" applyFont="1" applyFill="1" applyAlignment="1">
      <alignment horizontal="left" wrapText="1"/>
    </xf>
    <xf numFmtId="0" fontId="17" fillId="7" borderId="28" xfId="2" applyFont="1" applyFill="1" applyBorder="1" applyAlignment="1">
      <alignment horizontal="center" wrapText="1"/>
    </xf>
    <xf numFmtId="0" fontId="25" fillId="3" borderId="25" xfId="3" applyNumberFormat="1" applyFont="1" applyFill="1" applyBorder="1" applyAlignment="1" applyProtection="1">
      <alignment horizontal="center" vertical="center"/>
      <protection locked="0"/>
    </xf>
    <xf numFmtId="0" fontId="25" fillId="3" borderId="61" xfId="3" applyNumberFormat="1" applyFont="1" applyFill="1" applyBorder="1" applyAlignment="1" applyProtection="1">
      <alignment horizontal="center" vertical="center"/>
      <protection locked="0"/>
    </xf>
    <xf numFmtId="0" fontId="17" fillId="7" borderId="0" xfId="2" applyFont="1" applyFill="1" applyAlignment="1">
      <alignment horizontal="left"/>
    </xf>
    <xf numFmtId="0" fontId="17" fillId="7" borderId="28" xfId="2" applyFont="1" applyFill="1" applyBorder="1" applyAlignment="1">
      <alignment horizontal="left"/>
    </xf>
    <xf numFmtId="20" fontId="22" fillId="7" borderId="27" xfId="6" applyNumberFormat="1" applyFont="1" applyFill="1" applyBorder="1" applyAlignment="1">
      <alignment horizontal="left"/>
    </xf>
    <xf numFmtId="20" fontId="22" fillId="7" borderId="2" xfId="6" applyNumberFormat="1" applyFont="1" applyFill="1" applyBorder="1" applyAlignment="1">
      <alignment horizontal="left"/>
    </xf>
    <xf numFmtId="0" fontId="22" fillId="10" borderId="27" xfId="6" applyFont="1" applyFill="1" applyBorder="1" applyAlignment="1">
      <alignment horizontal="left"/>
    </xf>
    <xf numFmtId="0" fontId="22" fillId="10" borderId="2" xfId="6" applyFont="1" applyFill="1" applyBorder="1" applyAlignment="1">
      <alignment horizontal="left"/>
    </xf>
    <xf numFmtId="0" fontId="17" fillId="5" borderId="28" xfId="2" applyFont="1" applyFill="1" applyBorder="1" applyAlignment="1">
      <alignment horizontal="left" wrapText="1"/>
    </xf>
    <xf numFmtId="0" fontId="25" fillId="3" borderId="61" xfId="3" applyNumberFormat="1" applyFont="1" applyFill="1" applyBorder="1" applyAlignment="1" applyProtection="1">
      <alignment horizontal="center"/>
      <protection locked="0"/>
    </xf>
    <xf numFmtId="0" fontId="25" fillId="3" borderId="0" xfId="3" applyNumberFormat="1" applyFont="1" applyFill="1" applyBorder="1" applyAlignment="1" applyProtection="1">
      <alignment horizontal="center"/>
      <protection locked="0"/>
    </xf>
    <xf numFmtId="20" fontId="17" fillId="26" borderId="0" xfId="2" applyNumberFormat="1" applyFont="1" applyFill="1" applyBorder="1" applyAlignment="1">
      <alignment horizontal="center" wrapText="1"/>
    </xf>
    <xf numFmtId="20" fontId="17" fillId="26" borderId="68" xfId="2" applyNumberFormat="1" applyFont="1" applyFill="1" applyBorder="1" applyAlignment="1">
      <alignment horizontal="center" wrapText="1"/>
    </xf>
    <xf numFmtId="3" fontId="17" fillId="12" borderId="68" xfId="2" applyNumberFormat="1" applyFont="1" applyFill="1" applyBorder="1" applyAlignment="1">
      <alignment horizontal="center" wrapText="1"/>
    </xf>
    <xf numFmtId="20" fontId="11" fillId="7" borderId="60" xfId="2" applyNumberFormat="1" applyFont="1" applyFill="1" applyBorder="1" applyAlignment="1">
      <alignment horizontal="center" wrapText="1"/>
    </xf>
    <xf numFmtId="20" fontId="17" fillId="23" borderId="47" xfId="2" applyNumberFormat="1" applyFont="1" applyFill="1" applyBorder="1" applyAlignment="1">
      <alignment horizontal="left" wrapText="1"/>
    </xf>
    <xf numFmtId="20" fontId="17" fillId="23" borderId="48" xfId="2" applyNumberFormat="1" applyFont="1" applyFill="1" applyBorder="1" applyAlignment="1">
      <alignment horizontal="left" wrapText="1"/>
    </xf>
    <xf numFmtId="20" fontId="17" fillId="26" borderId="48" xfId="2" applyNumberFormat="1" applyFont="1" applyFill="1" applyBorder="1" applyAlignment="1">
      <alignment horizontal="center" wrapText="1"/>
    </xf>
    <xf numFmtId="20" fontId="17" fillId="29" borderId="48" xfId="2" applyNumberFormat="1" applyFont="1" applyFill="1" applyBorder="1" applyAlignment="1">
      <alignment horizontal="left" wrapText="1"/>
    </xf>
    <xf numFmtId="20" fontId="11" fillId="7" borderId="33" xfId="2" applyNumberFormat="1" applyFont="1" applyFill="1" applyBorder="1" applyAlignment="1">
      <alignment horizontal="center" wrapText="1"/>
    </xf>
    <xf numFmtId="3" fontId="32" fillId="9" borderId="27" xfId="3" applyNumberFormat="1" applyFont="1" applyFill="1" applyBorder="1" applyAlignment="1">
      <alignment horizontal="center" wrapText="1"/>
    </xf>
    <xf numFmtId="3" fontId="32" fillId="9" borderId="2" xfId="3" applyNumberFormat="1" applyFont="1" applyFill="1" applyBorder="1" applyAlignment="1">
      <alignment horizontal="center" wrapText="1"/>
    </xf>
    <xf numFmtId="3" fontId="17" fillId="26" borderId="27" xfId="2" applyNumberFormat="1" applyFont="1" applyFill="1" applyBorder="1" applyAlignment="1">
      <alignment horizontal="center"/>
    </xf>
    <xf numFmtId="3" fontId="17" fillId="26" borderId="2" xfId="2" applyNumberFormat="1" applyFont="1" applyFill="1" applyBorder="1" applyAlignment="1">
      <alignment horizontal="center"/>
    </xf>
    <xf numFmtId="20" fontId="22" fillId="7" borderId="0" xfId="6" applyNumberFormat="1" applyFont="1" applyFill="1" applyBorder="1" applyAlignment="1">
      <alignment horizontal="center" wrapText="1"/>
    </xf>
    <xf numFmtId="3" fontId="25" fillId="3" borderId="27" xfId="3" applyNumberFormat="1" applyFont="1" applyFill="1" applyBorder="1" applyAlignment="1" applyProtection="1">
      <alignment horizontal="center"/>
      <protection locked="0"/>
    </xf>
    <xf numFmtId="3" fontId="25" fillId="3" borderId="2" xfId="3" applyNumberFormat="1" applyFont="1" applyFill="1" applyBorder="1" applyAlignment="1" applyProtection="1">
      <alignment horizontal="center"/>
      <protection locked="0"/>
    </xf>
    <xf numFmtId="20" fontId="11" fillId="7" borderId="12" xfId="2" applyNumberFormat="1" applyFont="1" applyFill="1" applyBorder="1" applyAlignment="1">
      <alignment horizontal="center" wrapText="1"/>
    </xf>
    <xf numFmtId="20" fontId="11" fillId="26" borderId="0" xfId="2" applyNumberFormat="1" applyFont="1" applyFill="1" applyBorder="1" applyAlignment="1">
      <alignment horizontal="center"/>
    </xf>
    <xf numFmtId="20" fontId="11" fillId="12" borderId="0" xfId="2" applyNumberFormat="1" applyFont="1" applyFill="1" applyBorder="1" applyAlignment="1">
      <alignment horizontal="center"/>
    </xf>
    <xf numFmtId="0" fontId="17" fillId="10" borderId="10" xfId="6" applyFont="1" applyFill="1" applyBorder="1" applyAlignment="1">
      <alignment horizontal="left"/>
    </xf>
    <xf numFmtId="0" fontId="17" fillId="10" borderId="24" xfId="6" applyFont="1" applyFill="1" applyBorder="1" applyAlignment="1">
      <alignment horizontal="left"/>
    </xf>
    <xf numFmtId="20" fontId="11" fillId="26" borderId="19" xfId="2" applyNumberFormat="1" applyFont="1" applyFill="1" applyBorder="1" applyAlignment="1">
      <alignment horizontal="left" wrapText="1"/>
    </xf>
    <xf numFmtId="3" fontId="11" fillId="12" borderId="19" xfId="2" applyNumberFormat="1" applyFont="1" applyFill="1" applyBorder="1" applyAlignment="1">
      <alignment horizontal="center"/>
    </xf>
    <xf numFmtId="20" fontId="11" fillId="7" borderId="8" xfId="2" applyNumberFormat="1" applyFont="1" applyFill="1" applyBorder="1" applyAlignment="1">
      <alignment horizontal="center" wrapText="1"/>
    </xf>
    <xf numFmtId="20" fontId="11" fillId="7" borderId="9" xfId="2" applyNumberFormat="1" applyFont="1" applyFill="1" applyBorder="1" applyAlignment="1">
      <alignment horizontal="center" wrapText="1"/>
    </xf>
    <xf numFmtId="0" fontId="17" fillId="7" borderId="0" xfId="2" applyFont="1" applyFill="1" applyAlignment="1">
      <alignment horizontal="center"/>
    </xf>
    <xf numFmtId="166" fontId="38" fillId="3" borderId="10" xfId="3" applyNumberFormat="1" applyFont="1" applyFill="1" applyBorder="1" applyAlignment="1">
      <alignment horizontal="center" wrapText="1"/>
    </xf>
    <xf numFmtId="0" fontId="25" fillId="3" borderId="24" xfId="3" applyNumberFormat="1" applyFont="1" applyFill="1" applyBorder="1" applyAlignment="1">
      <alignment horizontal="center" wrapText="1"/>
    </xf>
    <xf numFmtId="0" fontId="38" fillId="3" borderId="24" xfId="3" applyNumberFormat="1" applyFont="1" applyFill="1" applyBorder="1" applyAlignment="1">
      <alignment horizontal="center" wrapText="1"/>
    </xf>
    <xf numFmtId="0" fontId="25" fillId="3" borderId="27" xfId="3" applyFont="1" applyFill="1" applyBorder="1" applyAlignment="1" applyProtection="1">
      <alignment horizontal="center"/>
      <protection locked="0"/>
    </xf>
    <xf numFmtId="0" fontId="25" fillId="3" borderId="2" xfId="3" applyFont="1" applyFill="1" applyBorder="1" applyAlignment="1" applyProtection="1">
      <alignment horizontal="center"/>
      <protection locked="0"/>
    </xf>
    <xf numFmtId="3" fontId="17" fillId="12" borderId="0" xfId="2" applyNumberFormat="1" applyFont="1" applyFill="1" applyBorder="1" applyAlignment="1">
      <alignment horizontal="right"/>
    </xf>
    <xf numFmtId="3" fontId="32" fillId="9" borderId="27" xfId="2" applyNumberFormat="1" applyFont="1" applyFill="1" applyBorder="1" applyAlignment="1">
      <alignment horizontal="left"/>
    </xf>
    <xf numFmtId="3" fontId="32" fillId="9" borderId="2" xfId="2" applyNumberFormat="1" applyFont="1" applyFill="1" applyBorder="1" applyAlignment="1">
      <alignment horizontal="left"/>
    </xf>
    <xf numFmtId="20" fontId="17" fillId="7" borderId="0" xfId="2" applyNumberFormat="1" applyFont="1" applyFill="1" applyBorder="1" applyAlignment="1">
      <alignment horizontal="left" wrapText="1"/>
    </xf>
    <xf numFmtId="0" fontId="25" fillId="3" borderId="11" xfId="3" applyNumberFormat="1" applyFont="1" applyFill="1" applyBorder="1" applyAlignment="1" applyProtection="1">
      <alignment horizontal="left"/>
      <protection locked="0"/>
    </xf>
    <xf numFmtId="0" fontId="25" fillId="3" borderId="60" xfId="3" applyNumberFormat="1" applyFont="1" applyFill="1" applyBorder="1" applyAlignment="1" applyProtection="1">
      <alignment horizontal="left"/>
      <protection locked="0"/>
    </xf>
    <xf numFmtId="0" fontId="25" fillId="3" borderId="32" xfId="3" applyNumberFormat="1" applyFont="1" applyFill="1" applyBorder="1" applyAlignment="1" applyProtection="1">
      <alignment horizontal="left"/>
      <protection locked="0"/>
    </xf>
    <xf numFmtId="0" fontId="40" fillId="5" borderId="0" xfId="2" applyFont="1" applyFill="1" applyBorder="1" applyAlignment="1">
      <alignment horizontal="center" vertical="top" wrapText="1"/>
    </xf>
    <xf numFmtId="0" fontId="25" fillId="3" borderId="27" xfId="3" applyNumberFormat="1" applyFont="1" applyFill="1" applyBorder="1" applyAlignment="1" applyProtection="1">
      <alignment horizontal="left"/>
      <protection locked="0"/>
    </xf>
    <xf numFmtId="0" fontId="25" fillId="3" borderId="1" xfId="3" applyNumberFormat="1" applyFont="1" applyFill="1" applyBorder="1" applyAlignment="1" applyProtection="1">
      <alignment horizontal="left"/>
      <protection locked="0"/>
    </xf>
    <xf numFmtId="0" fontId="25" fillId="3" borderId="2" xfId="3" applyNumberFormat="1" applyFont="1" applyFill="1" applyBorder="1" applyAlignment="1" applyProtection="1">
      <alignment horizontal="left"/>
      <protection locked="0"/>
    </xf>
    <xf numFmtId="0" fontId="36" fillId="9" borderId="27" xfId="2" applyFont="1" applyFill="1" applyBorder="1" applyAlignment="1">
      <alignment horizontal="center"/>
    </xf>
    <xf numFmtId="0" fontId="36" fillId="9" borderId="1" xfId="2" applyFont="1" applyFill="1" applyBorder="1" applyAlignment="1">
      <alignment horizontal="center"/>
    </xf>
    <xf numFmtId="0" fontId="36" fillId="9" borderId="2" xfId="2" applyFont="1" applyFill="1" applyBorder="1" applyAlignment="1">
      <alignment horizontal="center"/>
    </xf>
    <xf numFmtId="0" fontId="36" fillId="9" borderId="24" xfId="2" applyFont="1" applyFill="1" applyBorder="1" applyAlignment="1">
      <alignment horizontal="center"/>
    </xf>
    <xf numFmtId="20" fontId="17" fillId="7" borderId="28" xfId="2" applyNumberFormat="1" applyFont="1" applyFill="1" applyBorder="1" applyAlignment="1">
      <alignment horizontal="left" wrapText="1"/>
    </xf>
    <xf numFmtId="0" fontId="25" fillId="0" borderId="61" xfId="2" applyFont="1" applyBorder="1" applyAlignment="1" applyProtection="1">
      <alignment horizontal="center" wrapText="1"/>
      <protection locked="0"/>
    </xf>
    <xf numFmtId="0" fontId="25" fillId="0" borderId="0" xfId="2" applyFont="1" applyBorder="1" applyAlignment="1" applyProtection="1">
      <alignment horizontal="center" wrapText="1"/>
      <protection locked="0"/>
    </xf>
    <xf numFmtId="0" fontId="36" fillId="9" borderId="23" xfId="2" applyFont="1" applyFill="1" applyBorder="1" applyAlignment="1">
      <alignment horizontal="center"/>
    </xf>
    <xf numFmtId="0" fontId="35" fillId="0" borderId="16" xfId="2" applyFont="1" applyBorder="1" applyAlignment="1">
      <alignment horizontal="left"/>
    </xf>
    <xf numFmtId="0" fontId="35" fillId="0" borderId="18" xfId="2" applyFont="1" applyBorder="1" applyAlignment="1">
      <alignment horizontal="left"/>
    </xf>
    <xf numFmtId="0" fontId="35" fillId="0" borderId="40" xfId="2" applyFont="1" applyBorder="1" applyAlignment="1">
      <alignment horizontal="left"/>
    </xf>
    <xf numFmtId="3" fontId="11" fillId="10" borderId="58" xfId="2" applyNumberFormat="1" applyFont="1" applyFill="1" applyBorder="1" applyAlignment="1">
      <alignment horizontal="center" wrapText="1"/>
    </xf>
    <xf numFmtId="3" fontId="11" fillId="10" borderId="60" xfId="2" applyNumberFormat="1" applyFont="1" applyFill="1" applyBorder="1" applyAlignment="1">
      <alignment horizontal="center" wrapText="1"/>
    </xf>
    <xf numFmtId="3" fontId="11" fillId="10" borderId="0" xfId="2" applyNumberFormat="1" applyFont="1" applyFill="1" applyBorder="1" applyAlignment="1">
      <alignment horizontal="center" wrapText="1"/>
    </xf>
    <xf numFmtId="0" fontId="17" fillId="7" borderId="28" xfId="2" applyFont="1" applyFill="1" applyBorder="1" applyAlignment="1">
      <alignment horizontal="center"/>
    </xf>
    <xf numFmtId="3" fontId="32" fillId="9" borderId="27" xfId="2" applyNumberFormat="1" applyFont="1" applyFill="1" applyBorder="1" applyAlignment="1">
      <alignment horizontal="center"/>
    </xf>
    <xf numFmtId="3" fontId="32" fillId="9" borderId="2" xfId="2" applyNumberFormat="1" applyFont="1" applyFill="1" applyBorder="1" applyAlignment="1">
      <alignment horizontal="center"/>
    </xf>
    <xf numFmtId="3" fontId="11" fillId="10" borderId="0" xfId="2" applyNumberFormat="1" applyFont="1" applyFill="1" applyBorder="1" applyAlignment="1">
      <alignment horizontal="left"/>
    </xf>
    <xf numFmtId="20" fontId="11" fillId="26" borderId="60" xfId="2" applyNumberFormat="1" applyFont="1" applyFill="1" applyBorder="1" applyAlignment="1">
      <alignment horizontal="center" wrapText="1"/>
    </xf>
    <xf numFmtId="3" fontId="11" fillId="12" borderId="60" xfId="2" applyNumberFormat="1" applyFont="1" applyFill="1" applyBorder="1" applyAlignment="1">
      <alignment horizontal="center"/>
    </xf>
    <xf numFmtId="0" fontId="25" fillId="3" borderId="27" xfId="3" applyNumberFormat="1" applyFont="1" applyFill="1" applyBorder="1" applyAlignment="1" applyProtection="1">
      <alignment horizontal="center"/>
      <protection locked="0"/>
    </xf>
    <xf numFmtId="0" fontId="25" fillId="3" borderId="2" xfId="3" applyNumberFormat="1" applyFont="1" applyFill="1" applyBorder="1" applyAlignment="1" applyProtection="1">
      <alignment horizontal="center"/>
      <protection locked="0"/>
    </xf>
    <xf numFmtId="20" fontId="17" fillId="7" borderId="16" xfId="2" applyNumberFormat="1" applyFont="1" applyFill="1" applyBorder="1" applyAlignment="1">
      <alignment horizontal="left" wrapText="1"/>
    </xf>
    <xf numFmtId="20" fontId="17" fillId="7" borderId="18" xfId="2" applyNumberFormat="1" applyFont="1" applyFill="1" applyBorder="1" applyAlignment="1">
      <alignment horizontal="left" wrapText="1"/>
    </xf>
    <xf numFmtId="20" fontId="11" fillId="7" borderId="25" xfId="2" applyNumberFormat="1" applyFont="1" applyFill="1" applyBorder="1" applyAlignment="1">
      <alignment horizontal="center" wrapText="1"/>
    </xf>
    <xf numFmtId="20" fontId="11" fillId="7" borderId="11" xfId="2" applyNumberFormat="1" applyFont="1" applyFill="1" applyBorder="1" applyAlignment="1">
      <alignment horizontal="center" wrapText="1"/>
    </xf>
    <xf numFmtId="20" fontId="11" fillId="7" borderId="58" xfId="2" applyNumberFormat="1" applyFont="1" applyFill="1" applyBorder="1" applyAlignment="1">
      <alignment horizontal="center" wrapText="1"/>
    </xf>
    <xf numFmtId="20" fontId="11" fillId="7" borderId="62" xfId="2" applyNumberFormat="1" applyFont="1" applyFill="1" applyBorder="1" applyAlignment="1">
      <alignment horizontal="center" wrapText="1"/>
    </xf>
    <xf numFmtId="20" fontId="11" fillId="7" borderId="63" xfId="2" applyNumberFormat="1" applyFont="1" applyFill="1" applyBorder="1" applyAlignment="1">
      <alignment horizontal="center" wrapText="1"/>
    </xf>
    <xf numFmtId="20" fontId="11" fillId="7" borderId="61" xfId="2" applyNumberFormat="1" applyFont="1" applyFill="1" applyBorder="1" applyAlignment="1">
      <alignment horizontal="center" wrapText="1"/>
    </xf>
    <xf numFmtId="20" fontId="11" fillId="7" borderId="28" xfId="2" applyNumberFormat="1" applyFont="1" applyFill="1" applyBorder="1" applyAlignment="1">
      <alignment horizontal="center" wrapText="1"/>
    </xf>
    <xf numFmtId="20" fontId="11" fillId="7" borderId="32" xfId="2" applyNumberFormat="1" applyFont="1" applyFill="1" applyBorder="1" applyAlignment="1">
      <alignment horizontal="center" wrapText="1"/>
    </xf>
    <xf numFmtId="20" fontId="11" fillId="7" borderId="0" xfId="2" applyNumberFormat="1" applyFont="1" applyFill="1" applyBorder="1" applyAlignment="1">
      <alignment horizontal="left" wrapText="1"/>
    </xf>
    <xf numFmtId="20" fontId="11" fillId="7" borderId="51" xfId="2" applyNumberFormat="1" applyFont="1" applyFill="1" applyBorder="1" applyAlignment="1">
      <alignment horizontal="center" wrapText="1"/>
    </xf>
    <xf numFmtId="20" fontId="11" fillId="7" borderId="55" xfId="2" applyNumberFormat="1" applyFont="1" applyFill="1" applyBorder="1" applyAlignment="1">
      <alignment horizontal="center" wrapText="1"/>
    </xf>
    <xf numFmtId="20" fontId="11" fillId="7" borderId="1" xfId="2" applyNumberFormat="1" applyFont="1" applyFill="1" applyBorder="1" applyAlignment="1">
      <alignment horizontal="center" wrapText="1"/>
    </xf>
    <xf numFmtId="20" fontId="11" fillId="7" borderId="56" xfId="2" applyNumberFormat="1" applyFont="1" applyFill="1" applyBorder="1" applyAlignment="1">
      <alignment horizontal="center" wrapText="1"/>
    </xf>
    <xf numFmtId="20" fontId="11" fillId="7" borderId="24" xfId="2" applyNumberFormat="1" applyFont="1" applyFill="1" applyBorder="1" applyAlignment="1">
      <alignment horizontal="center" wrapText="1"/>
    </xf>
    <xf numFmtId="20" fontId="11" fillId="7" borderId="54" xfId="2" applyNumberFormat="1" applyFont="1" applyFill="1" applyBorder="1" applyAlignment="1">
      <alignment horizontal="center" wrapText="1"/>
    </xf>
    <xf numFmtId="20" fontId="11" fillId="7" borderId="53" xfId="2" applyNumberFormat="1" applyFont="1" applyFill="1" applyBorder="1" applyAlignment="1">
      <alignment horizontal="center" wrapText="1"/>
    </xf>
    <xf numFmtId="20" fontId="17" fillId="7" borderId="23" xfId="2" applyNumberFormat="1" applyFont="1" applyFill="1" applyBorder="1" applyAlignment="1">
      <alignment horizontal="center" wrapText="1"/>
    </xf>
    <xf numFmtId="20" fontId="17" fillId="7" borderId="10" xfId="2" applyNumberFormat="1" applyFont="1" applyFill="1" applyBorder="1" applyAlignment="1">
      <alignment horizontal="center" wrapText="1"/>
    </xf>
    <xf numFmtId="20" fontId="17" fillId="7" borderId="23" xfId="2" applyNumberFormat="1" applyFont="1" applyFill="1" applyBorder="1" applyAlignment="1">
      <alignment horizontal="left" wrapText="1"/>
    </xf>
    <xf numFmtId="20" fontId="17" fillId="7" borderId="10" xfId="2" applyNumberFormat="1" applyFont="1" applyFill="1" applyBorder="1" applyAlignment="1">
      <alignment horizontal="left" wrapText="1"/>
    </xf>
    <xf numFmtId="20" fontId="17" fillId="7" borderId="24" xfId="2" applyNumberFormat="1" applyFont="1" applyFill="1" applyBorder="1" applyAlignment="1">
      <alignment horizontal="center" wrapText="1"/>
    </xf>
    <xf numFmtId="20" fontId="17" fillId="7" borderId="25" xfId="2" applyNumberFormat="1" applyFont="1" applyFill="1" applyBorder="1" applyAlignment="1">
      <alignment horizontal="center" wrapText="1"/>
    </xf>
    <xf numFmtId="20" fontId="17" fillId="7" borderId="26" xfId="2" applyNumberFormat="1" applyFont="1" applyFill="1" applyBorder="1" applyAlignment="1">
      <alignment horizontal="center" wrapText="1"/>
    </xf>
    <xf numFmtId="20" fontId="17" fillId="7" borderId="11" xfId="2" applyNumberFormat="1" applyFont="1" applyFill="1" applyBorder="1" applyAlignment="1">
      <alignment horizontal="center" wrapText="1"/>
    </xf>
    <xf numFmtId="20" fontId="17" fillId="7" borderId="32" xfId="2" applyNumberFormat="1" applyFont="1" applyFill="1" applyBorder="1" applyAlignment="1">
      <alignment horizontal="center" wrapText="1"/>
    </xf>
    <xf numFmtId="20" fontId="17" fillId="7" borderId="39" xfId="2" applyNumberFormat="1" applyFont="1" applyFill="1" applyBorder="1" applyAlignment="1">
      <alignment horizontal="center"/>
    </xf>
    <xf numFmtId="20" fontId="17" fillId="7" borderId="22" xfId="2" applyNumberFormat="1" applyFont="1" applyFill="1" applyBorder="1" applyAlignment="1">
      <alignment horizontal="center"/>
    </xf>
    <xf numFmtId="20" fontId="17" fillId="7" borderId="38" xfId="2" applyNumberFormat="1" applyFont="1" applyFill="1" applyBorder="1" applyAlignment="1">
      <alignment horizontal="center"/>
    </xf>
    <xf numFmtId="20" fontId="17" fillId="7" borderId="50" xfId="2" applyNumberFormat="1" applyFont="1" applyFill="1" applyBorder="1" applyAlignment="1">
      <alignment horizontal="center"/>
    </xf>
    <xf numFmtId="20" fontId="17" fillId="7" borderId="31" xfId="2" applyNumberFormat="1" applyFont="1" applyFill="1" applyBorder="1" applyAlignment="1">
      <alignment horizontal="center"/>
    </xf>
    <xf numFmtId="20" fontId="17" fillId="7" borderId="40" xfId="2" applyNumberFormat="1" applyFont="1" applyFill="1" applyBorder="1" applyAlignment="1">
      <alignment horizontal="center"/>
    </xf>
    <xf numFmtId="20" fontId="26" fillId="7" borderId="27" xfId="4" applyNumberFormat="1" applyFont="1" applyFill="1" applyBorder="1" applyAlignment="1" applyProtection="1">
      <alignment horizontal="center" wrapText="1"/>
    </xf>
    <xf numFmtId="20" fontId="26" fillId="7" borderId="2" xfId="4" applyNumberFormat="1" applyFont="1" applyFill="1" applyBorder="1" applyAlignment="1" applyProtection="1">
      <alignment horizontal="center" wrapText="1"/>
    </xf>
    <xf numFmtId="20" fontId="22" fillId="7" borderId="16" xfId="2" applyNumberFormat="1" applyFont="1" applyFill="1" applyBorder="1" applyAlignment="1">
      <alignment horizontal="left" vertical="center"/>
    </xf>
    <xf numFmtId="20" fontId="22" fillId="7" borderId="17" xfId="2" applyNumberFormat="1" applyFont="1" applyFill="1" applyBorder="1" applyAlignment="1">
      <alignment horizontal="left" vertical="center"/>
    </xf>
    <xf numFmtId="0" fontId="5" fillId="14" borderId="0" xfId="2" applyFont="1" applyFill="1" applyAlignment="1">
      <alignment horizontal="center"/>
    </xf>
    <xf numFmtId="0" fontId="5" fillId="3" borderId="8" xfId="2" applyFont="1" applyFill="1" applyBorder="1" applyAlignment="1">
      <alignment horizontal="center"/>
    </xf>
    <xf numFmtId="0" fontId="5" fillId="3" borderId="9" xfId="2" applyFont="1" applyFill="1" applyBorder="1" applyAlignment="1">
      <alignment horizontal="center"/>
    </xf>
    <xf numFmtId="20" fontId="22" fillId="7" borderId="16" xfId="2" applyNumberFormat="1" applyFont="1" applyFill="1" applyBorder="1" applyAlignment="1">
      <alignment horizontal="center" vertical="center"/>
    </xf>
    <xf numFmtId="20" fontId="22" fillId="7" borderId="17" xfId="2" applyNumberFormat="1" applyFont="1" applyFill="1" applyBorder="1" applyAlignment="1">
      <alignment horizontal="center" vertical="center"/>
    </xf>
    <xf numFmtId="20" fontId="22" fillId="7" borderId="18" xfId="2" applyNumberFormat="1" applyFont="1" applyFill="1" applyBorder="1" applyAlignment="1">
      <alignment horizontal="center" vertical="center"/>
    </xf>
    <xf numFmtId="0" fontId="9" fillId="51" borderId="0" xfId="2" applyFont="1" applyFill="1" applyAlignment="1">
      <alignment horizontal="center"/>
    </xf>
    <xf numFmtId="0" fontId="9" fillId="2" borderId="0" xfId="2" applyFont="1" applyFill="1" applyAlignment="1">
      <alignment horizontal="center"/>
    </xf>
    <xf numFmtId="0" fontId="10" fillId="51" borderId="3" xfId="2" applyFont="1" applyFill="1" applyBorder="1" applyAlignment="1">
      <alignment horizontal="center"/>
    </xf>
    <xf numFmtId="0" fontId="11" fillId="2" borderId="3" xfId="2" applyFont="1" applyFill="1" applyBorder="1" applyAlignment="1">
      <alignment horizontal="center"/>
    </xf>
    <xf numFmtId="3" fontId="16" fillId="9" borderId="8" xfId="3" applyNumberFormat="1" applyFont="1" applyFill="1" applyBorder="1" applyAlignment="1">
      <alignment horizontal="center" wrapText="1"/>
    </xf>
    <xf numFmtId="3" fontId="16" fillId="9" borderId="9" xfId="3" applyNumberFormat="1" applyFont="1" applyFill="1" applyBorder="1" applyAlignment="1">
      <alignment horizontal="center" wrapText="1"/>
    </xf>
    <xf numFmtId="0" fontId="15" fillId="10" borderId="8" xfId="2" applyFont="1" applyFill="1" applyBorder="1" applyAlignment="1">
      <alignment horizontal="center"/>
    </xf>
    <xf numFmtId="0" fontId="15" fillId="10" borderId="9" xfId="2" applyFont="1" applyFill="1" applyBorder="1" applyAlignment="1">
      <alignment horizontal="center"/>
    </xf>
    <xf numFmtId="0" fontId="51" fillId="0" borderId="0" xfId="92"/>
    <xf numFmtId="0" fontId="67" fillId="0" borderId="0" xfId="92" applyFont="1"/>
    <xf numFmtId="20" fontId="17" fillId="7" borderId="0" xfId="3" applyNumberFormat="1" applyFont="1" applyFill="1" applyBorder="1" applyAlignment="1">
      <alignment horizontal="center" wrapText="1"/>
    </xf>
    <xf numFmtId="0" fontId="43" fillId="0" borderId="0" xfId="67" applyFont="1"/>
    <xf numFmtId="0" fontId="41" fillId="0" borderId="0" xfId="67"/>
    <xf numFmtId="20" fontId="17" fillId="7" borderId="0" xfId="3" applyNumberFormat="1" applyFont="1" applyFill="1" applyBorder="1" applyAlignment="1">
      <alignment horizontal="left" wrapText="1"/>
    </xf>
    <xf numFmtId="20" fontId="17" fillId="7" borderId="100" xfId="3" applyNumberFormat="1" applyFont="1" applyFill="1" applyBorder="1" applyAlignment="1">
      <alignment horizontal="left" wrapText="1"/>
    </xf>
    <xf numFmtId="20" fontId="17" fillId="7" borderId="101" xfId="3" applyNumberFormat="1" applyFont="1" applyFill="1" applyBorder="1" applyAlignment="1">
      <alignment horizontal="left" wrapText="1"/>
    </xf>
    <xf numFmtId="1" fontId="3" fillId="10" borderId="101" xfId="3" applyNumberFormat="1" applyFont="1" applyFill="1" applyBorder="1" applyAlignment="1">
      <alignment horizontal="center"/>
    </xf>
    <xf numFmtId="1" fontId="2" fillId="10" borderId="101" xfId="3" applyNumberFormat="1" applyFont="1" applyFill="1" applyBorder="1" applyAlignment="1">
      <alignment horizontal="center"/>
    </xf>
    <xf numFmtId="0" fontId="47" fillId="9" borderId="0" xfId="67" applyFont="1" applyFill="1" applyBorder="1" applyAlignment="1">
      <alignment horizontal="left"/>
    </xf>
    <xf numFmtId="0" fontId="47" fillId="9" borderId="0" xfId="67" applyFont="1" applyFill="1" applyBorder="1" applyAlignment="1">
      <alignment horizontal="center"/>
    </xf>
    <xf numFmtId="1" fontId="51" fillId="0" borderId="0" xfId="92" applyNumberFormat="1"/>
    <xf numFmtId="164" fontId="47" fillId="9" borderId="0" xfId="67" applyNumberFormat="1" applyFont="1" applyFill="1" applyBorder="1" applyAlignment="1">
      <alignment horizontal="center"/>
    </xf>
    <xf numFmtId="0" fontId="51" fillId="0" borderId="0" xfId="92" applyAlignment="1">
      <alignment horizontal="center"/>
    </xf>
    <xf numFmtId="20" fontId="17" fillId="7" borderId="102" xfId="3" applyNumberFormat="1" applyFont="1" applyFill="1" applyBorder="1" applyAlignment="1">
      <alignment horizontal="left" wrapText="1"/>
    </xf>
    <xf numFmtId="20" fontId="17" fillId="7" borderId="103" xfId="3" applyNumberFormat="1" applyFont="1" applyFill="1" applyBorder="1" applyAlignment="1">
      <alignment horizontal="left" wrapText="1"/>
    </xf>
    <xf numFmtId="1" fontId="3" fillId="10" borderId="103" xfId="3" applyNumberFormat="1" applyFont="1" applyFill="1" applyBorder="1" applyAlignment="1">
      <alignment horizontal="center"/>
    </xf>
    <xf numFmtId="1" fontId="2" fillId="10" borderId="103" xfId="3" applyNumberFormat="1" applyFont="1" applyFill="1" applyBorder="1" applyAlignment="1">
      <alignment horizontal="center"/>
    </xf>
    <xf numFmtId="0" fontId="41" fillId="0" borderId="0" xfId="67" applyFill="1"/>
    <xf numFmtId="0" fontId="51" fillId="0" borderId="0" xfId="92" applyAlignment="1">
      <alignment horizontal="right"/>
    </xf>
    <xf numFmtId="0" fontId="41" fillId="0" borderId="0" xfId="6"/>
  </cellXfs>
  <cellStyles count="93">
    <cellStyle name="20% - Accent1 2" xfId="7"/>
    <cellStyle name="20% - Accent2 2" xfId="8"/>
    <cellStyle name="20% - Accent3 2" xfId="9"/>
    <cellStyle name="20% - Accent4 2" xfId="10"/>
    <cellStyle name="20% - Accent5 2" xfId="11"/>
    <cellStyle name="20% - Accent6 2" xfId="12"/>
    <cellStyle name="40% - Accent1 2" xfId="13"/>
    <cellStyle name="40% - Accent2 2" xfId="14"/>
    <cellStyle name="40% - Accent3 2" xfId="15"/>
    <cellStyle name="40% - Accent4 2" xfId="16"/>
    <cellStyle name="40% - Accent5 2" xfId="17"/>
    <cellStyle name="40% - Accent6 2" xfId="18"/>
    <cellStyle name="60% - Accent1 2" xfId="19"/>
    <cellStyle name="60% - Accent2 2" xfId="20"/>
    <cellStyle name="60% - Accent3 2" xfId="21"/>
    <cellStyle name="60% - Accent4 2" xfId="22"/>
    <cellStyle name="60% - Accent5 2" xfId="23"/>
    <cellStyle name="60% - Accent6 2" xfId="24"/>
    <cellStyle name="Accent1 2" xfId="25"/>
    <cellStyle name="Accent2 2" xfId="26"/>
    <cellStyle name="Accent3 2" xfId="27"/>
    <cellStyle name="Accent4 2" xfId="28"/>
    <cellStyle name="Accent5 2" xfId="29"/>
    <cellStyle name="Accent6 2" xfId="30"/>
    <cellStyle name="Bad 2" xfId="31"/>
    <cellStyle name="Calculation 2" xfId="32"/>
    <cellStyle name="Check Cell 2" xfId="33"/>
    <cellStyle name="Comma 2" xfId="34"/>
    <cellStyle name="Explanatory Text 2" xfId="35"/>
    <cellStyle name="Good 2" xfId="36"/>
    <cellStyle name="Heading 1 2" xfId="37"/>
    <cellStyle name="Heading 2 2" xfId="38"/>
    <cellStyle name="Heading 3 2" xfId="39"/>
    <cellStyle name="Heading 4 2" xfId="40"/>
    <cellStyle name="Hyperlink" xfId="4" builtinId="8"/>
    <cellStyle name="Hyperlink 2" xfId="41"/>
    <cellStyle name="Input 2" xfId="42"/>
    <cellStyle name="Linked Cell 2" xfId="43"/>
    <cellStyle name="Neutral 2" xfId="44"/>
    <cellStyle name="Normal" xfId="0" builtinId="0"/>
    <cellStyle name="Normal 2" xfId="6"/>
    <cellStyle name="Normal 2 2" xfId="45"/>
    <cellStyle name="Normal 2 2 2" xfId="46"/>
    <cellStyle name="Normal 2 2 2 2" xfId="47"/>
    <cellStyle name="Normal 2 2 3" xfId="48"/>
    <cellStyle name="Normal 2 2 3 2" xfId="49"/>
    <cellStyle name="Normal 2 2 4" xfId="3"/>
    <cellStyle name="Normal 2 2 4 2" xfId="50"/>
    <cellStyle name="Normal 2 2 5" xfId="51"/>
    <cellStyle name="Normal 2 3" xfId="52"/>
    <cellStyle name="Normal 3" xfId="53"/>
    <cellStyle name="Normal 3 2" xfId="54"/>
    <cellStyle name="Normal 3 2 2" xfId="55"/>
    <cellStyle name="Normal 3 2 2 2" xfId="56"/>
    <cellStyle name="Normal 3 2 3" xfId="57"/>
    <cellStyle name="Normal 3 2 3 2" xfId="58"/>
    <cellStyle name="Normal 3 2 4" xfId="59"/>
    <cellStyle name="Normal 3 3" xfId="60"/>
    <cellStyle name="Normal 3 3 2" xfId="61"/>
    <cellStyle name="Normal 3 3 2 2" xfId="62"/>
    <cellStyle name="Normal 3 3 3" xfId="63"/>
    <cellStyle name="Normal 3 3 3 2" xfId="64"/>
    <cellStyle name="Normal 3 3 4" xfId="2"/>
    <cellStyle name="Normal 3 3 4 2" xfId="65"/>
    <cellStyle name="Normal 3 3 5" xfId="66"/>
    <cellStyle name="Normal 3 4" xfId="67"/>
    <cellStyle name="Normal 3 5" xfId="68"/>
    <cellStyle name="Normal 3 5 2" xfId="69"/>
    <cellStyle name="Normal 3 6" xfId="70"/>
    <cellStyle name="Normal 3 6 2" xfId="71"/>
    <cellStyle name="Normal 3 7" xfId="72"/>
    <cellStyle name="Normal 3 7 2" xfId="73"/>
    <cellStyle name="Normal 3 8" xfId="74"/>
    <cellStyle name="Normal 3 9" xfId="75"/>
    <cellStyle name="Normal 4" xfId="91"/>
    <cellStyle name="Normal_office as built edit.xls" xfId="90"/>
    <cellStyle name="Normal_office interiors edit.xls" xfId="89"/>
    <cellStyle name="Normal_rainfall data" xfId="92"/>
    <cellStyle name="Note 2" xfId="76"/>
    <cellStyle name="Output 2" xfId="77"/>
    <cellStyle name="Percent" xfId="1" builtinId="5"/>
    <cellStyle name="Percent 2" xfId="78"/>
    <cellStyle name="Percent 2 2" xfId="79"/>
    <cellStyle name="Percent 2 2 2" xfId="80"/>
    <cellStyle name="Percent 2 3" xfId="81"/>
    <cellStyle name="Percent 2 3 2" xfId="82"/>
    <cellStyle name="Percent 2 4" xfId="5"/>
    <cellStyle name="Percent 2 4 2" xfId="83"/>
    <cellStyle name="Percent 2 5" xfId="84"/>
    <cellStyle name="Percent 3" xfId="85"/>
    <cellStyle name="Title 2" xfId="86"/>
    <cellStyle name="Total 2" xfId="87"/>
    <cellStyle name="Warning Text 2" xfId="88"/>
  </cellStyles>
  <dxfs count="30">
    <dxf>
      <font>
        <color theme="1" tint="0.24994659260841701"/>
      </font>
    </dxf>
    <dxf>
      <font>
        <color theme="1" tint="0.24994659260841701"/>
      </font>
      <fill>
        <patternFill>
          <bgColor theme="1" tint="0.24994659260841701"/>
        </patternFill>
      </fill>
      <border>
        <left/>
        <right/>
        <top/>
        <bottom/>
      </border>
    </dxf>
    <dxf>
      <font>
        <color theme="0" tint="-0.14996795556505021"/>
      </font>
      <fill>
        <patternFill>
          <bgColor theme="0" tint="-4.9989318521683403E-2"/>
        </patternFill>
      </fill>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border>
    </dxf>
    <dxf>
      <font>
        <color theme="1" tint="0.24994659260841701"/>
      </font>
      <fill>
        <patternFill>
          <bgColor theme="1" tint="0.24994659260841701"/>
        </patternFill>
      </fill>
      <border>
        <left/>
        <right/>
        <top/>
        <bottom/>
      </border>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vertical/>
        <horizontal/>
      </border>
    </dxf>
    <dxf>
      <font>
        <color theme="1" tint="0.24994659260841701"/>
      </font>
      <fill>
        <patternFill>
          <bgColor theme="1" tint="0.24994659260841701"/>
        </patternFill>
      </fill>
      <border>
        <left/>
        <right/>
        <top/>
        <bottom/>
      </border>
    </dxf>
    <dxf>
      <font>
        <color theme="1" tint="0.24994659260841701"/>
      </font>
    </dxf>
    <dxf>
      <font>
        <color theme="1" tint="0.24994659260841701"/>
      </font>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3743705557422"/>
        </left>
        <right style="thin">
          <color theme="0" tint="-0.14993743705557422"/>
        </right>
        <top style="thin">
          <color theme="0" tint="-0.14993743705557422"/>
        </top>
        <bottom style="thin">
          <color theme="0" tint="-0.14993743705557422"/>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1" tint="0.24994659260841701"/>
      </font>
    </dxf>
    <dxf>
      <font>
        <color theme="0" tint="-0.14996795556505021"/>
      </font>
      <fill>
        <patternFill>
          <bgColor theme="0" tint="-0.14996795556505021"/>
        </patternFill>
      </fill>
    </dxf>
    <dxf>
      <font>
        <color theme="0" tint="-0.14996795556505021"/>
      </font>
      <fill>
        <patternFill>
          <bgColor theme="0" tint="-4.9989318521683403E-2"/>
        </patternFill>
      </fill>
    </dxf>
  </dxfs>
  <tableStyles count="0" defaultTableStyle="TableStyleMedium2" defaultPivotStyle="PivotStyleLight16"/>
  <colors>
    <mruColors>
      <color rgb="FF404040"/>
      <color rgb="FF004536"/>
      <color rgb="FF969696"/>
      <color rgb="FFD47C1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Calculator'!$B$101</c:f>
          <c:strCache>
            <c:ptCount val="1"/>
            <c:pt idx="0">
              <c:v>Summary of occupant amenity water consumption</c:v>
            </c:pt>
          </c:strCache>
        </c:strRef>
      </c:tx>
      <c:layout>
        <c:manualLayout>
          <c:xMode val="edge"/>
          <c:yMode val="edge"/>
          <c:x val="0.10387303208649742"/>
          <c:y val="3.8495855153119082E-2"/>
        </c:manualLayout>
      </c:layout>
      <c:overlay val="1"/>
      <c:txPr>
        <a:bodyPr/>
        <a:lstStyle/>
        <a:p>
          <a:pPr>
            <a:defRPr lang="en-ZA" sz="1050">
              <a:latin typeface="Arial" pitchFamily="34" charset="0"/>
              <a:cs typeface="Arial" pitchFamily="34" charset="0"/>
            </a:defRPr>
          </a:pPr>
          <a:endParaRPr lang="en-US"/>
        </a:p>
      </c:txPr>
    </c:title>
    <c:autoTitleDeleted val="0"/>
    <c:plotArea>
      <c:layout>
        <c:manualLayout>
          <c:layoutTarget val="inner"/>
          <c:xMode val="edge"/>
          <c:yMode val="edge"/>
          <c:x val="0.11914788949464288"/>
          <c:y val="0.18685702083807221"/>
          <c:w val="0.67379005954810778"/>
          <c:h val="0.65680730469820015"/>
        </c:manualLayout>
      </c:layout>
      <c:barChart>
        <c:barDir val="col"/>
        <c:grouping val="stacked"/>
        <c:varyColors val="0"/>
        <c:ser>
          <c:idx val="4"/>
          <c:order val="0"/>
          <c:tx>
            <c:strRef>
              <c:f>'Potable Water Calculator'!$B$105</c:f>
              <c:strCache>
                <c:ptCount val="1"/>
                <c:pt idx="0">
                  <c:v>WC</c:v>
                </c:pt>
              </c:strCache>
            </c:strRef>
          </c:tx>
          <c:spPr>
            <a:solidFill>
              <a:schemeClr val="bg2">
                <a:lumMod val="25000"/>
              </a:schemeClr>
            </a:solidFill>
            <a:effectLst>
              <a:outerShdw blurRad="50800" dist="38100" dir="2700000" algn="tl" rotWithShape="0">
                <a:prstClr val="black">
                  <a:alpha val="40000"/>
                </a:prstClr>
              </a:outerShdw>
            </a:effectLst>
          </c:spPr>
          <c:invertIfNegative val="0"/>
          <c:cat>
            <c:strRef>
              <c:f>'Potable Water Calculator'!$M$4:$M$5</c:f>
              <c:strCache>
                <c:ptCount val="2"/>
                <c:pt idx="0">
                  <c:v>Not applicable</c:v>
                </c:pt>
                <c:pt idx="1">
                  <c:v>Notional Building</c:v>
                </c:pt>
              </c:strCache>
            </c:strRef>
          </c:cat>
          <c:val>
            <c:numRef>
              <c:f>'Potable Water Calculator'!$C$105:$D$105</c:f>
              <c:numCache>
                <c:formatCode>#,##0</c:formatCode>
                <c:ptCount val="2"/>
                <c:pt idx="1">
                  <c:v>0</c:v>
                </c:pt>
              </c:numCache>
            </c:numRef>
          </c:val>
        </c:ser>
        <c:ser>
          <c:idx val="0"/>
          <c:order val="1"/>
          <c:tx>
            <c:strRef>
              <c:f>'Potable Water Calculator'!$B$106</c:f>
              <c:strCache>
                <c:ptCount val="1"/>
                <c:pt idx="0">
                  <c:v>Urinals</c:v>
                </c:pt>
              </c:strCache>
            </c:strRef>
          </c:tx>
          <c:spPr>
            <a:solidFill>
              <a:schemeClr val="bg2">
                <a:lumMod val="50000"/>
              </a:schemeClr>
            </a:solidFill>
          </c:spPr>
          <c:invertIfNegative val="0"/>
          <c:cat>
            <c:strRef>
              <c:f>'Potable Water Calculator'!$M$4:$M$5</c:f>
              <c:strCache>
                <c:ptCount val="2"/>
                <c:pt idx="0">
                  <c:v>Not applicable</c:v>
                </c:pt>
                <c:pt idx="1">
                  <c:v>Notional Building</c:v>
                </c:pt>
              </c:strCache>
            </c:strRef>
          </c:cat>
          <c:val>
            <c:numRef>
              <c:f>'Potable Water Calculator'!$C$106:$D$106</c:f>
              <c:numCache>
                <c:formatCode>#,##0</c:formatCode>
                <c:ptCount val="2"/>
                <c:pt idx="1">
                  <c:v>0</c:v>
                </c:pt>
              </c:numCache>
            </c:numRef>
          </c:val>
        </c:ser>
        <c:ser>
          <c:idx val="1"/>
          <c:order val="2"/>
          <c:tx>
            <c:strRef>
              <c:f>'Potable Water Calculator'!$B$107</c:f>
              <c:strCache>
                <c:ptCount val="1"/>
                <c:pt idx="0">
                  <c:v>Indoor taps</c:v>
                </c:pt>
              </c:strCache>
            </c:strRef>
          </c:tx>
          <c:spPr>
            <a:solidFill>
              <a:schemeClr val="accent1">
                <a:lumMod val="75000"/>
              </a:schemeClr>
            </a:solidFill>
          </c:spPr>
          <c:invertIfNegative val="0"/>
          <c:cat>
            <c:strRef>
              <c:f>'Potable Water Calculator'!$M$4:$M$5</c:f>
              <c:strCache>
                <c:ptCount val="2"/>
                <c:pt idx="0">
                  <c:v>Not applicable</c:v>
                </c:pt>
                <c:pt idx="1">
                  <c:v>Notional Building</c:v>
                </c:pt>
              </c:strCache>
            </c:strRef>
          </c:cat>
          <c:val>
            <c:numRef>
              <c:f>'Potable Water Calculator'!$C$107:$D$107</c:f>
              <c:numCache>
                <c:formatCode>#,##0</c:formatCode>
                <c:ptCount val="2"/>
                <c:pt idx="1">
                  <c:v>0</c:v>
                </c:pt>
              </c:numCache>
            </c:numRef>
          </c:val>
        </c:ser>
        <c:ser>
          <c:idx val="2"/>
          <c:order val="3"/>
          <c:tx>
            <c:strRef>
              <c:f>'Potable Water Calculator'!$B$108</c:f>
              <c:strCache>
                <c:ptCount val="1"/>
                <c:pt idx="0">
                  <c:v>Showers</c:v>
                </c:pt>
              </c:strCache>
            </c:strRef>
          </c:tx>
          <c:spPr>
            <a:solidFill>
              <a:schemeClr val="tx2"/>
            </a:solidFill>
          </c:spPr>
          <c:invertIfNegative val="0"/>
          <c:cat>
            <c:strRef>
              <c:f>'Potable Water Calculator'!$M$4:$M$5</c:f>
              <c:strCache>
                <c:ptCount val="2"/>
                <c:pt idx="0">
                  <c:v>Not applicable</c:v>
                </c:pt>
                <c:pt idx="1">
                  <c:v>Notional Building</c:v>
                </c:pt>
              </c:strCache>
            </c:strRef>
          </c:cat>
          <c:val>
            <c:numRef>
              <c:f>'Potable Water Calculator'!$C$108:$D$108</c:f>
              <c:numCache>
                <c:formatCode>#,##0</c:formatCode>
                <c:ptCount val="2"/>
                <c:pt idx="1">
                  <c:v>0</c:v>
                </c:pt>
              </c:numCache>
            </c:numRef>
          </c:val>
        </c:ser>
        <c:dLbls>
          <c:showLegendKey val="0"/>
          <c:showVal val="0"/>
          <c:showCatName val="0"/>
          <c:showSerName val="0"/>
          <c:showPercent val="0"/>
          <c:showBubbleSize val="0"/>
        </c:dLbls>
        <c:gapWidth val="127"/>
        <c:overlap val="100"/>
        <c:axId val="332129864"/>
        <c:axId val="332132608"/>
      </c:barChart>
      <c:catAx>
        <c:axId val="332129864"/>
        <c:scaling>
          <c:orientation val="minMax"/>
        </c:scaling>
        <c:delete val="0"/>
        <c:axPos val="b"/>
        <c:numFmt formatCode="General" sourceLinked="1"/>
        <c:majorTickMark val="out"/>
        <c:minorTickMark val="none"/>
        <c:tickLblPos val="nextTo"/>
        <c:txPr>
          <a:bodyPr/>
          <a:lstStyle/>
          <a:p>
            <a:pPr>
              <a:defRPr lang="en-ZA" sz="1000" b="1">
                <a:latin typeface="Arial" pitchFamily="34" charset="0"/>
                <a:cs typeface="Arial" pitchFamily="34" charset="0"/>
              </a:defRPr>
            </a:pPr>
            <a:endParaRPr lang="en-US"/>
          </a:p>
        </c:txPr>
        <c:crossAx val="332132608"/>
        <c:crosses val="autoZero"/>
        <c:auto val="1"/>
        <c:lblAlgn val="ctr"/>
        <c:lblOffset val="100"/>
        <c:noMultiLvlLbl val="0"/>
      </c:catAx>
      <c:valAx>
        <c:axId val="332132608"/>
        <c:scaling>
          <c:orientation val="minMax"/>
        </c:scaling>
        <c:delete val="0"/>
        <c:axPos val="l"/>
        <c:majorGridlines/>
        <c:title>
          <c:tx>
            <c:strRef>
              <c:f>'Potable Water Calculator'!$C$104</c:f>
              <c:strCache>
                <c:ptCount val="1"/>
              </c:strCache>
            </c:strRef>
          </c:tx>
          <c:layout>
            <c:manualLayout>
              <c:xMode val="edge"/>
              <c:yMode val="edge"/>
              <c:x val="5.9720063378505116E-3"/>
              <c:y val="0.34179604211338388"/>
            </c:manualLayout>
          </c:layout>
          <c:overlay val="0"/>
          <c:txPr>
            <a:bodyPr rot="-5400000" vert="horz"/>
            <a:lstStyle/>
            <a:p>
              <a:pPr>
                <a:defRPr lang="en-ZA" sz="900">
                  <a:latin typeface="Arial" pitchFamily="34" charset="0"/>
                  <a:cs typeface="Arial" pitchFamily="34" charset="0"/>
                </a:defRPr>
              </a:pPr>
              <a:endParaRPr lang="en-US"/>
            </a:p>
          </c:txPr>
        </c:title>
        <c:numFmt formatCode="0" sourceLinked="0"/>
        <c:majorTickMark val="none"/>
        <c:minorTickMark val="none"/>
        <c:tickLblPos val="nextTo"/>
        <c:txPr>
          <a:bodyPr/>
          <a:lstStyle/>
          <a:p>
            <a:pPr>
              <a:defRPr lang="en-ZA" sz="700">
                <a:solidFill>
                  <a:schemeClr val="tx1">
                    <a:lumMod val="65000"/>
                    <a:lumOff val="35000"/>
                  </a:schemeClr>
                </a:solidFill>
                <a:latin typeface="Arial" pitchFamily="34" charset="0"/>
                <a:cs typeface="Arial" pitchFamily="34" charset="0"/>
              </a:defRPr>
            </a:pPr>
            <a:endParaRPr lang="en-US"/>
          </a:p>
        </c:txPr>
        <c:crossAx val="332129864"/>
        <c:crosses val="autoZero"/>
        <c:crossBetween val="between"/>
      </c:valAx>
      <c:spPr>
        <a:noFill/>
      </c:spPr>
    </c:plotArea>
    <c:legend>
      <c:legendPos val="r"/>
      <c:layout>
        <c:manualLayout>
          <c:xMode val="edge"/>
          <c:yMode val="edge"/>
          <c:x val="0.79624134828242199"/>
          <c:y val="0.38254648248967488"/>
          <c:w val="0.18123629691781445"/>
          <c:h val="0.333981152346841"/>
        </c:manualLayout>
      </c:layout>
      <c:overlay val="0"/>
      <c:spPr>
        <a:solidFill>
          <a:schemeClr val="bg1"/>
        </a:solidFill>
      </c:spPr>
      <c:txPr>
        <a:bodyPr/>
        <a:lstStyle/>
        <a:p>
          <a:pPr>
            <a:defRPr lang="en-ZA"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266" l="0.70000000000000062" r="0.70000000000000062" t="0.7500000000000126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Calculator'!$B$176</c:f>
          <c:strCache>
            <c:ptCount val="1"/>
            <c:pt idx="0">
              <c:v>Summary of Heat rejection water demand</c:v>
            </c:pt>
          </c:strCache>
        </c:strRef>
      </c:tx>
      <c:layout>
        <c:manualLayout>
          <c:xMode val="edge"/>
          <c:yMode val="edge"/>
          <c:x val="0.11581696042809"/>
          <c:y val="2.0991702479172682E-2"/>
        </c:manualLayout>
      </c:layout>
      <c:overlay val="1"/>
      <c:txPr>
        <a:bodyPr/>
        <a:lstStyle/>
        <a:p>
          <a:pPr>
            <a:defRPr lang="en-ZA" sz="1000">
              <a:latin typeface="Arial" pitchFamily="34" charset="0"/>
              <a:cs typeface="Arial" pitchFamily="34" charset="0"/>
            </a:defRPr>
          </a:pPr>
          <a:endParaRPr lang="en-US"/>
        </a:p>
      </c:txPr>
    </c:title>
    <c:autoTitleDeleted val="0"/>
    <c:plotArea>
      <c:layout>
        <c:manualLayout>
          <c:layoutTarget val="inner"/>
          <c:xMode val="edge"/>
          <c:yMode val="edge"/>
          <c:x val="0.12270985415124842"/>
          <c:y val="0.11426571564198347"/>
          <c:w val="0.83242469275627962"/>
          <c:h val="0.65831308857649784"/>
        </c:manualLayout>
      </c:layout>
      <c:barChart>
        <c:barDir val="col"/>
        <c:grouping val="clustered"/>
        <c:varyColors val="0"/>
        <c:ser>
          <c:idx val="2"/>
          <c:order val="0"/>
          <c:tx>
            <c:strRef>
              <c:f>'Potable Water Calculator'!$C$178</c:f>
              <c:strCache>
                <c:ptCount val="1"/>
              </c:strCache>
            </c:strRef>
          </c:tx>
          <c:spPr>
            <a:solidFill>
              <a:schemeClr val="accent3">
                <a:lumMod val="7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Calculator'!$C$180:$C$191</c:f>
              <c:numCache>
                <c:formatCode>General</c:formatCode>
                <c:ptCount val="12"/>
              </c:numCache>
            </c:numRef>
          </c:val>
        </c:ser>
        <c:ser>
          <c:idx val="0"/>
          <c:order val="1"/>
          <c:tx>
            <c:strRef>
              <c:f>'Potable Water Calculator'!$D$178</c:f>
              <c:strCache>
                <c:ptCount val="1"/>
                <c:pt idx="0">
                  <c:v>Notional Building</c:v>
                </c:pt>
              </c:strCache>
            </c:strRef>
          </c:tx>
          <c:spPr>
            <a:solidFill>
              <a:schemeClr val="bg2">
                <a:lumMod val="2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Calculator'!$D$180:$D$191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27"/>
        <c:axId val="332133784"/>
        <c:axId val="332127120"/>
      </c:barChart>
      <c:catAx>
        <c:axId val="332133784"/>
        <c:scaling>
          <c:orientation val="minMax"/>
        </c:scaling>
        <c:delete val="0"/>
        <c:axPos val="b"/>
        <c:numFmt formatCode="General" sourceLinked="1"/>
        <c:majorTickMark val="none"/>
        <c:minorTickMark val="none"/>
        <c:tickLblPos val="nextTo"/>
        <c:txPr>
          <a:bodyPr/>
          <a:lstStyle/>
          <a:p>
            <a:pPr>
              <a:defRPr lang="en-ZA" sz="800" b="0">
                <a:solidFill>
                  <a:schemeClr val="tx1">
                    <a:lumMod val="65000"/>
                    <a:lumOff val="35000"/>
                  </a:schemeClr>
                </a:solidFill>
                <a:latin typeface="Arial" pitchFamily="34" charset="0"/>
                <a:cs typeface="Arial" pitchFamily="34" charset="0"/>
              </a:defRPr>
            </a:pPr>
            <a:endParaRPr lang="en-US"/>
          </a:p>
        </c:txPr>
        <c:crossAx val="332127120"/>
        <c:crosses val="autoZero"/>
        <c:auto val="1"/>
        <c:lblAlgn val="ctr"/>
        <c:lblOffset val="100"/>
        <c:noMultiLvlLbl val="0"/>
      </c:catAx>
      <c:valAx>
        <c:axId val="332127120"/>
        <c:scaling>
          <c:orientation val="minMax"/>
        </c:scaling>
        <c:delete val="0"/>
        <c:axPos val="l"/>
        <c:majorGridlines/>
        <c:title>
          <c:tx>
            <c:strRef>
              <c:f>'Potable Water Calculator'!$C$179</c:f>
              <c:strCache>
                <c:ptCount val="1"/>
              </c:strCache>
            </c:strRef>
          </c:tx>
          <c:layout/>
          <c:overlay val="0"/>
          <c:txPr>
            <a:bodyPr rot="-5400000" vert="horz"/>
            <a:lstStyle/>
            <a:p>
              <a:pPr>
                <a:defRPr lang="en-ZA" sz="800">
                  <a:latin typeface="Arial" pitchFamily="34" charset="0"/>
                  <a:cs typeface="Arial" pitchFamily="34" charset="0"/>
                </a:defRPr>
              </a:pPr>
              <a:endParaRPr lang="en-US"/>
            </a:p>
          </c:txPr>
        </c:title>
        <c:numFmt formatCode="0" sourceLinked="0"/>
        <c:majorTickMark val="none"/>
        <c:minorTickMark val="none"/>
        <c:tickLblPos val="nextTo"/>
        <c:txPr>
          <a:bodyPr/>
          <a:lstStyle/>
          <a:p>
            <a:pPr>
              <a:defRPr lang="en-ZA" sz="700">
                <a:solidFill>
                  <a:schemeClr val="tx1">
                    <a:lumMod val="65000"/>
                    <a:lumOff val="35000"/>
                  </a:schemeClr>
                </a:solidFill>
                <a:latin typeface="Arial" pitchFamily="34" charset="0"/>
                <a:cs typeface="Arial" pitchFamily="34" charset="0"/>
              </a:defRPr>
            </a:pPr>
            <a:endParaRPr lang="en-US"/>
          </a:p>
        </c:txPr>
        <c:crossAx val="332133784"/>
        <c:crosses val="autoZero"/>
        <c:crossBetween val="between"/>
      </c:valAx>
      <c:spPr>
        <a:noFill/>
      </c:spPr>
    </c:plotArea>
    <c:legend>
      <c:legendPos val="b"/>
      <c:layout/>
      <c:overlay val="0"/>
      <c:spPr>
        <a:solidFill>
          <a:schemeClr val="bg1"/>
        </a:solidFill>
      </c:spPr>
      <c:txPr>
        <a:bodyPr/>
        <a:lstStyle/>
        <a:p>
          <a:pPr>
            <a:defRPr lang="en-ZA"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288" l="0.70000000000000062" r="0.70000000000000062" t="0.75000000000001288"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Calculator'!$B$204</c:f>
          <c:strCache>
            <c:ptCount val="1"/>
            <c:pt idx="0">
              <c:v>Summary of Irrigation Water Demand</c:v>
            </c:pt>
          </c:strCache>
        </c:strRef>
      </c:tx>
      <c:layout>
        <c:manualLayout>
          <c:xMode val="edge"/>
          <c:yMode val="edge"/>
          <c:x val="0.11581696042809"/>
          <c:y val="2.0991702479172696E-2"/>
        </c:manualLayout>
      </c:layout>
      <c:overlay val="1"/>
      <c:txPr>
        <a:bodyPr/>
        <a:lstStyle/>
        <a:p>
          <a:pPr>
            <a:defRPr lang="en-ZA" sz="1000">
              <a:latin typeface="Arial" pitchFamily="34" charset="0"/>
              <a:cs typeface="Arial" pitchFamily="34" charset="0"/>
            </a:defRPr>
          </a:pPr>
          <a:endParaRPr lang="en-US"/>
        </a:p>
      </c:txPr>
    </c:title>
    <c:autoTitleDeleted val="0"/>
    <c:plotArea>
      <c:layout>
        <c:manualLayout>
          <c:layoutTarget val="inner"/>
          <c:xMode val="edge"/>
          <c:yMode val="edge"/>
          <c:x val="9.4033079230224345E-2"/>
          <c:y val="0.11426571564198353"/>
          <c:w val="0.86110141834945253"/>
          <c:h val="0.66245576752619495"/>
        </c:manualLayout>
      </c:layout>
      <c:barChart>
        <c:barDir val="col"/>
        <c:grouping val="clustered"/>
        <c:varyColors val="0"/>
        <c:ser>
          <c:idx val="2"/>
          <c:order val="0"/>
          <c:tx>
            <c:strRef>
              <c:f>'Potable Water Calculator'!$D$206</c:f>
              <c:strCache>
                <c:ptCount val="1"/>
              </c:strCache>
            </c:strRef>
          </c:tx>
          <c:spPr>
            <a:solidFill>
              <a:schemeClr val="accent3">
                <a:lumMod val="7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Calculator'!$D$207:$D$218</c:f>
              <c:numCache>
                <c:formatCode>#,##0</c:formatCode>
                <c:ptCount val="12"/>
              </c:numCache>
            </c:numRef>
          </c:val>
        </c:ser>
        <c:ser>
          <c:idx val="0"/>
          <c:order val="1"/>
          <c:tx>
            <c:strRef>
              <c:f>'Potable Water Calculator'!$E$206</c:f>
              <c:strCache>
                <c:ptCount val="1"/>
                <c:pt idx="0">
                  <c:v>Notional Building</c:v>
                </c:pt>
              </c:strCache>
            </c:strRef>
          </c:tx>
          <c:spPr>
            <a:solidFill>
              <a:schemeClr val="bg2">
                <a:lumMod val="2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Calculator'!$E$207:$E$218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27"/>
        <c:axId val="332130256"/>
        <c:axId val="332128296"/>
      </c:barChart>
      <c:catAx>
        <c:axId val="332130256"/>
        <c:scaling>
          <c:orientation val="minMax"/>
        </c:scaling>
        <c:delete val="0"/>
        <c:axPos val="b"/>
        <c:numFmt formatCode="General" sourceLinked="1"/>
        <c:majorTickMark val="none"/>
        <c:minorTickMark val="none"/>
        <c:tickLblPos val="nextTo"/>
        <c:txPr>
          <a:bodyPr/>
          <a:lstStyle/>
          <a:p>
            <a:pPr>
              <a:defRPr lang="en-ZA" sz="800" b="0">
                <a:solidFill>
                  <a:schemeClr val="tx1">
                    <a:lumMod val="65000"/>
                    <a:lumOff val="35000"/>
                  </a:schemeClr>
                </a:solidFill>
                <a:latin typeface="Arial" pitchFamily="34" charset="0"/>
                <a:cs typeface="Arial" pitchFamily="34" charset="0"/>
              </a:defRPr>
            </a:pPr>
            <a:endParaRPr lang="en-US"/>
          </a:p>
        </c:txPr>
        <c:crossAx val="332128296"/>
        <c:crosses val="autoZero"/>
        <c:auto val="1"/>
        <c:lblAlgn val="ctr"/>
        <c:lblOffset val="100"/>
        <c:noMultiLvlLbl val="0"/>
      </c:catAx>
      <c:valAx>
        <c:axId val="332128296"/>
        <c:scaling>
          <c:orientation val="minMax"/>
        </c:scaling>
        <c:delete val="0"/>
        <c:axPos val="l"/>
        <c:majorGridlines/>
        <c:title>
          <c:tx>
            <c:strRef>
              <c:f>'Potable Water Calculator'!$C$179</c:f>
              <c:strCache>
                <c:ptCount val="1"/>
              </c:strCache>
            </c:strRef>
          </c:tx>
          <c:layout/>
          <c:overlay val="0"/>
          <c:txPr>
            <a:bodyPr rot="-5400000" vert="horz"/>
            <a:lstStyle/>
            <a:p>
              <a:pPr>
                <a:defRPr lang="en-ZA" sz="800">
                  <a:latin typeface="Arial" pitchFamily="34" charset="0"/>
                  <a:cs typeface="Arial" pitchFamily="34" charset="0"/>
                </a:defRPr>
              </a:pPr>
              <a:endParaRPr lang="en-US"/>
            </a:p>
          </c:txPr>
        </c:title>
        <c:numFmt formatCode="0" sourceLinked="0"/>
        <c:majorTickMark val="none"/>
        <c:minorTickMark val="none"/>
        <c:tickLblPos val="nextTo"/>
        <c:txPr>
          <a:bodyPr/>
          <a:lstStyle/>
          <a:p>
            <a:pPr>
              <a:defRPr lang="en-ZA" sz="700">
                <a:solidFill>
                  <a:schemeClr val="tx1">
                    <a:lumMod val="65000"/>
                    <a:lumOff val="35000"/>
                  </a:schemeClr>
                </a:solidFill>
                <a:latin typeface="Arial" pitchFamily="34" charset="0"/>
                <a:cs typeface="Arial" pitchFamily="34" charset="0"/>
              </a:defRPr>
            </a:pPr>
            <a:endParaRPr lang="en-US"/>
          </a:p>
        </c:txPr>
        <c:crossAx val="332130256"/>
        <c:crosses val="autoZero"/>
        <c:crossBetween val="between"/>
      </c:valAx>
      <c:spPr>
        <a:noFill/>
      </c:spPr>
    </c:plotArea>
    <c:legend>
      <c:legendPos val="b"/>
      <c:layout/>
      <c:overlay val="0"/>
      <c:spPr>
        <a:solidFill>
          <a:schemeClr val="bg1"/>
        </a:solidFill>
      </c:spPr>
      <c:txPr>
        <a:bodyPr/>
        <a:lstStyle/>
        <a:p>
          <a:pPr>
            <a:defRPr lang="en-ZA"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31" l="0.70000000000000062" r="0.70000000000000062" t="0.7500000000000131"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Calculator'!$B$333</c:f>
          <c:strCache>
            <c:ptCount val="1"/>
            <c:pt idx="0">
              <c:v>Summary of Water Demands</c:v>
            </c:pt>
          </c:strCache>
        </c:strRef>
      </c:tx>
      <c:layout>
        <c:manualLayout>
          <c:xMode val="edge"/>
          <c:yMode val="edge"/>
          <c:x val="0.11581696042809"/>
          <c:y val="2.0991702479172706E-2"/>
        </c:manualLayout>
      </c:layout>
      <c:overlay val="1"/>
      <c:txPr>
        <a:bodyPr/>
        <a:lstStyle/>
        <a:p>
          <a:pPr>
            <a:defRPr lang="en-ZA" sz="1000">
              <a:latin typeface="Arial" pitchFamily="34" charset="0"/>
              <a:cs typeface="Arial" pitchFamily="34" charset="0"/>
            </a:defRPr>
          </a:pPr>
          <a:endParaRPr lang="en-US"/>
        </a:p>
      </c:txPr>
    </c:title>
    <c:autoTitleDeleted val="0"/>
    <c:plotArea>
      <c:layout>
        <c:manualLayout>
          <c:layoutTarget val="inner"/>
          <c:xMode val="edge"/>
          <c:yMode val="edge"/>
          <c:x val="8.3233295354250766E-2"/>
          <c:y val="0.11426571564198358"/>
          <c:w val="0.87190133243520163"/>
          <c:h val="0.68594465386312431"/>
        </c:manualLayout>
      </c:layout>
      <c:barChart>
        <c:barDir val="col"/>
        <c:grouping val="clustered"/>
        <c:varyColors val="0"/>
        <c:ser>
          <c:idx val="2"/>
          <c:order val="0"/>
          <c:tx>
            <c:strRef>
              <c:f>'Potable Water Calculator'!$D$206</c:f>
              <c:strCache>
                <c:ptCount val="1"/>
              </c:strCache>
            </c:strRef>
          </c:tx>
          <c:spPr>
            <a:solidFill>
              <a:schemeClr val="accent3">
                <a:lumMod val="75000"/>
              </a:schemeClr>
            </a:solidFill>
          </c:spPr>
          <c:invertIfNegative val="0"/>
          <c:cat>
            <c:strRef>
              <c:f>'Potable Water Calculator'!$B$337:$B$348</c:f>
              <c:strCache>
                <c:ptCount val="12"/>
                <c:pt idx="0">
                  <c:v>WC</c:v>
                </c:pt>
                <c:pt idx="1">
                  <c:v>Urinals</c:v>
                </c:pt>
                <c:pt idx="2">
                  <c:v>Indoor taps</c:v>
                </c:pt>
                <c:pt idx="3">
                  <c:v>Showers</c:v>
                </c:pt>
                <c:pt idx="4">
                  <c:v>Heat Rejection</c:v>
                </c:pt>
                <c:pt idx="5">
                  <c:v>Irrigation</c:v>
                </c:pt>
                <c:pt idx="6">
                  <c:v>Swimming pool</c:v>
                </c:pt>
                <c:pt idx="7">
                  <c:v>Laundry Facilities</c:v>
                </c:pt>
                <c:pt idx="8">
                  <c:v>Large Kitchens</c:v>
                </c:pt>
                <c:pt idx="9">
                  <c:v>{Other Water Use 1}</c:v>
                </c:pt>
                <c:pt idx="10">
                  <c:v>{Other Water Use 2}</c:v>
                </c:pt>
                <c:pt idx="11">
                  <c:v>{Other Water Use 3}</c:v>
                </c:pt>
              </c:strCache>
            </c:strRef>
          </c:cat>
          <c:val>
            <c:numRef>
              <c:f>'Potable Water Calculator'!$C$337:$C$348</c:f>
              <c:numCache>
                <c:formatCode>#,##0</c:formatCode>
                <c:ptCount val="12"/>
              </c:numCache>
            </c:numRef>
          </c:val>
        </c:ser>
        <c:ser>
          <c:idx val="0"/>
          <c:order val="1"/>
          <c:tx>
            <c:strRef>
              <c:f>'Potable Water Calculator'!$E$206</c:f>
              <c:strCache>
                <c:ptCount val="1"/>
                <c:pt idx="0">
                  <c:v>Notional Building</c:v>
                </c:pt>
              </c:strCache>
            </c:strRef>
          </c:tx>
          <c:spPr>
            <a:solidFill>
              <a:schemeClr val="bg2">
                <a:lumMod val="25000"/>
              </a:schemeClr>
            </a:solidFill>
          </c:spPr>
          <c:invertIfNegative val="0"/>
          <c:cat>
            <c:strRef>
              <c:f>'Potable Water Calculator'!$B$337:$B$348</c:f>
              <c:strCache>
                <c:ptCount val="12"/>
                <c:pt idx="0">
                  <c:v>WC</c:v>
                </c:pt>
                <c:pt idx="1">
                  <c:v>Urinals</c:v>
                </c:pt>
                <c:pt idx="2">
                  <c:v>Indoor taps</c:v>
                </c:pt>
                <c:pt idx="3">
                  <c:v>Showers</c:v>
                </c:pt>
                <c:pt idx="4">
                  <c:v>Heat Rejection</c:v>
                </c:pt>
                <c:pt idx="5">
                  <c:v>Irrigation</c:v>
                </c:pt>
                <c:pt idx="6">
                  <c:v>Swimming pool</c:v>
                </c:pt>
                <c:pt idx="7">
                  <c:v>Laundry Facilities</c:v>
                </c:pt>
                <c:pt idx="8">
                  <c:v>Large Kitchens</c:v>
                </c:pt>
                <c:pt idx="9">
                  <c:v>{Other Water Use 1}</c:v>
                </c:pt>
                <c:pt idx="10">
                  <c:v>{Other Water Use 2}</c:v>
                </c:pt>
                <c:pt idx="11">
                  <c:v>{Other Water Use 3}</c:v>
                </c:pt>
              </c:strCache>
            </c:strRef>
          </c:cat>
          <c:val>
            <c:numRef>
              <c:f>'Potable Water Calculator'!$D$337:$D$348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27"/>
        <c:axId val="289390576"/>
        <c:axId val="289389008"/>
      </c:barChart>
      <c:catAx>
        <c:axId val="289390576"/>
        <c:scaling>
          <c:orientation val="minMax"/>
        </c:scaling>
        <c:delete val="0"/>
        <c:axPos val="b"/>
        <c:numFmt formatCode="General" sourceLinked="1"/>
        <c:majorTickMark val="none"/>
        <c:minorTickMark val="none"/>
        <c:tickLblPos val="nextTo"/>
        <c:txPr>
          <a:bodyPr/>
          <a:lstStyle/>
          <a:p>
            <a:pPr>
              <a:defRPr lang="en-ZA" sz="800" b="0">
                <a:solidFill>
                  <a:schemeClr val="tx1">
                    <a:lumMod val="65000"/>
                    <a:lumOff val="35000"/>
                  </a:schemeClr>
                </a:solidFill>
                <a:latin typeface="Arial" pitchFamily="34" charset="0"/>
                <a:cs typeface="Arial" pitchFamily="34" charset="0"/>
              </a:defRPr>
            </a:pPr>
            <a:endParaRPr lang="en-US"/>
          </a:p>
        </c:txPr>
        <c:crossAx val="289389008"/>
        <c:crosses val="autoZero"/>
        <c:auto val="1"/>
        <c:lblAlgn val="ctr"/>
        <c:lblOffset val="100"/>
        <c:noMultiLvlLbl val="0"/>
      </c:catAx>
      <c:valAx>
        <c:axId val="289389008"/>
        <c:scaling>
          <c:orientation val="minMax"/>
        </c:scaling>
        <c:delete val="0"/>
        <c:axPos val="l"/>
        <c:majorGridlines/>
        <c:title>
          <c:tx>
            <c:strRef>
              <c:f>'Potable Water Calculator'!$C$179</c:f>
              <c:strCache>
                <c:ptCount val="1"/>
              </c:strCache>
            </c:strRef>
          </c:tx>
          <c:overlay val="0"/>
          <c:txPr>
            <a:bodyPr rot="-5400000" vert="horz"/>
            <a:lstStyle/>
            <a:p>
              <a:pPr>
                <a:defRPr lang="en-ZA" sz="800">
                  <a:latin typeface="Arial" pitchFamily="34" charset="0"/>
                  <a:cs typeface="Arial" pitchFamily="34" charset="0"/>
                </a:defRPr>
              </a:pPr>
              <a:endParaRPr lang="en-US"/>
            </a:p>
          </c:txPr>
        </c:title>
        <c:numFmt formatCode="0" sourceLinked="0"/>
        <c:majorTickMark val="none"/>
        <c:minorTickMark val="none"/>
        <c:tickLblPos val="nextTo"/>
        <c:txPr>
          <a:bodyPr/>
          <a:lstStyle/>
          <a:p>
            <a:pPr>
              <a:defRPr lang="en-ZA" sz="700">
                <a:solidFill>
                  <a:schemeClr val="tx1">
                    <a:lumMod val="65000"/>
                    <a:lumOff val="35000"/>
                  </a:schemeClr>
                </a:solidFill>
                <a:latin typeface="Arial" pitchFamily="34" charset="0"/>
                <a:cs typeface="Arial" pitchFamily="34" charset="0"/>
              </a:defRPr>
            </a:pPr>
            <a:endParaRPr lang="en-US"/>
          </a:p>
        </c:txPr>
        <c:crossAx val="289390576"/>
        <c:crosses val="autoZero"/>
        <c:crossBetween val="between"/>
      </c:valAx>
      <c:spPr>
        <a:noFill/>
      </c:spPr>
    </c:plotArea>
    <c:legend>
      <c:legendPos val="b"/>
      <c:layout>
        <c:manualLayout>
          <c:xMode val="edge"/>
          <c:yMode val="edge"/>
          <c:x val="0.2476137430186329"/>
          <c:y val="0.92645414164771756"/>
          <c:w val="0.49206149032749102"/>
          <c:h val="7.3545858352281585E-2"/>
        </c:manualLayout>
      </c:layout>
      <c:overlay val="0"/>
      <c:spPr>
        <a:solidFill>
          <a:schemeClr val="bg1"/>
        </a:solidFill>
      </c:spPr>
      <c:txPr>
        <a:bodyPr/>
        <a:lstStyle/>
        <a:p>
          <a:pPr>
            <a:defRPr lang="en-ZA"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332" l="0.70000000000000062" r="0.70000000000000062" t="0.75000000000001332"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Calculator'!$B$333</c:f>
          <c:strCache>
            <c:ptCount val="1"/>
            <c:pt idx="0">
              <c:v>Summary of Water Demands</c:v>
            </c:pt>
          </c:strCache>
        </c:strRef>
      </c:tx>
      <c:layout>
        <c:manualLayout>
          <c:xMode val="edge"/>
          <c:yMode val="edge"/>
          <c:x val="0.11581696042809"/>
          <c:y val="2.0991702479172706E-2"/>
        </c:manualLayout>
      </c:layout>
      <c:overlay val="1"/>
      <c:txPr>
        <a:bodyPr/>
        <a:lstStyle/>
        <a:p>
          <a:pPr>
            <a:defRPr lang="en-ZA" sz="1000">
              <a:latin typeface="Arial" pitchFamily="34" charset="0"/>
              <a:cs typeface="Arial" pitchFamily="34" charset="0"/>
            </a:defRPr>
          </a:pPr>
          <a:endParaRPr lang="en-US"/>
        </a:p>
      </c:txPr>
    </c:title>
    <c:autoTitleDeleted val="0"/>
    <c:plotArea>
      <c:layout>
        <c:manualLayout>
          <c:layoutTarget val="inner"/>
          <c:xMode val="edge"/>
          <c:yMode val="edge"/>
          <c:x val="8.3233295354250766E-2"/>
          <c:y val="0.11426571564198358"/>
          <c:w val="0.87190133243520163"/>
          <c:h val="0.68594465386312431"/>
        </c:manualLayout>
      </c:layout>
      <c:barChart>
        <c:barDir val="col"/>
        <c:grouping val="clustered"/>
        <c:varyColors val="0"/>
        <c:ser>
          <c:idx val="2"/>
          <c:order val="0"/>
          <c:tx>
            <c:strRef>
              <c:f>'Potable Water Calculator'!$D$206</c:f>
              <c:strCache>
                <c:ptCount val="1"/>
              </c:strCache>
            </c:strRef>
          </c:tx>
          <c:spPr>
            <a:solidFill>
              <a:schemeClr val="accent3">
                <a:lumMod val="7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Calculator'!$C$351:$C$362</c:f>
              <c:numCache>
                <c:formatCode>#,##0</c:formatCode>
                <c:ptCount val="12"/>
              </c:numCache>
            </c:numRef>
          </c:val>
        </c:ser>
        <c:ser>
          <c:idx val="0"/>
          <c:order val="1"/>
          <c:tx>
            <c:strRef>
              <c:f>'Potable Water Calculator'!$E$206</c:f>
              <c:strCache>
                <c:ptCount val="1"/>
                <c:pt idx="0">
                  <c:v>Notional Building</c:v>
                </c:pt>
              </c:strCache>
            </c:strRef>
          </c:tx>
          <c:spPr>
            <a:solidFill>
              <a:schemeClr val="bg2">
                <a:lumMod val="25000"/>
              </a:schemeClr>
            </a:solidFill>
          </c:spPr>
          <c:invertIfNegative val="0"/>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Calculator'!$D$351:$D$362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27"/>
        <c:axId val="289389792"/>
        <c:axId val="289388224"/>
      </c:barChart>
      <c:catAx>
        <c:axId val="289389792"/>
        <c:scaling>
          <c:orientation val="minMax"/>
        </c:scaling>
        <c:delete val="0"/>
        <c:axPos val="b"/>
        <c:numFmt formatCode="General" sourceLinked="1"/>
        <c:majorTickMark val="none"/>
        <c:minorTickMark val="none"/>
        <c:tickLblPos val="nextTo"/>
        <c:txPr>
          <a:bodyPr/>
          <a:lstStyle/>
          <a:p>
            <a:pPr>
              <a:defRPr lang="en-ZA" sz="800" b="0">
                <a:solidFill>
                  <a:schemeClr val="tx1">
                    <a:lumMod val="65000"/>
                    <a:lumOff val="35000"/>
                  </a:schemeClr>
                </a:solidFill>
                <a:latin typeface="Arial" pitchFamily="34" charset="0"/>
                <a:cs typeface="Arial" pitchFamily="34" charset="0"/>
              </a:defRPr>
            </a:pPr>
            <a:endParaRPr lang="en-US"/>
          </a:p>
        </c:txPr>
        <c:crossAx val="289388224"/>
        <c:crosses val="autoZero"/>
        <c:auto val="1"/>
        <c:lblAlgn val="ctr"/>
        <c:lblOffset val="100"/>
        <c:noMultiLvlLbl val="0"/>
      </c:catAx>
      <c:valAx>
        <c:axId val="289388224"/>
        <c:scaling>
          <c:orientation val="minMax"/>
        </c:scaling>
        <c:delete val="0"/>
        <c:axPos val="l"/>
        <c:majorGridlines/>
        <c:title>
          <c:tx>
            <c:strRef>
              <c:f>'Potable Water Calculator'!$C$179</c:f>
              <c:strCache>
                <c:ptCount val="1"/>
              </c:strCache>
            </c:strRef>
          </c:tx>
          <c:overlay val="0"/>
          <c:txPr>
            <a:bodyPr rot="-5400000" vert="horz"/>
            <a:lstStyle/>
            <a:p>
              <a:pPr>
                <a:defRPr lang="en-ZA" sz="800">
                  <a:latin typeface="Arial" pitchFamily="34" charset="0"/>
                  <a:cs typeface="Arial" pitchFamily="34" charset="0"/>
                </a:defRPr>
              </a:pPr>
              <a:endParaRPr lang="en-US"/>
            </a:p>
          </c:txPr>
        </c:title>
        <c:numFmt formatCode="0" sourceLinked="0"/>
        <c:majorTickMark val="none"/>
        <c:minorTickMark val="none"/>
        <c:tickLblPos val="nextTo"/>
        <c:txPr>
          <a:bodyPr/>
          <a:lstStyle/>
          <a:p>
            <a:pPr>
              <a:defRPr lang="en-ZA" sz="700">
                <a:solidFill>
                  <a:schemeClr val="tx1">
                    <a:lumMod val="65000"/>
                    <a:lumOff val="35000"/>
                  </a:schemeClr>
                </a:solidFill>
                <a:latin typeface="Arial" pitchFamily="34" charset="0"/>
                <a:cs typeface="Arial" pitchFamily="34" charset="0"/>
              </a:defRPr>
            </a:pPr>
            <a:endParaRPr lang="en-US"/>
          </a:p>
        </c:txPr>
        <c:crossAx val="289389792"/>
        <c:crosses val="autoZero"/>
        <c:crossBetween val="between"/>
      </c:valAx>
      <c:spPr>
        <a:noFill/>
      </c:spPr>
    </c:plotArea>
    <c:legend>
      <c:legendPos val="b"/>
      <c:overlay val="0"/>
      <c:spPr>
        <a:solidFill>
          <a:schemeClr val="bg1"/>
        </a:solidFill>
      </c:spPr>
      <c:txPr>
        <a:bodyPr/>
        <a:lstStyle/>
        <a:p>
          <a:pPr>
            <a:defRPr lang="en-ZA"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332" l="0.70000000000000062" r="0.70000000000000062" t="0.75000000000001332"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'Potable Water Calculator'!$D$31</c:f>
          <c:strCache>
            <c:ptCount val="1"/>
            <c:pt idx="0">
              <c:v>Johannesburg</c:v>
            </c:pt>
          </c:strCache>
        </c:strRef>
      </c:tx>
      <c:layout>
        <c:manualLayout>
          <c:xMode val="edge"/>
          <c:yMode val="edge"/>
          <c:x val="8.4957302808821536E-2"/>
          <c:y val="2.1154669481184031E-2"/>
        </c:manualLayout>
      </c:layout>
      <c:overlay val="0"/>
      <c:txPr>
        <a:bodyPr/>
        <a:lstStyle/>
        <a:p>
          <a:pPr>
            <a:defRPr lang="en-ZA" sz="1000">
              <a:latin typeface="Arial" pitchFamily="34" charset="0"/>
              <a:cs typeface="Arial" pitchFamily="34" charset="0"/>
            </a:defRPr>
          </a:pPr>
          <a:endParaRPr lang="en-US"/>
        </a:p>
      </c:txPr>
    </c:title>
    <c:autoTitleDeleted val="0"/>
    <c:plotArea>
      <c:layout>
        <c:manualLayout>
          <c:layoutTarget val="inner"/>
          <c:xMode val="edge"/>
          <c:yMode val="edge"/>
          <c:x val="9.4695042513364275E-2"/>
          <c:y val="0.13814196640074061"/>
          <c:w val="0.85970451388890423"/>
          <c:h val="0.65283111111112202"/>
        </c:manualLayout>
      </c:layout>
      <c:barChart>
        <c:barDir val="col"/>
        <c:grouping val="clustered"/>
        <c:varyColors val="0"/>
        <c:ser>
          <c:idx val="1"/>
          <c:order val="1"/>
          <c:tx>
            <c:strRef>
              <c:f>'Potable Water Calculator'!$C$206</c:f>
              <c:strCache>
                <c:ptCount val="1"/>
                <c:pt idx="0">
                  <c:v>Irrigation Schedule</c:v>
                </c:pt>
              </c:strCache>
            </c:strRef>
          </c:tx>
          <c:spPr>
            <a:solidFill>
              <a:srgbClr val="006600"/>
            </a:solidFill>
          </c:spPr>
          <c:invertIfNegative val="0"/>
          <c:val>
            <c:numRef>
              <c:f>'Potable Water Calculator'!$C$207:$C$218</c:f>
              <c:numCache>
                <c:formatCode>0%</c:formatCode>
                <c:ptCount val="12"/>
                <c:pt idx="0">
                  <c:v>0.5</c:v>
                </c:pt>
                <c:pt idx="1">
                  <c:v>0.5</c:v>
                </c:pt>
                <c:pt idx="2">
                  <c:v>0.5</c:v>
                </c:pt>
                <c:pt idx="3">
                  <c:v>1</c:v>
                </c:pt>
                <c:pt idx="4">
                  <c:v>1</c:v>
                </c:pt>
                <c:pt idx="5">
                  <c:v>1</c:v>
                </c:pt>
                <c:pt idx="6">
                  <c:v>1</c:v>
                </c:pt>
                <c:pt idx="7">
                  <c:v>1</c:v>
                </c:pt>
                <c:pt idx="8">
                  <c:v>1</c:v>
                </c:pt>
                <c:pt idx="9">
                  <c:v>0.5</c:v>
                </c:pt>
                <c:pt idx="10">
                  <c:v>0.5</c:v>
                </c:pt>
                <c:pt idx="11">
                  <c:v>0.5</c:v>
                </c:pt>
              </c:numCache>
            </c:numRef>
          </c:val>
        </c:ser>
        <c:dLbls>
          <c:showLegendKey val="0"/>
          <c:showVal val="0"/>
          <c:showCatName val="0"/>
          <c:showSerName val="0"/>
          <c:showPercent val="0"/>
          <c:showBubbleSize val="0"/>
        </c:dLbls>
        <c:gapWidth val="150"/>
        <c:axId val="338694072"/>
        <c:axId val="338696816"/>
      </c:barChart>
      <c:lineChart>
        <c:grouping val="standard"/>
        <c:varyColors val="0"/>
        <c:ser>
          <c:idx val="0"/>
          <c:order val="0"/>
          <c:tx>
            <c:strRef>
              <c:f>'Potable Water Calculator'!$D$34:$D$35</c:f>
              <c:strCache>
                <c:ptCount val="2"/>
                <c:pt idx="0">
                  <c:v>Average rainfall</c:v>
                </c:pt>
                <c:pt idx="1">
                  <c:v>(mm/month)</c:v>
                </c:pt>
              </c:strCache>
            </c:strRef>
          </c:tx>
          <c:spPr>
            <a:ln>
              <a:solidFill>
                <a:srgbClr val="0000FF"/>
              </a:solidFill>
            </a:ln>
          </c:spPr>
          <c:marker>
            <c:symbol val="none"/>
          </c:marker>
          <c:dLbls>
            <c:delete val="1"/>
          </c:dLbls>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Ref>
              <c:f>'Potable Water Calculator'!$D$36:$D$47</c:f>
              <c:numCache>
                <c:formatCode>#,##0</c:formatCode>
                <c:ptCount val="12"/>
                <c:pt idx="0">
                  <c:v>125</c:v>
                </c:pt>
                <c:pt idx="1">
                  <c:v>90</c:v>
                </c:pt>
                <c:pt idx="2">
                  <c:v>91</c:v>
                </c:pt>
                <c:pt idx="3">
                  <c:v>54</c:v>
                </c:pt>
                <c:pt idx="4">
                  <c:v>13</c:v>
                </c:pt>
                <c:pt idx="5">
                  <c:v>9</c:v>
                </c:pt>
                <c:pt idx="6">
                  <c:v>4</c:v>
                </c:pt>
                <c:pt idx="7">
                  <c:v>6</c:v>
                </c:pt>
                <c:pt idx="8">
                  <c:v>27</c:v>
                </c:pt>
                <c:pt idx="9">
                  <c:v>72</c:v>
                </c:pt>
                <c:pt idx="10">
                  <c:v>117</c:v>
                </c:pt>
                <c:pt idx="11">
                  <c:v>105</c:v>
                </c:pt>
              </c:numCache>
            </c:numRef>
          </c:val>
          <c:smooth val="0"/>
        </c:ser>
        <c:dLbls>
          <c:showLegendKey val="0"/>
          <c:showVal val="1"/>
          <c:showCatName val="0"/>
          <c:showSerName val="0"/>
          <c:showPercent val="0"/>
          <c:showBubbleSize val="0"/>
        </c:dLbls>
        <c:marker val="1"/>
        <c:smooth val="0"/>
        <c:axId val="289389400"/>
        <c:axId val="289390184"/>
      </c:lineChart>
      <c:catAx>
        <c:axId val="289389400"/>
        <c:scaling>
          <c:orientation val="minMax"/>
        </c:scaling>
        <c:delete val="0"/>
        <c:axPos val="b"/>
        <c:numFmt formatCode="General" sourceLinked="1"/>
        <c:majorTickMark val="out"/>
        <c:minorTickMark val="none"/>
        <c:tickLblPos val="nextTo"/>
        <c:txPr>
          <a:bodyPr/>
          <a:lstStyle/>
          <a:p>
            <a:pPr>
              <a:defRPr lang="en-US" sz="600">
                <a:solidFill>
                  <a:schemeClr val="bg1">
                    <a:lumMod val="50000"/>
                  </a:schemeClr>
                </a:solidFill>
                <a:latin typeface="Arial" pitchFamily="34" charset="0"/>
                <a:cs typeface="Arial" pitchFamily="34" charset="0"/>
              </a:defRPr>
            </a:pPr>
            <a:endParaRPr lang="en-US"/>
          </a:p>
        </c:txPr>
        <c:crossAx val="289390184"/>
        <c:crosses val="autoZero"/>
        <c:auto val="1"/>
        <c:lblAlgn val="ctr"/>
        <c:lblOffset val="100"/>
        <c:noMultiLvlLbl val="0"/>
      </c:catAx>
      <c:valAx>
        <c:axId val="289390184"/>
        <c:scaling>
          <c:orientation val="minMax"/>
          <c:max val="140"/>
        </c:scaling>
        <c:delete val="0"/>
        <c:axPos val="l"/>
        <c:majorGridlines/>
        <c:numFmt formatCode="#,##0" sourceLinked="1"/>
        <c:majorTickMark val="none"/>
        <c:minorTickMark val="none"/>
        <c:tickLblPos val="nextTo"/>
        <c:txPr>
          <a:bodyPr/>
          <a:lstStyle/>
          <a:p>
            <a:pPr>
              <a:defRPr lang="en-US" sz="600">
                <a:solidFill>
                  <a:srgbClr val="7F7F7F"/>
                </a:solidFill>
                <a:latin typeface="Arial" pitchFamily="34" charset="0"/>
                <a:cs typeface="Arial" pitchFamily="34" charset="0"/>
              </a:defRPr>
            </a:pPr>
            <a:endParaRPr lang="en-US"/>
          </a:p>
        </c:txPr>
        <c:crossAx val="289389400"/>
        <c:crosses val="autoZero"/>
        <c:crossBetween val="between"/>
      </c:valAx>
      <c:valAx>
        <c:axId val="338696816"/>
        <c:scaling>
          <c:orientation val="minMax"/>
          <c:max val="1"/>
        </c:scaling>
        <c:delete val="0"/>
        <c:axPos val="r"/>
        <c:numFmt formatCode="0%" sourceLinked="1"/>
        <c:majorTickMark val="none"/>
        <c:minorTickMark val="none"/>
        <c:tickLblPos val="nextTo"/>
        <c:txPr>
          <a:bodyPr/>
          <a:lstStyle/>
          <a:p>
            <a:pPr>
              <a:defRPr lang="en-US" sz="600">
                <a:solidFill>
                  <a:srgbClr val="7F7F7F"/>
                </a:solidFill>
                <a:latin typeface="Arial" pitchFamily="34" charset="0"/>
                <a:cs typeface="Arial" pitchFamily="34" charset="0"/>
              </a:defRPr>
            </a:pPr>
            <a:endParaRPr lang="en-US"/>
          </a:p>
        </c:txPr>
        <c:crossAx val="338694072"/>
        <c:crosses val="max"/>
        <c:crossBetween val="between"/>
      </c:valAx>
      <c:catAx>
        <c:axId val="338694072"/>
        <c:scaling>
          <c:orientation val="minMax"/>
        </c:scaling>
        <c:delete val="1"/>
        <c:axPos val="b"/>
        <c:majorTickMark val="out"/>
        <c:minorTickMark val="none"/>
        <c:tickLblPos val="none"/>
        <c:crossAx val="338696816"/>
        <c:crosses val="autoZero"/>
        <c:auto val="1"/>
        <c:lblAlgn val="ctr"/>
        <c:lblOffset val="100"/>
        <c:noMultiLvlLbl val="0"/>
      </c:catAx>
    </c:plotArea>
    <c:legend>
      <c:legendPos val="b"/>
      <c:layout>
        <c:manualLayout>
          <c:xMode val="edge"/>
          <c:yMode val="edge"/>
          <c:x val="0"/>
          <c:y val="0.87494050698396275"/>
          <c:w val="1"/>
          <c:h val="0.12505949301603744"/>
        </c:manualLayout>
      </c:layout>
      <c:overlay val="0"/>
      <c:txPr>
        <a:bodyPr/>
        <a:lstStyle/>
        <a:p>
          <a:pPr>
            <a:defRPr lang="en-US"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366" l="0.70000000000000062" r="0.70000000000000062" t="0.75000000000001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94303</xdr:colOff>
      <xdr:row>109</xdr:row>
      <xdr:rowOff>107703</xdr:rowOff>
    </xdr:from>
    <xdr:to>
      <xdr:col>4</xdr:col>
      <xdr:colOff>25769</xdr:colOff>
      <xdr:row>126</xdr:row>
      <xdr:rowOff>23812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313531</xdr:colOff>
      <xdr:row>177</xdr:row>
      <xdr:rowOff>0</xdr:rowOff>
    </xdr:from>
    <xdr:to>
      <xdr:col>7</xdr:col>
      <xdr:colOff>1435553</xdr:colOff>
      <xdr:row>190</xdr:row>
      <xdr:rowOff>137260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118875</xdr:colOff>
      <xdr:row>204</xdr:row>
      <xdr:rowOff>472700</xdr:rowOff>
    </xdr:from>
    <xdr:to>
      <xdr:col>7</xdr:col>
      <xdr:colOff>1241646</xdr:colOff>
      <xdr:row>218</xdr:row>
      <xdr:rowOff>144633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972155</xdr:colOff>
      <xdr:row>335</xdr:row>
      <xdr:rowOff>24947</xdr:rowOff>
    </xdr:from>
    <xdr:to>
      <xdr:col>10</xdr:col>
      <xdr:colOff>612321</xdr:colOff>
      <xdr:row>348</xdr:row>
      <xdr:rowOff>161898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1000123</xdr:colOff>
      <xdr:row>352</xdr:row>
      <xdr:rowOff>84668</xdr:rowOff>
    </xdr:from>
    <xdr:to>
      <xdr:col>7</xdr:col>
      <xdr:colOff>1451238</xdr:colOff>
      <xdr:row>363</xdr:row>
      <xdr:rowOff>226220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1320271</xdr:colOff>
      <xdr:row>204</xdr:row>
      <xdr:rowOff>189177</xdr:rowOff>
    </xdr:from>
    <xdr:to>
      <xdr:col>11</xdr:col>
      <xdr:colOff>176783</xdr:colOff>
      <xdr:row>218</xdr:row>
      <xdr:rowOff>142875</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295904</xdr:colOff>
      <xdr:row>30</xdr:row>
      <xdr:rowOff>5518</xdr:rowOff>
    </xdr:from>
    <xdr:to>
      <xdr:col>8</xdr:col>
      <xdr:colOff>103910</xdr:colOff>
      <xdr:row>43</xdr:row>
      <xdr:rowOff>64450</xdr:rowOff>
    </xdr:to>
    <xdr:pic>
      <xdr:nvPicPr>
        <xdr:cNvPr id="8" name="Picture 7"/>
        <xdr:cNvPicPr>
          <a:picLocks noChangeAspect="1" noChangeArrowheads="1"/>
        </xdr:cNvPicPr>
      </xdr:nvPicPr>
      <xdr:blipFill>
        <a:blip xmlns:r="http://schemas.openxmlformats.org/officeDocument/2006/relationships" r:embed="rId7" cstate="print"/>
        <a:srcRect l="12222" t="11504" r="-1782" b="-4130"/>
        <a:stretch>
          <a:fillRect/>
        </a:stretch>
      </xdr:blipFill>
      <xdr:spPr bwMode="auto">
        <a:xfrm>
          <a:off x="5125079" y="7387393"/>
          <a:ext cx="3684679" cy="315455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76</xdr:col>
      <xdr:colOff>130969</xdr:colOff>
      <xdr:row>9</xdr:row>
      <xdr:rowOff>6123</xdr:rowOff>
    </xdr:from>
    <xdr:to>
      <xdr:col>81</xdr:col>
      <xdr:colOff>59531</xdr:colOff>
      <xdr:row>13</xdr:row>
      <xdr:rowOff>0</xdr:rowOff>
    </xdr:to>
    <xdr:sp macro="" textlink="">
      <xdr:nvSpPr>
        <xdr:cNvPr id="9" name="TextBox 8"/>
        <xdr:cNvSpPr txBox="1"/>
      </xdr:nvSpPr>
      <xdr:spPr>
        <a:xfrm rot="21101696">
          <a:off x="14554200" y="2234973"/>
          <a:ext cx="0" cy="99400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solidFill>
                <a:srgbClr val="FF0000"/>
              </a:solidFill>
            </a:rPr>
            <a:t>Formulas are</a:t>
          </a:r>
          <a:r>
            <a:rPr lang="en-ZA" sz="1100" baseline="0">
              <a:solidFill>
                <a:srgbClr val="FF0000"/>
              </a:solidFill>
            </a:rPr>
            <a:t> adjusted monthly, don't drag top formula down for the entire year</a:t>
          </a:r>
          <a:endParaRPr lang="en-ZA"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104775</xdr:rowOff>
    </xdr:from>
    <xdr:to>
      <xdr:col>2</xdr:col>
      <xdr:colOff>561975</xdr:colOff>
      <xdr:row>1</xdr:row>
      <xdr:rowOff>0</xdr:rowOff>
    </xdr:to>
    <xdr:pic>
      <xdr:nvPicPr>
        <xdr:cNvPr id="3" name="Picture 2" descr="Green Building Council of South Africa logo (high r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104775"/>
          <a:ext cx="18478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181883</xdr:colOff>
      <xdr:row>2</xdr:row>
      <xdr:rowOff>141513</xdr:rowOff>
    </xdr:from>
    <xdr:to>
      <xdr:col>15</xdr:col>
      <xdr:colOff>366509</xdr:colOff>
      <xdr:row>27</xdr:row>
      <xdr:rowOff>153759</xdr:rowOff>
    </xdr:to>
    <xdr:pic>
      <xdr:nvPicPr>
        <xdr:cNvPr id="2" name="Picture 1"/>
        <xdr:cNvPicPr>
          <a:picLocks noChangeAspect="1" noChangeArrowheads="1"/>
        </xdr:cNvPicPr>
      </xdr:nvPicPr>
      <xdr:blipFill>
        <a:blip xmlns:r="http://schemas.openxmlformats.org/officeDocument/2006/relationships" r:embed="rId1" cstate="print"/>
        <a:srcRect l="12222" t="11504" r="-1782" b="-4130"/>
        <a:stretch>
          <a:fillRect/>
        </a:stretch>
      </xdr:blipFill>
      <xdr:spPr bwMode="auto">
        <a:xfrm>
          <a:off x="5220608" y="522513"/>
          <a:ext cx="6118701" cy="4993821"/>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editAs="oneCell">
    <xdr:from>
      <xdr:col>16</xdr:col>
      <xdr:colOff>813707</xdr:colOff>
      <xdr:row>52</xdr:row>
      <xdr:rowOff>42502</xdr:rowOff>
    </xdr:from>
    <xdr:to>
      <xdr:col>23</xdr:col>
      <xdr:colOff>129949</xdr:colOff>
      <xdr:row>66</xdr:row>
      <xdr:rowOff>62593</xdr:rowOff>
    </xdr:to>
    <xdr:pic>
      <xdr:nvPicPr>
        <xdr:cNvPr id="3" name="Picture 2"/>
        <xdr:cNvPicPr>
          <a:picLocks noChangeAspect="1" noChangeArrowheads="1"/>
        </xdr:cNvPicPr>
      </xdr:nvPicPr>
      <xdr:blipFill>
        <a:blip xmlns:r="http://schemas.openxmlformats.org/officeDocument/2006/relationships" r:embed="rId2" cstate="print"/>
        <a:srcRect t="3108" b="21078"/>
        <a:stretch>
          <a:fillRect/>
        </a:stretch>
      </xdr:blipFill>
      <xdr:spPr bwMode="auto">
        <a:xfrm>
          <a:off x="12548507" y="10291402"/>
          <a:ext cx="5983742" cy="2820441"/>
        </a:xfrm>
        <a:prstGeom prst="rect">
          <a:avLst/>
        </a:prstGeom>
        <a:noFill/>
        <a:ln w="9525">
          <a:noFill/>
          <a:miter lim="800000"/>
          <a:headEnd/>
          <a:tailEn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LD%20Potable-Water-Calculator-PILOT-20141010%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oisr.GBCSA/Documents/FRANCOIS/Remote%20work/20130125/11020-OB%20MM%20Falcon_Jason_Buch_Office%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astel\GBCSASHARE\Documents%20and%20Settings\ZAMB00655\Local%20Settings\Temporary%20Internet%20Files\OLKA4\unlocked%20GBCSA%20&amp;%20GBCA%20docs\GSSA_Office_v1_20090401_UNLOCK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astel\GBCSASHARE\Green%20Star%20Rating%20System\Green%20Star%20-%20Office%20As%20Built\Version%202\Excel%20Tool\Green%20Star%20-%20Office%20As%20Built%20v2%20WI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table Water Calculator"/>
      <sheetName val="Rainfall data"/>
      <sheetName val="Change Log"/>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A"/>
      <sheetName val="Introduction"/>
      <sheetName val="How to Use"/>
      <sheetName val="Disclaimer"/>
      <sheetName val="Change Log"/>
      <sheetName val="R1 Pre-Submission Checklist"/>
      <sheetName val="R2 Pre-Submission Checklist"/>
      <sheetName val="Applicant Declaration"/>
      <sheetName val="Building Input"/>
      <sheetName val="Management"/>
      <sheetName val="IEQ"/>
      <sheetName val="Energy"/>
      <sheetName val="Energy Calculator"/>
      <sheetName val="Transport"/>
      <sheetName val="Transport Calculator"/>
      <sheetName val="Water"/>
      <sheetName val="Potable Water Calculator"/>
      <sheetName val="Materials"/>
      <sheetName val="Land Use &amp; Ecology"/>
      <sheetName val="Ecology Calculator"/>
      <sheetName val="Emissions"/>
      <sheetName val="Sewage Calculator"/>
      <sheetName val="Innovation"/>
      <sheetName val="Credit Summary"/>
      <sheetName val="Graphical Summary"/>
      <sheetName val="Calculation"/>
      <sheetName val="Rainfall data"/>
    </sheetNames>
    <sheetDataSet>
      <sheetData sheetId="0"/>
      <sheetData sheetId="1"/>
      <sheetData sheetId="2"/>
      <sheetData sheetId="3"/>
      <sheetData sheetId="4"/>
      <sheetData sheetId="5"/>
      <sheetData sheetId="6"/>
      <sheetData sheetId="7"/>
      <sheetData sheetId="8">
        <row r="30">
          <cell r="C30">
            <v>15863.4</v>
          </cell>
        </row>
      </sheetData>
      <sheetData sheetId="9"/>
      <sheetData sheetId="10"/>
      <sheetData sheetId="11"/>
      <sheetData sheetId="12">
        <row r="16">
          <cell r="O16" t="str">
            <v>biogas</v>
          </cell>
        </row>
      </sheetData>
      <sheetData sheetId="13"/>
      <sheetData sheetId="14">
        <row r="8">
          <cell r="B8" t="str">
            <v>No. of Bus, Midibus or Minibus Services</v>
          </cell>
        </row>
      </sheetData>
      <sheetData sheetId="15"/>
      <sheetData sheetId="16"/>
      <sheetData sheetId="17"/>
      <sheetData sheetId="18"/>
      <sheetData sheetId="19"/>
      <sheetData sheetId="20"/>
      <sheetData sheetId="21"/>
      <sheetData sheetId="22"/>
      <sheetData sheetId="23"/>
      <sheetData sheetId="24"/>
      <sheetData sheetId="25"/>
      <sheetData sheetId="26">
        <row r="4">
          <cell r="B4" t="str">
            <v>Beaufort West</v>
          </cell>
        </row>
        <row r="5">
          <cell r="B5" t="str">
            <v>Bela-Bela</v>
          </cell>
        </row>
        <row r="6">
          <cell r="B6" t="str">
            <v>Belfast</v>
          </cell>
        </row>
        <row r="7">
          <cell r="B7" t="str">
            <v>Bethal</v>
          </cell>
        </row>
        <row r="8">
          <cell r="B8" t="str">
            <v>Bethlehem</v>
          </cell>
        </row>
        <row r="9">
          <cell r="B9" t="str">
            <v>Bloemfontein</v>
          </cell>
        </row>
        <row r="10">
          <cell r="B10" t="str">
            <v>Calvinia</v>
          </cell>
        </row>
        <row r="11">
          <cell r="B11" t="str">
            <v>Cape Town</v>
          </cell>
        </row>
        <row r="12">
          <cell r="B12" t="str">
            <v>De Aar</v>
          </cell>
        </row>
        <row r="13">
          <cell r="B13" t="str">
            <v>Durban</v>
          </cell>
        </row>
        <row r="14">
          <cell r="B14" t="str">
            <v>East London</v>
          </cell>
        </row>
        <row r="15">
          <cell r="B15" t="str">
            <v>George</v>
          </cell>
        </row>
        <row r="16">
          <cell r="B16" t="str">
            <v>Johannesburg</v>
          </cell>
        </row>
        <row r="17">
          <cell r="B17" t="str">
            <v>Kimberley</v>
          </cell>
        </row>
        <row r="18">
          <cell r="B18" t="str">
            <v>Ladysmith</v>
          </cell>
        </row>
        <row r="19">
          <cell r="B19" t="str">
            <v>Langebaan</v>
          </cell>
        </row>
        <row r="20">
          <cell r="B20" t="str">
            <v>Musina</v>
          </cell>
        </row>
        <row r="21">
          <cell r="B21" t="str">
            <v>Nelspruit</v>
          </cell>
        </row>
        <row r="22">
          <cell r="B22" t="str">
            <v>Nmmabatho</v>
          </cell>
        </row>
        <row r="23">
          <cell r="B23" t="str">
            <v>Pietermaritzburg</v>
          </cell>
        </row>
        <row r="24">
          <cell r="B24" t="str">
            <v>Pilansberg</v>
          </cell>
        </row>
        <row r="25">
          <cell r="B25" t="str">
            <v>Polokwane</v>
          </cell>
        </row>
        <row r="26">
          <cell r="B26" t="str">
            <v>Port Elizabeth</v>
          </cell>
        </row>
        <row r="27">
          <cell r="B27" t="str">
            <v>Pretoria</v>
          </cell>
        </row>
        <row r="28">
          <cell r="B28" t="str">
            <v>Richards Bay</v>
          </cell>
        </row>
        <row r="29">
          <cell r="B29" t="str">
            <v>Skukuza</v>
          </cell>
        </row>
        <row r="30">
          <cell r="B30" t="str">
            <v>Thohoyandou</v>
          </cell>
        </row>
        <row r="31">
          <cell r="B31" t="str">
            <v>Tstsikama</v>
          </cell>
        </row>
        <row r="32">
          <cell r="B32" t="str">
            <v>Umtata</v>
          </cell>
        </row>
        <row r="33">
          <cell r="B33" t="str">
            <v>Upington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A"/>
      <sheetName val="Introduction"/>
      <sheetName val="How to Use"/>
      <sheetName val="Disclaimer"/>
      <sheetName val="Building Input"/>
      <sheetName val="Management"/>
      <sheetName val="IEQ"/>
      <sheetName val="Energy"/>
      <sheetName val="Energy Calculator"/>
      <sheetName val="Transport"/>
      <sheetName val="Transport Calculator"/>
      <sheetName val="Water"/>
      <sheetName val="Potable Water Calculator"/>
      <sheetName val="Materials"/>
      <sheetName val="Land Use &amp; Ecology"/>
      <sheetName val="Emissions"/>
      <sheetName val="Sewage Calculator"/>
      <sheetName val="Innovation"/>
      <sheetName val="Credit Summary"/>
      <sheetName val="Graphical Summary"/>
      <sheetName val="Calculation"/>
      <sheetName val="Ecology Calculator"/>
    </sheetNames>
    <sheetDataSet>
      <sheetData sheetId="0" refreshError="1"/>
      <sheetData sheetId="1" refreshError="1"/>
      <sheetData sheetId="2" refreshError="1"/>
      <sheetData sheetId="3" refreshError="1"/>
      <sheetData sheetId="4">
        <row r="36">
          <cell r="C36">
            <v>0</v>
          </cell>
        </row>
      </sheetData>
      <sheetData sheetId="5"/>
      <sheetData sheetId="6"/>
      <sheetData sheetId="7"/>
      <sheetData sheetId="8"/>
      <sheetData sheetId="9"/>
      <sheetData sheetId="10">
        <row r="8">
          <cell r="B8" t="str">
            <v>No. of Bus, Midibus or Minibus Services</v>
          </cell>
        </row>
      </sheetData>
      <sheetData sheetId="11"/>
      <sheetData sheetId="12" refreshError="1"/>
      <sheetData sheetId="13"/>
      <sheetData sheetId="14"/>
      <sheetData sheetId="15"/>
      <sheetData sheetId="16" refreshError="1"/>
      <sheetData sheetId="17"/>
      <sheetData sheetId="18" refreshError="1"/>
      <sheetData sheetId="19" refreshError="1"/>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heetName val="Introduction"/>
      <sheetName val="How to Use"/>
      <sheetName val="Disclaimer"/>
      <sheetName val="Building Input"/>
      <sheetName val="Management"/>
      <sheetName val="IEQ"/>
      <sheetName val="Energy"/>
      <sheetName val="Transport"/>
      <sheetName val="Transport Calculator"/>
      <sheetName val="Water"/>
      <sheetName val="Water Calculator"/>
      <sheetName val="Materials"/>
      <sheetName val="Land Use &amp; Ecology"/>
      <sheetName val="Ecology Calculator"/>
      <sheetName val="Emissions"/>
      <sheetName val="Sewerage Calculator"/>
      <sheetName val="Innovation"/>
      <sheetName val="Credit Summary"/>
      <sheetName val="Graphical Summary"/>
      <sheetName val="Calculation"/>
    </sheetNames>
    <sheetDataSet>
      <sheetData sheetId="0"/>
      <sheetData sheetId="1"/>
      <sheetData sheetId="2"/>
      <sheetData sheetId="3"/>
      <sheetData sheetId="4"/>
      <sheetData sheetId="5"/>
      <sheetData sheetId="6"/>
      <sheetData sheetId="7"/>
      <sheetData sheetId="8"/>
      <sheetData sheetId="9">
        <row r="5">
          <cell r="B5" t="str">
            <v>No. of Bus, Tram or Ferry Services</v>
          </cell>
        </row>
      </sheetData>
      <sheetData sheetId="10"/>
      <sheetData sheetId="11"/>
      <sheetData sheetId="12"/>
      <sheetData sheetId="13"/>
      <sheetData sheetId="14">
        <row r="5">
          <cell r="B5" t="str">
            <v>Does the site contain any rare, threatened or vulnerable flora or fauna?</v>
          </cell>
        </row>
      </sheetData>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FA529"/>
  <sheetViews>
    <sheetView tabSelected="1" zoomScale="87" zoomScaleNormal="87" workbookViewId="0">
      <pane ySplit="6" topLeftCell="A7" activePane="bottomLeft" state="frozen"/>
      <selection pane="bottomLeft" activeCell="D224" sqref="D224"/>
    </sheetView>
  </sheetViews>
  <sheetFormatPr defaultColWidth="10.28515625" defaultRowHeight="15" outlineLevelCol="1"/>
  <cols>
    <col min="1" max="1" width="1.5703125" style="51" customWidth="1"/>
    <col min="2" max="2" width="22" style="3" customWidth="1"/>
    <col min="3" max="3" width="20.28515625" style="3" customWidth="1"/>
    <col min="4" max="4" width="16.140625" style="3" customWidth="1"/>
    <col min="5" max="5" width="16.42578125" style="3" customWidth="1"/>
    <col min="6" max="6" width="15.7109375" style="3" customWidth="1"/>
    <col min="7" max="7" width="20.42578125" style="3" customWidth="1"/>
    <col min="8" max="8" width="22" style="3" customWidth="1"/>
    <col min="9" max="9" width="17.85546875" style="27" customWidth="1"/>
    <col min="10" max="10" width="20.7109375" style="27" customWidth="1"/>
    <col min="11" max="11" width="16.42578125" style="27" customWidth="1"/>
    <col min="12" max="12" width="16.85546875" style="3" customWidth="1"/>
    <col min="13" max="13" width="15.85546875" style="3" customWidth="1"/>
    <col min="14" max="16" width="10" style="14" hidden="1" customWidth="1" outlineLevel="1"/>
    <col min="17" max="39" width="17.28515625" style="14" hidden="1" customWidth="1" outlineLevel="1"/>
    <col min="40" max="49" width="14.28515625" style="14" hidden="1" customWidth="1" outlineLevel="1"/>
    <col min="50" max="50" width="15.85546875" style="14" hidden="1" customWidth="1" outlineLevel="1"/>
    <col min="51" max="55" width="14.28515625" style="14" hidden="1" customWidth="1" outlineLevel="1"/>
    <col min="56" max="56" width="4" style="3" hidden="1" customWidth="1" outlineLevel="1"/>
    <col min="57" max="57" width="5.140625" style="125" hidden="1" customWidth="1" outlineLevel="1" collapsed="1"/>
    <col min="58" max="58" width="9.140625" style="125" hidden="1" customWidth="1" outlineLevel="1"/>
    <col min="59" max="59" width="3.7109375" style="125" hidden="1" customWidth="1" outlineLevel="1"/>
    <col min="60" max="60" width="8.140625" style="125" hidden="1" customWidth="1" outlineLevel="1"/>
    <col min="61" max="63" width="7.42578125" style="515" hidden="1" customWidth="1" outlineLevel="1"/>
    <col min="64" max="64" width="7.5703125" style="515" hidden="1" customWidth="1" outlineLevel="1"/>
    <col min="65" max="66" width="10.140625" style="515" hidden="1" customWidth="1" outlineLevel="1"/>
    <col min="67" max="67" width="10.5703125" style="515" hidden="1" customWidth="1" outlineLevel="1"/>
    <col min="68" max="68" width="10.140625" style="515" hidden="1" customWidth="1" outlineLevel="1"/>
    <col min="69" max="69" width="8.140625" style="515" hidden="1" customWidth="1" outlineLevel="1"/>
    <col min="70" max="71" width="7.7109375" style="515" hidden="1" customWidth="1" outlineLevel="1"/>
    <col min="72" max="72" width="8.28515625" style="515" hidden="1" customWidth="1" outlineLevel="1"/>
    <col min="73" max="74" width="7.7109375" style="515" hidden="1" customWidth="1" outlineLevel="1"/>
    <col min="75" max="78" width="8.28515625" style="515" hidden="1" customWidth="1" outlineLevel="1"/>
    <col min="79" max="80" width="7.7109375" style="515" hidden="1" customWidth="1" outlineLevel="1"/>
    <col min="81" max="81" width="8.28515625" style="515" hidden="1" customWidth="1" outlineLevel="1"/>
    <col min="82" max="83" width="7.7109375" style="515" hidden="1" customWidth="1" outlineLevel="1"/>
    <col min="84" max="84" width="8.28515625" style="515" hidden="1" customWidth="1" outlineLevel="1"/>
    <col min="85" max="86" width="7.7109375" style="515" hidden="1" customWidth="1" outlineLevel="1"/>
    <col min="87" max="87" width="8.28515625" style="515" hidden="1" customWidth="1" outlineLevel="1"/>
    <col min="88" max="89" width="7.7109375" style="515" hidden="1" customWidth="1" outlineLevel="1"/>
    <col min="90" max="90" width="8.28515625" style="515" hidden="1" customWidth="1" outlineLevel="1"/>
    <col min="91" max="92" width="7.7109375" style="515" hidden="1" customWidth="1" outlineLevel="1"/>
    <col min="93" max="93" width="8.28515625" style="515" hidden="1" customWidth="1" outlineLevel="1"/>
    <col min="94" max="95" width="7.7109375" style="515" hidden="1" customWidth="1" outlineLevel="1"/>
    <col min="96" max="96" width="8.28515625" style="515" hidden="1" customWidth="1" outlineLevel="1"/>
    <col min="97" max="98" width="7.7109375" style="515" hidden="1" customWidth="1" outlineLevel="1"/>
    <col min="99" max="99" width="8.28515625" style="515" hidden="1" customWidth="1" outlineLevel="1"/>
    <col min="100" max="101" width="7.7109375" style="515" hidden="1" customWidth="1" outlineLevel="1"/>
    <col min="102" max="102" width="8.28515625" style="515" hidden="1" customWidth="1" outlineLevel="1"/>
    <col min="103" max="103" width="7.7109375" style="515" hidden="1" customWidth="1" outlineLevel="1"/>
    <col min="104" max="107" width="9.140625" style="515" hidden="1" customWidth="1" outlineLevel="1"/>
    <col min="108" max="108" width="15" style="515" hidden="1" customWidth="1" outlineLevel="1"/>
    <col min="109" max="110" width="9.140625" style="515" hidden="1" customWidth="1" outlineLevel="1"/>
    <col min="111" max="112" width="9.140625" style="125" hidden="1" customWidth="1" outlineLevel="1"/>
    <col min="113" max="113" width="12.5703125" style="3" customWidth="1" collapsed="1"/>
    <col min="114" max="114" width="21.85546875" style="8" hidden="1" customWidth="1" outlineLevel="1"/>
    <col min="115" max="115" width="18.42578125" style="8" hidden="1" customWidth="1" outlineLevel="1"/>
    <col min="116" max="117" width="12.28515625" style="8" hidden="1" customWidth="1" outlineLevel="1"/>
    <col min="118" max="118" width="23.140625" style="8" hidden="1" customWidth="1" outlineLevel="1"/>
    <col min="119" max="119" width="16.28515625" style="8" hidden="1" customWidth="1" outlineLevel="1"/>
    <col min="120" max="120" width="13" style="8" hidden="1" customWidth="1" outlineLevel="1"/>
    <col min="121" max="121" width="6.140625" style="3" customWidth="1" collapsed="1"/>
    <col min="122" max="122" width="19.5703125" style="8" customWidth="1"/>
    <col min="123" max="154" width="6.7109375" style="8" customWidth="1"/>
    <col min="155" max="155" width="17" style="8" customWidth="1"/>
    <col min="156" max="16384" width="10.28515625" style="3"/>
  </cols>
  <sheetData>
    <row r="1" spans="1:157" ht="22.5" customHeight="1">
      <c r="A1" s="564"/>
      <c r="B1" s="577" t="s">
        <v>599</v>
      </c>
      <c r="C1" s="565"/>
      <c r="D1" s="565"/>
      <c r="E1" s="565"/>
      <c r="F1" s="552" t="s">
        <v>0</v>
      </c>
      <c r="G1" s="553"/>
      <c r="H1" s="554"/>
      <c r="I1" s="566"/>
      <c r="J1" s="566"/>
      <c r="K1" s="566"/>
      <c r="L1" s="566"/>
      <c r="M1" s="566"/>
      <c r="N1" s="567" t="s">
        <v>1</v>
      </c>
      <c r="O1" s="565"/>
      <c r="P1" s="790" t="s">
        <v>2</v>
      </c>
      <c r="Q1" s="791"/>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c r="BB1" s="565"/>
      <c r="BC1" s="565"/>
      <c r="BD1" s="565"/>
      <c r="BE1" s="1"/>
      <c r="BF1" s="1">
        <f>K1</f>
        <v>0</v>
      </c>
      <c r="BG1" s="1"/>
      <c r="BH1" s="1">
        <f>M1</f>
        <v>0</v>
      </c>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
      <c r="DH1" s="1"/>
      <c r="DI1" s="566"/>
      <c r="DJ1" s="4" t="s">
        <v>3</v>
      </c>
      <c r="DK1" s="4"/>
      <c r="DL1" s="4"/>
      <c r="DM1" s="4"/>
      <c r="DN1" s="4"/>
      <c r="DO1" s="4"/>
      <c r="DP1" s="4"/>
      <c r="DQ1" s="5"/>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row>
    <row r="2" spans="1:157" ht="15.75" customHeight="1" thickBot="1">
      <c r="A2" s="564"/>
      <c r="B2" s="577" t="s">
        <v>4</v>
      </c>
      <c r="C2" s="565"/>
      <c r="D2" s="792" t="s">
        <v>5</v>
      </c>
      <c r="E2" s="793"/>
      <c r="F2" s="793"/>
      <c r="G2" s="793"/>
      <c r="H2" s="793"/>
      <c r="I2" s="793"/>
      <c r="J2" s="793"/>
      <c r="K2" s="566"/>
      <c r="L2" s="6" t="s">
        <v>6</v>
      </c>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8"/>
      <c r="BE2" s="1"/>
      <c r="BF2" s="1"/>
      <c r="BG2" s="1"/>
      <c r="BH2" s="1"/>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
      <c r="DH2" s="1"/>
      <c r="DI2" s="565"/>
      <c r="DJ2" s="7"/>
      <c r="DK2" s="7"/>
      <c r="DL2" s="7"/>
      <c r="DM2" s="7"/>
      <c r="DN2" s="7"/>
      <c r="DO2" s="7"/>
      <c r="EG2" s="7"/>
      <c r="EH2" s="7"/>
      <c r="EI2" s="7"/>
      <c r="EJ2" s="7"/>
      <c r="EK2" s="7"/>
      <c r="EL2" s="7"/>
      <c r="EM2" s="7"/>
      <c r="EN2" s="7"/>
      <c r="EO2" s="7"/>
      <c r="EP2" s="7"/>
      <c r="EQ2" s="7"/>
      <c r="ER2" s="7"/>
      <c r="ES2" s="7"/>
      <c r="ET2" s="7"/>
      <c r="EU2" s="7"/>
      <c r="EV2" s="7"/>
      <c r="EW2" s="7"/>
      <c r="EX2" s="7"/>
      <c r="EY2" s="7"/>
    </row>
    <row r="3" spans="1:157" ht="17.25" thickBot="1">
      <c r="A3" s="569"/>
      <c r="B3" s="569"/>
      <c r="C3" s="570" t="s">
        <v>7</v>
      </c>
      <c r="D3" s="9" t="s">
        <v>8</v>
      </c>
      <c r="E3" s="10"/>
      <c r="F3" s="10"/>
      <c r="G3" s="10"/>
      <c r="H3" s="10"/>
      <c r="I3" s="10"/>
      <c r="J3" s="11"/>
      <c r="K3" s="569"/>
      <c r="L3" s="12" t="s">
        <v>9</v>
      </c>
      <c r="M3" s="13" t="s">
        <v>10</v>
      </c>
      <c r="BD3" s="568"/>
      <c r="BE3" s="1"/>
      <c r="BF3" s="1"/>
      <c r="BG3" s="1"/>
      <c r="BH3" s="1"/>
      <c r="BI3" s="15"/>
      <c r="BJ3" s="16" t="s">
        <v>11</v>
      </c>
      <c r="BK3" s="16" t="s">
        <v>12</v>
      </c>
      <c r="BL3" s="16" t="s">
        <v>13</v>
      </c>
      <c r="BM3" s="16" t="s">
        <v>14</v>
      </c>
      <c r="BN3" s="16" t="s">
        <v>15</v>
      </c>
      <c r="BO3" s="16" t="s">
        <v>16</v>
      </c>
      <c r="BP3" s="16" t="s">
        <v>17</v>
      </c>
      <c r="BQ3" s="16" t="s">
        <v>18</v>
      </c>
      <c r="BR3" s="16" t="s">
        <v>19</v>
      </c>
      <c r="BS3" s="16" t="s">
        <v>20</v>
      </c>
      <c r="BT3" s="16" t="s">
        <v>21</v>
      </c>
      <c r="BU3" s="16" t="s">
        <v>22</v>
      </c>
      <c r="BV3" s="17" t="s">
        <v>23</v>
      </c>
      <c r="BW3" s="15"/>
      <c r="BX3" s="794" t="s">
        <v>24</v>
      </c>
      <c r="BY3" s="795"/>
      <c r="BZ3" s="15"/>
      <c r="CA3" s="15"/>
      <c r="CB3" s="15"/>
      <c r="CC3" s="15"/>
      <c r="CD3" s="15"/>
      <c r="CE3" s="15"/>
      <c r="CF3" s="15"/>
      <c r="CG3" s="15"/>
      <c r="CH3" s="2"/>
      <c r="CI3" s="2"/>
      <c r="CJ3" s="2"/>
      <c r="CK3" s="2"/>
      <c r="CL3" s="2"/>
      <c r="CM3" s="2"/>
      <c r="CN3" s="2"/>
      <c r="CO3" s="2"/>
      <c r="CP3" s="2"/>
      <c r="CQ3" s="2"/>
      <c r="CR3" s="2"/>
      <c r="CS3" s="2"/>
      <c r="CT3" s="2"/>
      <c r="CU3" s="2"/>
      <c r="CV3" s="2"/>
      <c r="CW3" s="2"/>
      <c r="CX3" s="2"/>
      <c r="CY3" s="2"/>
      <c r="CZ3" s="2"/>
      <c r="DA3" s="2"/>
      <c r="DB3" s="2"/>
      <c r="DC3" s="2"/>
      <c r="DD3" s="2"/>
      <c r="DE3" s="2"/>
      <c r="DF3" s="2"/>
      <c r="DG3" s="1"/>
      <c r="DH3" s="1"/>
    </row>
    <row r="4" spans="1:157" s="27" customFormat="1" ht="16.5">
      <c r="A4" s="569"/>
      <c r="B4" s="569"/>
      <c r="C4" s="570" t="s">
        <v>25</v>
      </c>
      <c r="D4" s="18" t="s">
        <v>26</v>
      </c>
      <c r="E4" s="19"/>
      <c r="F4" s="19"/>
      <c r="G4" s="19" t="s">
        <v>27</v>
      </c>
      <c r="H4" s="19"/>
      <c r="I4" s="19" t="s">
        <v>28</v>
      </c>
      <c r="J4" s="20" t="s">
        <v>29</v>
      </c>
      <c r="K4" s="569"/>
      <c r="L4" s="21" t="s">
        <v>30</v>
      </c>
      <c r="M4" s="37" t="s">
        <v>41</v>
      </c>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568"/>
      <c r="BE4" s="717" t="str">
        <f>D31</f>
        <v>Johannesburg</v>
      </c>
      <c r="BF4" s="717"/>
      <c r="BG4" s="717"/>
      <c r="BH4" s="717"/>
      <c r="BI4" s="717"/>
      <c r="BJ4" s="23">
        <f>D36</f>
        <v>125</v>
      </c>
      <c r="BK4" s="23">
        <f>D37</f>
        <v>90</v>
      </c>
      <c r="BL4" s="23">
        <f>D38</f>
        <v>91</v>
      </c>
      <c r="BM4" s="23">
        <f>D39</f>
        <v>54</v>
      </c>
      <c r="BN4" s="23">
        <f>D40</f>
        <v>13</v>
      </c>
      <c r="BO4" s="23">
        <f>D41</f>
        <v>9</v>
      </c>
      <c r="BP4" s="23">
        <f>D42</f>
        <v>4</v>
      </c>
      <c r="BQ4" s="23">
        <f>D43</f>
        <v>6</v>
      </c>
      <c r="BR4" s="23">
        <f>D44</f>
        <v>27</v>
      </c>
      <c r="BS4" s="23">
        <f>D45</f>
        <v>72</v>
      </c>
      <c r="BT4" s="23">
        <f>D46</f>
        <v>117</v>
      </c>
      <c r="BU4" s="24">
        <f>D47</f>
        <v>105</v>
      </c>
      <c r="BV4" s="25">
        <f>SUM(BJ4:BU4)</f>
        <v>713</v>
      </c>
      <c r="BW4" s="15"/>
      <c r="BX4" s="796" t="s">
        <v>31</v>
      </c>
      <c r="BY4" s="797"/>
      <c r="BZ4" s="15"/>
      <c r="CA4" s="15"/>
      <c r="CB4" s="15"/>
      <c r="CC4" s="15"/>
      <c r="CD4" s="15"/>
      <c r="CE4" s="15"/>
      <c r="CF4" s="15"/>
      <c r="CG4" s="15"/>
      <c r="CH4" s="2"/>
      <c r="CI4" s="2"/>
      <c r="CJ4" s="2"/>
      <c r="CK4" s="2"/>
      <c r="CL4" s="2"/>
      <c r="CM4" s="2"/>
      <c r="CN4" s="2"/>
      <c r="CO4" s="2"/>
      <c r="CP4" s="2"/>
      <c r="CQ4" s="2"/>
      <c r="CR4" s="2"/>
      <c r="CS4" s="2"/>
      <c r="CT4" s="2"/>
      <c r="CU4" s="2"/>
      <c r="CV4" s="2"/>
      <c r="CW4" s="2"/>
      <c r="CX4" s="2"/>
      <c r="CY4" s="2"/>
      <c r="CZ4" s="2"/>
      <c r="DA4" s="2"/>
      <c r="DB4" s="2"/>
      <c r="DC4" s="2"/>
      <c r="DD4" s="15"/>
      <c r="DE4" s="15"/>
      <c r="DF4" s="2"/>
      <c r="DG4" s="26"/>
      <c r="DH4" s="1"/>
      <c r="DI4" s="3"/>
      <c r="DJ4" s="8"/>
      <c r="DK4" s="8"/>
      <c r="DL4" s="8"/>
      <c r="DM4" s="8"/>
      <c r="DN4" s="8"/>
      <c r="DO4" s="8"/>
      <c r="DP4" s="8"/>
      <c r="DQ4" s="3"/>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row>
    <row r="5" spans="1:157" s="27" customFormat="1" ht="15" customHeight="1" thickBot="1">
      <c r="A5" s="569"/>
      <c r="B5" s="569"/>
      <c r="C5" s="570"/>
      <c r="D5" s="28" t="s">
        <v>32</v>
      </c>
      <c r="E5" s="29"/>
      <c r="F5" s="29" t="s">
        <v>33</v>
      </c>
      <c r="G5" s="29"/>
      <c r="H5" s="29" t="s">
        <v>34</v>
      </c>
      <c r="I5" s="575"/>
      <c r="J5" s="576"/>
      <c r="K5" s="569"/>
      <c r="L5" s="30" t="s">
        <v>35</v>
      </c>
      <c r="M5" s="31" t="s">
        <v>36</v>
      </c>
      <c r="N5" s="32" t="s">
        <v>37</v>
      </c>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568"/>
      <c r="BE5" s="717" t="s">
        <v>38</v>
      </c>
      <c r="BF5" s="717"/>
      <c r="BG5" s="717"/>
      <c r="BH5" s="717"/>
      <c r="BI5" s="717"/>
      <c r="BJ5" s="23">
        <f>E36</f>
        <v>17</v>
      </c>
      <c r="BK5" s="23">
        <f>E37</f>
        <v>13</v>
      </c>
      <c r="BL5" s="23">
        <f>E38</f>
        <v>13</v>
      </c>
      <c r="BM5" s="23">
        <f>E39</f>
        <v>7</v>
      </c>
      <c r="BN5" s="23">
        <f>E40</f>
        <v>2</v>
      </c>
      <c r="BO5" s="23">
        <f>E41</f>
        <v>1</v>
      </c>
      <c r="BP5" s="23">
        <f>E42</f>
        <v>1</v>
      </c>
      <c r="BQ5" s="23">
        <f>E43</f>
        <v>1</v>
      </c>
      <c r="BR5" s="23">
        <f>E44</f>
        <v>4</v>
      </c>
      <c r="BS5" s="23">
        <f>E45</f>
        <v>10</v>
      </c>
      <c r="BT5" s="23">
        <f>E46</f>
        <v>15</v>
      </c>
      <c r="BU5" s="24">
        <f>E47</f>
        <v>15</v>
      </c>
      <c r="BV5" s="33">
        <f>SUM(BJ5:BU5)</f>
        <v>99</v>
      </c>
      <c r="BW5" s="15"/>
      <c r="BX5" s="785" t="s">
        <v>9</v>
      </c>
      <c r="BY5" s="786"/>
      <c r="BZ5" s="15"/>
      <c r="CA5" s="15"/>
      <c r="CB5" s="15"/>
      <c r="CC5" s="15"/>
      <c r="CD5" s="15"/>
      <c r="CE5" s="15"/>
      <c r="CF5" s="15"/>
      <c r="CG5" s="15"/>
      <c r="CH5" s="15"/>
      <c r="CI5" s="2"/>
      <c r="CJ5" s="2"/>
      <c r="CK5" s="15"/>
      <c r="CL5" s="2"/>
      <c r="CM5" s="2"/>
      <c r="CN5" s="15"/>
      <c r="CO5" s="2"/>
      <c r="CP5" s="2"/>
      <c r="CQ5" s="15"/>
      <c r="CR5" s="2"/>
      <c r="CS5" s="2"/>
      <c r="CT5" s="15"/>
      <c r="CU5" s="2"/>
      <c r="CV5" s="2"/>
      <c r="CW5" s="15"/>
      <c r="CX5" s="2"/>
      <c r="CY5" s="2"/>
      <c r="CZ5" s="2"/>
      <c r="DA5" s="2"/>
      <c r="DB5" s="2"/>
      <c r="DC5" s="2"/>
      <c r="DD5" s="15"/>
      <c r="DE5" s="15"/>
      <c r="DF5" s="2"/>
      <c r="DG5" s="26"/>
      <c r="DH5" s="1"/>
      <c r="DI5" s="3"/>
      <c r="DJ5" s="8"/>
      <c r="DK5" s="8"/>
      <c r="DL5" s="8"/>
      <c r="DM5" s="8"/>
      <c r="DN5" s="8"/>
      <c r="DO5" s="8"/>
      <c r="DP5" s="8"/>
      <c r="DQ5" s="3"/>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row>
    <row r="6" spans="1:157" s="27" customFormat="1" ht="17.25" thickBot="1">
      <c r="A6" s="569"/>
      <c r="B6" s="569"/>
      <c r="C6" s="570" t="s">
        <v>39</v>
      </c>
      <c r="D6" s="34"/>
      <c r="E6" s="35"/>
      <c r="F6" s="36" t="s">
        <v>40</v>
      </c>
      <c r="G6" s="36"/>
      <c r="H6" s="36"/>
      <c r="I6" s="36"/>
      <c r="J6" s="36"/>
      <c r="K6" s="569"/>
      <c r="L6" s="38"/>
      <c r="M6" s="32"/>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568"/>
      <c r="BD6" s="717" t="s">
        <v>42</v>
      </c>
      <c r="BE6" s="717"/>
      <c r="BF6" s="717"/>
      <c r="BG6" s="717"/>
      <c r="BH6" s="717"/>
      <c r="BI6" s="39">
        <v>31</v>
      </c>
      <c r="BJ6" s="39">
        <v>28</v>
      </c>
      <c r="BK6" s="39">
        <v>31</v>
      </c>
      <c r="BL6" s="39">
        <v>30</v>
      </c>
      <c r="BM6" s="39">
        <v>31</v>
      </c>
      <c r="BN6" s="39">
        <v>30</v>
      </c>
      <c r="BO6" s="39">
        <v>31</v>
      </c>
      <c r="BP6" s="39">
        <v>31</v>
      </c>
      <c r="BQ6" s="39">
        <v>30</v>
      </c>
      <c r="BR6" s="39">
        <v>31</v>
      </c>
      <c r="BS6" s="39">
        <v>30</v>
      </c>
      <c r="BT6" s="40">
        <v>31</v>
      </c>
      <c r="BU6" s="33">
        <f>SUM(BI6:BT6)</f>
        <v>365</v>
      </c>
      <c r="BV6" s="15"/>
      <c r="BW6" s="15"/>
      <c r="BX6" s="15"/>
      <c r="BY6" s="15"/>
      <c r="BZ6" s="15"/>
      <c r="CA6" s="15"/>
      <c r="CB6" s="15"/>
      <c r="CC6" s="15"/>
      <c r="CD6" s="15"/>
      <c r="CE6" s="15"/>
      <c r="CF6" s="15"/>
      <c r="CG6" s="15"/>
      <c r="CH6" s="2"/>
      <c r="CI6" s="2"/>
      <c r="CJ6" s="15"/>
      <c r="CK6" s="2"/>
      <c r="CL6" s="2"/>
      <c r="CM6" s="15"/>
      <c r="CN6" s="2"/>
      <c r="CO6" s="2"/>
      <c r="CP6" s="15"/>
      <c r="CQ6" s="2"/>
      <c r="CR6" s="2"/>
      <c r="CS6" s="15"/>
      <c r="CT6" s="2"/>
      <c r="CU6" s="2"/>
      <c r="CV6" s="15"/>
      <c r="CW6" s="2"/>
      <c r="CX6" s="2"/>
      <c r="CY6" s="2"/>
      <c r="CZ6" s="2"/>
      <c r="DA6" s="2"/>
      <c r="DB6" s="2"/>
      <c r="DC6" s="15"/>
      <c r="DD6" s="15"/>
      <c r="DE6" s="2"/>
      <c r="DF6" s="26"/>
      <c r="DG6" s="1"/>
      <c r="DH6" s="3"/>
      <c r="DI6" s="8"/>
      <c r="DJ6" s="8"/>
      <c r="DK6" s="8"/>
      <c r="DL6" s="8"/>
      <c r="DM6" s="8"/>
      <c r="DN6" s="8"/>
      <c r="DO6" s="8"/>
      <c r="DP6" s="3"/>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row>
    <row r="7" spans="1:157" s="27" customFormat="1" ht="36.75" customHeight="1">
      <c r="A7" s="41"/>
      <c r="B7" s="42" t="s">
        <v>43</v>
      </c>
      <c r="C7" s="43"/>
      <c r="D7" s="43"/>
      <c r="E7" s="43"/>
      <c r="F7" s="43"/>
      <c r="G7" s="43"/>
      <c r="H7" s="43"/>
      <c r="I7" s="43"/>
      <c r="J7" s="43"/>
      <c r="K7" s="43"/>
      <c r="L7" s="43"/>
      <c r="M7" s="43"/>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5"/>
      <c r="BE7" s="717" t="s">
        <v>44</v>
      </c>
      <c r="BF7" s="717"/>
      <c r="BG7" s="717"/>
      <c r="BH7" s="717"/>
      <c r="BI7" s="717"/>
      <c r="BJ7" s="46">
        <f t="shared" ref="BJ7:BU7" si="0">IFERROR(ROUND(BI6/BJ5,0),BI6)</f>
        <v>2</v>
      </c>
      <c r="BK7" s="46">
        <f t="shared" si="0"/>
        <v>2</v>
      </c>
      <c r="BL7" s="46">
        <f t="shared" si="0"/>
        <v>2</v>
      </c>
      <c r="BM7" s="46">
        <f t="shared" si="0"/>
        <v>4</v>
      </c>
      <c r="BN7" s="46">
        <f t="shared" si="0"/>
        <v>16</v>
      </c>
      <c r="BO7" s="46">
        <f t="shared" si="0"/>
        <v>30</v>
      </c>
      <c r="BP7" s="46">
        <f t="shared" si="0"/>
        <v>31</v>
      </c>
      <c r="BQ7" s="46">
        <f t="shared" si="0"/>
        <v>31</v>
      </c>
      <c r="BR7" s="46">
        <f t="shared" si="0"/>
        <v>8</v>
      </c>
      <c r="BS7" s="46">
        <f t="shared" si="0"/>
        <v>3</v>
      </c>
      <c r="BT7" s="46">
        <f t="shared" si="0"/>
        <v>2</v>
      </c>
      <c r="BU7" s="46">
        <f t="shared" si="0"/>
        <v>2</v>
      </c>
      <c r="BV7" s="15"/>
      <c r="BW7" s="15"/>
      <c r="BX7" s="15"/>
      <c r="BY7" s="15"/>
      <c r="BZ7" s="15"/>
      <c r="CA7" s="15"/>
      <c r="CB7" s="15"/>
      <c r="CC7" s="15"/>
      <c r="CD7" s="15"/>
      <c r="CE7" s="15"/>
      <c r="CF7" s="15"/>
      <c r="CG7" s="15"/>
      <c r="CH7" s="15"/>
      <c r="CI7" s="2"/>
      <c r="CJ7" s="2"/>
      <c r="CK7" s="15"/>
      <c r="CL7" s="2"/>
      <c r="CM7" s="2"/>
      <c r="CN7" s="15"/>
      <c r="CO7" s="2"/>
      <c r="CP7" s="2"/>
      <c r="CQ7" s="15"/>
      <c r="CR7" s="2"/>
      <c r="CS7" s="2"/>
      <c r="CT7" s="15"/>
      <c r="CU7" s="2"/>
      <c r="CV7" s="2"/>
      <c r="CW7" s="15"/>
      <c r="CX7" s="2"/>
      <c r="CY7" s="2"/>
      <c r="CZ7" s="2"/>
      <c r="DA7" s="2"/>
      <c r="DB7" s="2"/>
      <c r="DC7" s="2"/>
      <c r="DD7" s="15"/>
      <c r="DE7" s="15"/>
      <c r="DF7" s="2"/>
      <c r="DG7" s="26"/>
      <c r="DH7" s="1"/>
      <c r="DI7" s="3"/>
      <c r="DJ7" s="8"/>
      <c r="DK7" s="8"/>
      <c r="DL7" s="8"/>
      <c r="DM7" s="8"/>
      <c r="DN7" s="787" t="s">
        <v>45</v>
      </c>
      <c r="DO7" s="788"/>
      <c r="DP7" s="789"/>
      <c r="DQ7" s="3"/>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row>
    <row r="8" spans="1:157" s="27" customFormat="1" ht="17.25" customHeight="1">
      <c r="A8" s="47"/>
      <c r="E8" s="38"/>
      <c r="F8" s="45"/>
      <c r="G8" s="45"/>
      <c r="H8" s="45"/>
      <c r="I8" s="45"/>
      <c r="L8" s="3"/>
      <c r="M8" s="3"/>
      <c r="N8" s="48"/>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45"/>
      <c r="BE8" s="717" t="s">
        <v>46</v>
      </c>
      <c r="BF8" s="717"/>
      <c r="BG8" s="717"/>
      <c r="BH8" s="717"/>
      <c r="BI8" s="717"/>
      <c r="BJ8" s="46">
        <f t="shared" ref="BJ8:BU8" si="1">IFERROR(BJ4/BJ5,BJ4)</f>
        <v>7.3529411764705879</v>
      </c>
      <c r="BK8" s="46">
        <f t="shared" si="1"/>
        <v>6.9230769230769234</v>
      </c>
      <c r="BL8" s="46">
        <f t="shared" si="1"/>
        <v>7</v>
      </c>
      <c r="BM8" s="46">
        <f t="shared" si="1"/>
        <v>7.7142857142857144</v>
      </c>
      <c r="BN8" s="46">
        <f t="shared" si="1"/>
        <v>6.5</v>
      </c>
      <c r="BO8" s="46">
        <f t="shared" si="1"/>
        <v>9</v>
      </c>
      <c r="BP8" s="46">
        <f t="shared" si="1"/>
        <v>4</v>
      </c>
      <c r="BQ8" s="46">
        <f t="shared" si="1"/>
        <v>6</v>
      </c>
      <c r="BR8" s="46">
        <f t="shared" si="1"/>
        <v>6.75</v>
      </c>
      <c r="BS8" s="46">
        <f t="shared" si="1"/>
        <v>7.2</v>
      </c>
      <c r="BT8" s="46">
        <f t="shared" si="1"/>
        <v>7.8</v>
      </c>
      <c r="BU8" s="46">
        <f t="shared" si="1"/>
        <v>7</v>
      </c>
      <c r="BV8" s="15"/>
      <c r="BW8" s="2"/>
      <c r="BX8" s="2"/>
      <c r="BY8" s="49"/>
      <c r="BZ8" s="15"/>
      <c r="CA8" s="15"/>
      <c r="CB8" s="15"/>
      <c r="CC8" s="15"/>
      <c r="CD8" s="15"/>
      <c r="CE8" s="15"/>
      <c r="CF8" s="15"/>
      <c r="CG8" s="15"/>
      <c r="CH8" s="15"/>
      <c r="CI8" s="2"/>
      <c r="CJ8" s="2"/>
      <c r="CK8" s="15"/>
      <c r="CL8" s="2"/>
      <c r="CM8" s="2"/>
      <c r="CN8" s="15"/>
      <c r="CO8" s="2"/>
      <c r="CP8" s="2"/>
      <c r="CQ8" s="15"/>
      <c r="CR8" s="2"/>
      <c r="CS8" s="2"/>
      <c r="CT8" s="15"/>
      <c r="CU8" s="2"/>
      <c r="CV8" s="2"/>
      <c r="CW8" s="15"/>
      <c r="CX8" s="2"/>
      <c r="CY8" s="2"/>
      <c r="CZ8" s="2"/>
      <c r="DA8" s="2"/>
      <c r="DB8" s="2"/>
      <c r="DC8" s="2"/>
      <c r="DD8" s="15"/>
      <c r="DE8" s="15"/>
      <c r="DF8" s="2"/>
      <c r="DG8" s="26"/>
      <c r="DH8" s="1"/>
      <c r="DI8" s="3"/>
      <c r="DJ8" s="8"/>
      <c r="DK8" s="8"/>
      <c r="DL8" s="8"/>
      <c r="DM8" s="8"/>
      <c r="DN8" s="782"/>
      <c r="DO8" s="783"/>
      <c r="DP8" s="50" t="s">
        <v>47</v>
      </c>
      <c r="DQ8" s="3"/>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784" t="s">
        <v>48</v>
      </c>
      <c r="EV8" s="784"/>
      <c r="EW8" s="8"/>
      <c r="EX8" s="8"/>
      <c r="EY8" s="8"/>
      <c r="EZ8" s="51"/>
      <c r="FA8" s="51"/>
    </row>
    <row r="9" spans="1:157" s="54" customFormat="1" ht="17.25" customHeight="1">
      <c r="A9" s="52"/>
      <c r="B9" s="53" t="s">
        <v>49</v>
      </c>
      <c r="C9" s="22"/>
      <c r="D9" s="22"/>
      <c r="E9" s="22"/>
      <c r="F9" s="22"/>
      <c r="G9" s="22"/>
      <c r="H9" s="22"/>
      <c r="M9" s="22"/>
      <c r="N9" s="55" t="s">
        <v>50</v>
      </c>
      <c r="O9" s="56"/>
      <c r="P9" s="57" t="s">
        <v>51</v>
      </c>
      <c r="Q9" s="57"/>
      <c r="R9" s="58" t="s">
        <v>52</v>
      </c>
      <c r="S9" s="58"/>
      <c r="T9" s="58"/>
      <c r="U9" s="59"/>
      <c r="V9" s="59"/>
      <c r="W9" s="60" t="s">
        <v>53</v>
      </c>
      <c r="X9" s="60"/>
      <c r="Y9" s="60"/>
      <c r="Z9" s="60"/>
      <c r="AA9" s="14"/>
      <c r="AB9" s="14"/>
      <c r="AC9" s="14"/>
      <c r="AD9" s="14"/>
      <c r="AE9" s="14"/>
      <c r="AF9" s="56"/>
      <c r="AG9" s="61" t="s">
        <v>54</v>
      </c>
      <c r="AH9" s="61"/>
      <c r="AI9" s="61"/>
      <c r="AJ9" s="61"/>
      <c r="AK9" s="61"/>
      <c r="AL9" s="61"/>
      <c r="AM9" s="61"/>
      <c r="AN9" s="14"/>
      <c r="AO9" s="56"/>
      <c r="AP9" s="56"/>
      <c r="AQ9" s="56"/>
      <c r="AR9" s="56"/>
      <c r="AS9" s="56"/>
      <c r="AT9" s="56"/>
      <c r="AU9" s="56"/>
      <c r="AV9" s="56"/>
      <c r="AW9" s="56"/>
      <c r="AX9" s="56"/>
      <c r="AY9" s="56"/>
      <c r="AZ9" s="56"/>
      <c r="BA9" s="56"/>
      <c r="BB9" s="56"/>
      <c r="BC9" s="56"/>
      <c r="BD9" s="45"/>
      <c r="BE9" s="62"/>
      <c r="BF9" s="62"/>
      <c r="BG9" s="62"/>
      <c r="BH9" s="63"/>
      <c r="BI9" s="64"/>
      <c r="BJ9" s="64"/>
      <c r="BK9" s="64"/>
      <c r="BL9" s="64"/>
      <c r="BM9" s="64"/>
      <c r="BN9" s="64"/>
      <c r="BO9" s="64"/>
      <c r="BP9" s="64"/>
      <c r="BQ9" s="64"/>
      <c r="BR9" s="64"/>
      <c r="BS9" s="64"/>
      <c r="BT9" s="64"/>
      <c r="BU9" s="64"/>
      <c r="BV9" s="64"/>
      <c r="BW9" s="65"/>
      <c r="BX9" s="65"/>
      <c r="BY9" s="65"/>
      <c r="BZ9" s="65"/>
      <c r="CA9" s="65"/>
      <c r="CB9" s="65"/>
      <c r="CC9" s="65"/>
      <c r="CD9" s="65"/>
      <c r="CE9" s="65"/>
      <c r="CF9" s="65"/>
      <c r="CG9" s="65"/>
      <c r="CH9" s="64"/>
      <c r="CI9" s="64"/>
      <c r="CJ9" s="64"/>
      <c r="CK9" s="64"/>
      <c r="CL9" s="64"/>
      <c r="CM9" s="64"/>
      <c r="CN9" s="64"/>
      <c r="CO9" s="64"/>
      <c r="CP9" s="64"/>
      <c r="CQ9" s="64"/>
      <c r="CR9" s="64"/>
      <c r="CS9" s="64"/>
      <c r="CT9" s="64"/>
      <c r="CU9" s="64"/>
      <c r="CV9" s="64"/>
      <c r="CW9" s="64"/>
      <c r="CX9" s="64"/>
      <c r="CY9" s="64"/>
      <c r="CZ9" s="64"/>
      <c r="DA9" s="64"/>
      <c r="DB9" s="64"/>
      <c r="DC9" s="64"/>
      <c r="DD9" s="65"/>
      <c r="DE9" s="65"/>
      <c r="DF9" s="64"/>
      <c r="DG9" s="66"/>
      <c r="DH9" s="62"/>
      <c r="DI9" s="22"/>
      <c r="DJ9" s="8"/>
      <c r="DK9" s="8"/>
      <c r="DL9" s="8"/>
      <c r="DM9" s="67"/>
      <c r="DN9" s="747" t="s">
        <v>55</v>
      </c>
      <c r="DO9" s="748"/>
      <c r="DP9" s="68">
        <v>15</v>
      </c>
      <c r="DQ9" s="22"/>
      <c r="DR9" s="69"/>
      <c r="DS9" s="616" t="s">
        <v>55</v>
      </c>
      <c r="DT9" s="617"/>
      <c r="DU9" s="616" t="s">
        <v>603</v>
      </c>
      <c r="DV9" s="617"/>
      <c r="DW9" s="616" t="s">
        <v>56</v>
      </c>
      <c r="DX9" s="617"/>
      <c r="DY9" s="616" t="s">
        <v>57</v>
      </c>
      <c r="DZ9" s="617"/>
      <c r="EA9" s="616" t="s">
        <v>58</v>
      </c>
      <c r="EB9" s="617"/>
      <c r="EC9" s="616" t="s">
        <v>59</v>
      </c>
      <c r="ED9" s="617"/>
      <c r="EE9" s="616" t="s">
        <v>60</v>
      </c>
      <c r="EF9" s="617"/>
      <c r="EG9" s="616" t="s">
        <v>61</v>
      </c>
      <c r="EH9" s="617"/>
      <c r="EI9" s="616" t="s">
        <v>62</v>
      </c>
      <c r="EJ9" s="617"/>
      <c r="EK9" s="616" t="s">
        <v>63</v>
      </c>
      <c r="EL9" s="617"/>
      <c r="EM9" s="616" t="s">
        <v>64</v>
      </c>
      <c r="EN9" s="617"/>
      <c r="EO9" s="616" t="s">
        <v>65</v>
      </c>
      <c r="EP9" s="617"/>
      <c r="EQ9" s="616" t="s">
        <v>66</v>
      </c>
      <c r="ER9" s="617"/>
      <c r="ES9" s="616" t="s">
        <v>620</v>
      </c>
      <c r="ET9" s="617"/>
      <c r="EU9" s="616" t="s">
        <v>67</v>
      </c>
      <c r="EV9" s="617"/>
      <c r="EW9" s="616" t="s">
        <v>68</v>
      </c>
      <c r="EX9" s="617"/>
      <c r="EY9" s="67"/>
    </row>
    <row r="10" spans="1:157" ht="17.25" customHeight="1">
      <c r="B10" s="767" t="s">
        <v>69</v>
      </c>
      <c r="C10" s="769" t="s">
        <v>609</v>
      </c>
      <c r="D10" s="770" t="s">
        <v>70</v>
      </c>
      <c r="E10" s="771"/>
      <c r="F10" s="769" t="s">
        <v>71</v>
      </c>
      <c r="G10" s="765" t="s">
        <v>72</v>
      </c>
      <c r="H10" s="765" t="s">
        <v>617</v>
      </c>
      <c r="M10" s="70"/>
      <c r="N10" s="71" t="e">
        <f>SUM(C13:C27)=#REF!</f>
        <v>#REF!</v>
      </c>
      <c r="AG10" s="72"/>
      <c r="AH10" s="73"/>
      <c r="AI10" s="74"/>
      <c r="AJ10" s="72" t="s">
        <v>73</v>
      </c>
      <c r="AK10" s="73"/>
      <c r="AL10" s="73" t="s">
        <v>74</v>
      </c>
      <c r="AM10" s="73"/>
      <c r="BD10" s="45"/>
      <c r="BE10" s="75" t="s">
        <v>75</v>
      </c>
      <c r="BF10" s="75"/>
      <c r="BG10" s="75"/>
      <c r="BH10" s="75"/>
      <c r="BI10" s="76"/>
      <c r="BJ10" s="77">
        <f>N402</f>
        <v>0</v>
      </c>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15"/>
      <c r="DF10" s="2"/>
      <c r="DG10" s="26"/>
      <c r="DH10" s="1"/>
      <c r="DN10" s="78" t="s">
        <v>56</v>
      </c>
      <c r="DO10" s="79"/>
      <c r="DP10" s="68">
        <v>5</v>
      </c>
      <c r="DR10" s="80"/>
      <c r="DS10" s="620"/>
      <c r="DT10" s="621"/>
      <c r="DU10" s="620"/>
      <c r="DV10" s="621"/>
      <c r="DW10" s="620"/>
      <c r="DX10" s="621"/>
      <c r="DY10" s="620"/>
      <c r="DZ10" s="621"/>
      <c r="EA10" s="620"/>
      <c r="EB10" s="621"/>
      <c r="EC10" s="620"/>
      <c r="ED10" s="621"/>
      <c r="EE10" s="620"/>
      <c r="EF10" s="621"/>
      <c r="EG10" s="620"/>
      <c r="EH10" s="621"/>
      <c r="EI10" s="620"/>
      <c r="EJ10" s="621"/>
      <c r="EK10" s="620"/>
      <c r="EL10" s="621"/>
      <c r="EM10" s="620"/>
      <c r="EN10" s="621"/>
      <c r="EO10" s="620"/>
      <c r="EP10" s="621"/>
      <c r="EQ10" s="620"/>
      <c r="ER10" s="621"/>
      <c r="ES10" s="620"/>
      <c r="ET10" s="621"/>
      <c r="EU10" s="620"/>
      <c r="EV10" s="621"/>
      <c r="EW10" s="620"/>
      <c r="EX10" s="621"/>
    </row>
    <row r="11" spans="1:157" ht="24.75">
      <c r="A11" s="81"/>
      <c r="B11" s="768"/>
      <c r="C11" s="769"/>
      <c r="D11" s="772"/>
      <c r="E11" s="773"/>
      <c r="F11" s="769"/>
      <c r="G11" s="766"/>
      <c r="H11" s="766"/>
      <c r="M11" s="70"/>
      <c r="N11" s="82" t="s">
        <v>76</v>
      </c>
      <c r="Q11" s="83" t="s">
        <v>77</v>
      </c>
      <c r="R11" s="83" t="s">
        <v>78</v>
      </c>
      <c r="S11" s="83"/>
      <c r="T11" s="83" t="s">
        <v>79</v>
      </c>
      <c r="U11" s="84"/>
      <c r="V11" s="85" t="s">
        <v>80</v>
      </c>
      <c r="W11" s="86" t="s">
        <v>81</v>
      </c>
      <c r="X11" s="84"/>
      <c r="Y11" s="86" t="s">
        <v>82</v>
      </c>
      <c r="Z11" s="83" t="s">
        <v>83</v>
      </c>
      <c r="AG11" s="72" t="s">
        <v>84</v>
      </c>
      <c r="AH11" s="73"/>
      <c r="AI11" s="74"/>
      <c r="AJ11" s="87" t="s">
        <v>85</v>
      </c>
      <c r="AK11" s="87" t="s">
        <v>86</v>
      </c>
      <c r="AL11" s="87" t="s">
        <v>85</v>
      </c>
      <c r="AM11" s="87" t="s">
        <v>86</v>
      </c>
      <c r="BD11" s="45"/>
      <c r="BE11" s="88" t="s">
        <v>87</v>
      </c>
      <c r="BF11" s="88"/>
      <c r="BG11" s="88"/>
      <c r="BH11" s="88"/>
      <c r="BI11" s="89"/>
      <c r="BJ11" s="90">
        <f>N400</f>
        <v>0</v>
      </c>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15"/>
      <c r="DF11" s="2"/>
      <c r="DG11" s="1"/>
      <c r="DH11" s="1"/>
      <c r="DN11" s="78" t="s">
        <v>57</v>
      </c>
      <c r="DO11" s="79"/>
      <c r="DP11" s="68">
        <v>5</v>
      </c>
      <c r="DR11" s="80"/>
      <c r="DS11" s="616" t="s">
        <v>55</v>
      </c>
      <c r="DT11" s="617"/>
      <c r="DU11" s="563"/>
      <c r="DV11" s="563"/>
      <c r="DW11" s="618" t="s">
        <v>88</v>
      </c>
      <c r="DX11" s="619"/>
      <c r="DY11" s="616" t="s">
        <v>89</v>
      </c>
      <c r="DZ11" s="617"/>
      <c r="EA11" s="616" t="s">
        <v>90</v>
      </c>
      <c r="EB11" s="617"/>
      <c r="EC11" s="616" t="s">
        <v>88</v>
      </c>
      <c r="ED11" s="617"/>
      <c r="EE11" s="616" t="s">
        <v>91</v>
      </c>
      <c r="EF11" s="617"/>
      <c r="EG11" s="616" t="s">
        <v>92</v>
      </c>
      <c r="EH11" s="617"/>
      <c r="EI11" s="616" t="s">
        <v>88</v>
      </c>
      <c r="EJ11" s="617"/>
      <c r="EK11" s="616" t="s">
        <v>93</v>
      </c>
      <c r="EL11" s="617"/>
      <c r="EM11" s="616" t="s">
        <v>88</v>
      </c>
      <c r="EN11" s="617"/>
      <c r="EO11" s="616" t="s">
        <v>93</v>
      </c>
      <c r="EP11" s="617"/>
      <c r="EQ11" s="616" t="s">
        <v>88</v>
      </c>
      <c r="ER11" s="617"/>
      <c r="ES11" s="616" t="s">
        <v>621</v>
      </c>
      <c r="ET11" s="617"/>
      <c r="EU11" s="774" t="s">
        <v>94</v>
      </c>
      <c r="EV11" s="775"/>
      <c r="EW11" s="779" t="s">
        <v>95</v>
      </c>
      <c r="EX11" s="779"/>
    </row>
    <row r="12" spans="1:157" ht="27" customHeight="1" thickBot="1">
      <c r="A12" s="81"/>
      <c r="B12" s="91"/>
      <c r="C12" s="92"/>
      <c r="D12" s="780" t="s">
        <v>96</v>
      </c>
      <c r="E12" s="781"/>
      <c r="F12" s="92"/>
      <c r="G12" s="93"/>
      <c r="H12" s="596"/>
      <c r="M12" s="70"/>
      <c r="N12" s="82"/>
      <c r="Q12" s="94"/>
      <c r="R12" s="94"/>
      <c r="S12" s="94"/>
      <c r="T12" s="94"/>
      <c r="U12" s="95"/>
      <c r="V12" s="96"/>
      <c r="W12" s="97"/>
      <c r="X12" s="95"/>
      <c r="Y12" s="97"/>
      <c r="Z12" s="94"/>
      <c r="AG12" s="72" t="s">
        <v>55</v>
      </c>
      <c r="AH12" s="73"/>
      <c r="AI12" s="74"/>
      <c r="AJ12" s="98">
        <f>DS39</f>
        <v>9.5000000000000018</v>
      </c>
      <c r="AK12" s="98">
        <f>DT39</f>
        <v>0.44999999999999996</v>
      </c>
      <c r="AL12" s="99">
        <f>DS40</f>
        <v>1</v>
      </c>
      <c r="AM12" s="99">
        <f>DT40</f>
        <v>0.05</v>
      </c>
      <c r="BD12" s="45"/>
      <c r="BE12" s="88"/>
      <c r="BF12" s="88"/>
      <c r="BG12" s="88"/>
      <c r="BH12" s="88"/>
      <c r="BI12" s="89"/>
      <c r="BJ12" s="90"/>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15"/>
      <c r="DF12" s="2"/>
      <c r="DG12" s="1"/>
      <c r="DH12" s="1"/>
      <c r="DN12" s="78" t="s">
        <v>603</v>
      </c>
      <c r="DO12" s="79"/>
      <c r="DP12" s="68">
        <v>10</v>
      </c>
      <c r="DR12" s="100"/>
      <c r="DS12" s="618"/>
      <c r="DT12" s="619"/>
      <c r="DU12" s="563"/>
      <c r="DV12" s="563"/>
      <c r="DW12" s="618"/>
      <c r="DX12" s="619"/>
      <c r="DY12" s="618"/>
      <c r="DZ12" s="619"/>
      <c r="EA12" s="618"/>
      <c r="EB12" s="619"/>
      <c r="EC12" s="618"/>
      <c r="ED12" s="619"/>
      <c r="EE12" s="618"/>
      <c r="EF12" s="619"/>
      <c r="EG12" s="618"/>
      <c r="EH12" s="619"/>
      <c r="EI12" s="618"/>
      <c r="EJ12" s="619"/>
      <c r="EK12" s="618"/>
      <c r="EL12" s="619"/>
      <c r="EM12" s="618"/>
      <c r="EN12" s="619"/>
      <c r="EO12" s="618"/>
      <c r="EP12" s="619"/>
      <c r="EQ12" s="618"/>
      <c r="ER12" s="619"/>
      <c r="ES12" s="618"/>
      <c r="ET12" s="619"/>
      <c r="EU12" s="648"/>
      <c r="EV12" s="776"/>
      <c r="EW12" s="779"/>
      <c r="EX12" s="779"/>
    </row>
    <row r="13" spans="1:157" ht="49.5" customHeight="1">
      <c r="A13" s="101"/>
      <c r="B13" s="102"/>
      <c r="C13" s="103"/>
      <c r="D13" s="745" t="s">
        <v>84</v>
      </c>
      <c r="E13" s="746"/>
      <c r="F13" s="104"/>
      <c r="G13" s="105"/>
      <c r="H13" s="599" t="s">
        <v>84</v>
      </c>
      <c r="M13" s="70"/>
      <c r="N13" s="71" t="b">
        <f>E30="yes"</f>
        <v>0</v>
      </c>
      <c r="Q13" s="94"/>
      <c r="R13" s="106"/>
      <c r="S13" s="106"/>
      <c r="T13" s="106"/>
      <c r="U13" s="107"/>
      <c r="V13" s="96"/>
      <c r="W13" s="108"/>
      <c r="X13" s="107"/>
      <c r="Y13" s="97"/>
      <c r="Z13" s="94"/>
      <c r="AG13" s="72" t="s">
        <v>603</v>
      </c>
      <c r="AH13" s="73"/>
      <c r="AI13" s="74"/>
      <c r="AJ13" s="98">
        <f>DU39</f>
        <v>7.1</v>
      </c>
      <c r="AK13" s="98">
        <f>DV39</f>
        <v>7.1</v>
      </c>
      <c r="AL13" s="99">
        <f>DU40</f>
        <v>1</v>
      </c>
      <c r="AM13" s="99">
        <f>DV40</f>
        <v>1</v>
      </c>
      <c r="BD13" s="45"/>
      <c r="BE13" s="94" t="s">
        <v>97</v>
      </c>
      <c r="BF13" s="94"/>
      <c r="BG13" s="94"/>
      <c r="BH13" s="94"/>
      <c r="BI13" s="109"/>
      <c r="BJ13" s="90">
        <f>BJ10*BJ11/1000</f>
        <v>0</v>
      </c>
      <c r="BK13" s="2"/>
      <c r="BL13" s="2"/>
      <c r="BM13" s="2"/>
      <c r="BN13" s="2"/>
      <c r="BO13" s="2"/>
      <c r="BP13" s="110" t="s">
        <v>98</v>
      </c>
      <c r="BQ13" s="111"/>
      <c r="BR13" s="111"/>
      <c r="BS13" s="111"/>
      <c r="BT13" s="111"/>
      <c r="BU13" s="111"/>
      <c r="BV13" s="111"/>
      <c r="BW13" s="111"/>
      <c r="BX13" s="111"/>
      <c r="BY13" s="111"/>
      <c r="BZ13" s="111"/>
      <c r="CA13" s="111"/>
      <c r="CB13" s="111"/>
      <c r="CC13" s="112"/>
      <c r="CD13" s="112"/>
      <c r="CE13" s="112"/>
      <c r="CF13" s="112"/>
      <c r="CG13" s="112"/>
      <c r="CH13" s="112"/>
      <c r="CI13" s="112"/>
      <c r="CJ13" s="113"/>
      <c r="CK13" s="112"/>
      <c r="CL13" s="112"/>
      <c r="CM13" s="113"/>
      <c r="CN13" s="112"/>
      <c r="CO13" s="112"/>
      <c r="CP13" s="113"/>
      <c r="CQ13" s="112"/>
      <c r="CR13" s="112"/>
      <c r="CS13" s="113"/>
      <c r="CT13" s="112"/>
      <c r="CU13" s="112"/>
      <c r="CV13" s="113"/>
      <c r="CW13" s="112"/>
      <c r="CX13" s="112"/>
      <c r="CY13" s="113"/>
      <c r="CZ13" s="2"/>
      <c r="DA13" s="2"/>
      <c r="DB13" s="2"/>
      <c r="DC13" s="2"/>
      <c r="DD13" s="2"/>
      <c r="DE13" s="15"/>
      <c r="DF13" s="2"/>
      <c r="DG13" s="1"/>
      <c r="DH13" s="1"/>
      <c r="DN13" s="78" t="s">
        <v>58</v>
      </c>
      <c r="DO13" s="79"/>
      <c r="DP13" s="68">
        <v>5</v>
      </c>
      <c r="DR13" s="114" t="s">
        <v>99</v>
      </c>
      <c r="DS13" s="620"/>
      <c r="DT13" s="621"/>
      <c r="DU13" s="620" t="s">
        <v>603</v>
      </c>
      <c r="DV13" s="621"/>
      <c r="DW13" s="620"/>
      <c r="DX13" s="621"/>
      <c r="DY13" s="620"/>
      <c r="DZ13" s="621"/>
      <c r="EA13" s="620"/>
      <c r="EB13" s="621"/>
      <c r="EC13" s="620"/>
      <c r="ED13" s="621"/>
      <c r="EE13" s="620"/>
      <c r="EF13" s="621"/>
      <c r="EG13" s="620"/>
      <c r="EH13" s="621"/>
      <c r="EI13" s="620"/>
      <c r="EJ13" s="621"/>
      <c r="EK13" s="620"/>
      <c r="EL13" s="621"/>
      <c r="EM13" s="620"/>
      <c r="EN13" s="621"/>
      <c r="EO13" s="620"/>
      <c r="EP13" s="621"/>
      <c r="EQ13" s="620"/>
      <c r="ER13" s="621"/>
      <c r="ES13" s="620"/>
      <c r="ET13" s="621"/>
      <c r="EU13" s="777"/>
      <c r="EV13" s="778"/>
      <c r="EW13" s="779"/>
      <c r="EX13" s="779"/>
    </row>
    <row r="14" spans="1:157" ht="49.5" customHeight="1">
      <c r="A14" s="101"/>
      <c r="B14" s="102"/>
      <c r="C14" s="103"/>
      <c r="D14" s="745" t="s">
        <v>84</v>
      </c>
      <c r="E14" s="746"/>
      <c r="F14" s="104"/>
      <c r="G14" s="105"/>
      <c r="H14" s="599" t="s">
        <v>84</v>
      </c>
      <c r="M14" s="70"/>
      <c r="Q14" s="94"/>
      <c r="R14" s="115" t="s">
        <v>85</v>
      </c>
      <c r="S14" s="115" t="s">
        <v>86</v>
      </c>
      <c r="T14" s="115" t="s">
        <v>85</v>
      </c>
      <c r="U14" s="115" t="s">
        <v>86</v>
      </c>
      <c r="V14" s="96"/>
      <c r="W14" s="115" t="s">
        <v>100</v>
      </c>
      <c r="X14" s="115" t="s">
        <v>101</v>
      </c>
      <c r="Y14" s="97"/>
      <c r="Z14" s="94"/>
      <c r="AG14" s="72" t="str">
        <f>DW9</f>
        <v>A1 Community / day centre</v>
      </c>
      <c r="AH14" s="73"/>
      <c r="AI14" s="74"/>
      <c r="AJ14" s="98">
        <f>DW39</f>
        <v>7.1</v>
      </c>
      <c r="AK14" s="98">
        <f>DX39</f>
        <v>0</v>
      </c>
      <c r="AL14" s="99">
        <f>DW40</f>
        <v>1</v>
      </c>
      <c r="AM14" s="99">
        <f>DX40</f>
        <v>0</v>
      </c>
      <c r="BD14" s="45"/>
      <c r="BE14" s="75" t="s">
        <v>102</v>
      </c>
      <c r="BF14" s="75"/>
      <c r="BG14" s="75"/>
      <c r="BH14" s="75"/>
      <c r="BI14" s="76"/>
      <c r="BJ14" s="90">
        <f>DK364*BJ10/1000</f>
        <v>0</v>
      </c>
      <c r="BK14" s="2"/>
      <c r="BL14" s="2"/>
      <c r="BM14" s="2"/>
      <c r="BN14" s="2"/>
      <c r="BO14" s="2"/>
      <c r="BP14" s="116"/>
      <c r="BQ14" s="117"/>
      <c r="BR14" s="117"/>
      <c r="BS14" s="117"/>
      <c r="BT14" s="117"/>
      <c r="BU14" s="117"/>
      <c r="BV14" s="117"/>
      <c r="BW14" s="117"/>
      <c r="BX14" s="117"/>
      <c r="BY14" s="117"/>
      <c r="BZ14" s="117"/>
      <c r="CA14" s="117"/>
      <c r="CB14" s="118"/>
      <c r="CC14" s="119"/>
      <c r="CD14" s="119"/>
      <c r="CE14" s="119"/>
      <c r="CF14" s="119"/>
      <c r="CG14" s="119"/>
      <c r="CH14" s="119"/>
      <c r="CI14" s="119"/>
      <c r="CJ14" s="120"/>
      <c r="CK14" s="119"/>
      <c r="CL14" s="119"/>
      <c r="CM14" s="120"/>
      <c r="CN14" s="119"/>
      <c r="CO14" s="119"/>
      <c r="CP14" s="120"/>
      <c r="CQ14" s="119"/>
      <c r="CR14" s="119"/>
      <c r="CS14" s="120"/>
      <c r="CT14" s="119"/>
      <c r="CU14" s="119"/>
      <c r="CV14" s="120"/>
      <c r="CW14" s="119"/>
      <c r="CX14" s="119"/>
      <c r="CY14" s="120"/>
      <c r="CZ14" s="2"/>
      <c r="DA14" s="2"/>
      <c r="DB14" s="2"/>
      <c r="DC14" s="2"/>
      <c r="DD14" s="2"/>
      <c r="DE14" s="15"/>
      <c r="DF14" s="2"/>
      <c r="DG14" s="1"/>
      <c r="DH14" s="1"/>
      <c r="DN14" s="78" t="s">
        <v>59</v>
      </c>
      <c r="DO14" s="79"/>
      <c r="DP14" s="68">
        <v>5</v>
      </c>
      <c r="DR14" s="121"/>
      <c r="DS14" s="122" t="s">
        <v>85</v>
      </c>
      <c r="DT14" s="122" t="s">
        <v>103</v>
      </c>
      <c r="DU14" s="122" t="s">
        <v>85</v>
      </c>
      <c r="DV14" s="122" t="s">
        <v>103</v>
      </c>
      <c r="DW14" s="122" t="s">
        <v>85</v>
      </c>
      <c r="DX14" s="122" t="s">
        <v>86</v>
      </c>
      <c r="DY14" s="122" t="s">
        <v>85</v>
      </c>
      <c r="DZ14" s="122" t="s">
        <v>86</v>
      </c>
      <c r="EA14" s="122" t="s">
        <v>85</v>
      </c>
      <c r="EB14" s="122" t="s">
        <v>86</v>
      </c>
      <c r="EC14" s="122" t="s">
        <v>85</v>
      </c>
      <c r="ED14" s="122" t="s">
        <v>86</v>
      </c>
      <c r="EE14" s="122" t="s">
        <v>85</v>
      </c>
      <c r="EF14" s="122" t="s">
        <v>86</v>
      </c>
      <c r="EG14" s="122" t="s">
        <v>85</v>
      </c>
      <c r="EH14" s="122" t="s">
        <v>86</v>
      </c>
      <c r="EI14" s="122" t="s">
        <v>85</v>
      </c>
      <c r="EJ14" s="122" t="s">
        <v>86</v>
      </c>
      <c r="EK14" s="122" t="s">
        <v>85</v>
      </c>
      <c r="EL14" s="122" t="s">
        <v>86</v>
      </c>
      <c r="EM14" s="122" t="s">
        <v>85</v>
      </c>
      <c r="EN14" s="122" t="s">
        <v>86</v>
      </c>
      <c r="EO14" s="122" t="s">
        <v>85</v>
      </c>
      <c r="EP14" s="122" t="s">
        <v>86</v>
      </c>
      <c r="EQ14" s="122" t="s">
        <v>85</v>
      </c>
      <c r="ER14" s="122" t="s">
        <v>86</v>
      </c>
      <c r="ES14" s="122" t="s">
        <v>85</v>
      </c>
      <c r="ET14" s="122" t="s">
        <v>86</v>
      </c>
      <c r="EU14" s="122" t="s">
        <v>85</v>
      </c>
      <c r="EV14" s="122" t="s">
        <v>86</v>
      </c>
      <c r="EW14" s="122" t="s">
        <v>85</v>
      </c>
      <c r="EX14" s="122" t="s">
        <v>86</v>
      </c>
    </row>
    <row r="15" spans="1:157" ht="49.5" customHeight="1">
      <c r="A15" s="123"/>
      <c r="B15" s="102"/>
      <c r="C15" s="103"/>
      <c r="D15" s="745" t="s">
        <v>84</v>
      </c>
      <c r="E15" s="746"/>
      <c r="F15" s="104"/>
      <c r="G15" s="105"/>
      <c r="H15" s="599" t="s">
        <v>84</v>
      </c>
      <c r="M15" s="70"/>
      <c r="Q15" s="124">
        <f>C13</f>
        <v>0</v>
      </c>
      <c r="R15" s="125">
        <f>IFERROR(VLOOKUP(F13,$S$38:$AF$40,14,FALSE),0)</f>
        <v>0</v>
      </c>
      <c r="S15" s="125">
        <f>IF(R15&gt;0,365-R15,0)</f>
        <v>0</v>
      </c>
      <c r="T15" s="126">
        <f>IFERROR(VLOOKUP(D13,$AG$12:$AM$27,4,FALSE)*R15,0)</f>
        <v>0</v>
      </c>
      <c r="U15" s="126">
        <f>IFERROR(VLOOKUP(D13,$AG$12:$AM$27,5,FALSE)*S15,0)</f>
        <v>0</v>
      </c>
      <c r="V15" s="126">
        <f>Q15*(T15+U15)</f>
        <v>0</v>
      </c>
      <c r="W15" s="127">
        <f t="shared" ref="W15:W29" si="2">IFERROR($Q15*$G13*VLOOKUP($D13,$AG$12:$AM$26,6,FALSE),0)</f>
        <v>0</v>
      </c>
      <c r="X15" s="127">
        <f t="shared" ref="X15:X29" si="3">IFERROR($Q15*$G13*VLOOKUP($D13,$AG$12:$AM$26,7,FALSE),0)</f>
        <v>0</v>
      </c>
      <c r="Y15" s="128">
        <f>IF(D13=$EU$9,$DK$77,VLOOKUP($H13,$DJ$72:$DK$79,2,FALSE))</f>
        <v>0</v>
      </c>
      <c r="Z15" s="126">
        <f t="shared" ref="Z15:Z29" si="4">Y15*(W15*R15+X15*S15)</f>
        <v>0</v>
      </c>
      <c r="AG15" s="72" t="str">
        <f>DY9</f>
        <v>A1 Restaurant / Public House</v>
      </c>
      <c r="AH15" s="73"/>
      <c r="AI15" s="74"/>
      <c r="AJ15" s="98">
        <f>DY39</f>
        <v>9.25</v>
      </c>
      <c r="AK15" s="98">
        <f>DZ39</f>
        <v>9.25</v>
      </c>
      <c r="AL15" s="99">
        <f>DY40</f>
        <v>1</v>
      </c>
      <c r="AM15" s="99">
        <f>DZ40</f>
        <v>1</v>
      </c>
      <c r="BD15" s="45"/>
      <c r="BE15" s="717" t="s">
        <v>104</v>
      </c>
      <c r="BF15" s="717"/>
      <c r="BG15" s="717"/>
      <c r="BH15" s="717"/>
      <c r="BI15" s="729"/>
      <c r="BJ15" s="23">
        <v>261</v>
      </c>
      <c r="BK15" s="15"/>
      <c r="BL15" s="15"/>
      <c r="BM15" s="15"/>
      <c r="BN15" s="15"/>
      <c r="BO15" s="15"/>
      <c r="BP15" s="764" t="s">
        <v>105</v>
      </c>
      <c r="BQ15" s="762"/>
      <c r="BR15" s="762"/>
      <c r="BS15" s="762" t="s">
        <v>106</v>
      </c>
      <c r="BT15" s="762"/>
      <c r="BU15" s="762"/>
      <c r="BV15" s="762" t="s">
        <v>107</v>
      </c>
      <c r="BW15" s="762"/>
      <c r="BX15" s="762"/>
      <c r="BY15" s="762" t="s">
        <v>108</v>
      </c>
      <c r="BZ15" s="762"/>
      <c r="CA15" s="762"/>
      <c r="CB15" s="762" t="s">
        <v>109</v>
      </c>
      <c r="CC15" s="762"/>
      <c r="CD15" s="762"/>
      <c r="CE15" s="762" t="s">
        <v>76</v>
      </c>
      <c r="CF15" s="762"/>
      <c r="CG15" s="762"/>
      <c r="CH15" s="762" t="s">
        <v>110</v>
      </c>
      <c r="CI15" s="762"/>
      <c r="CJ15" s="763"/>
      <c r="CK15" s="762">
        <f>B422</f>
        <v>0</v>
      </c>
      <c r="CL15" s="762"/>
      <c r="CM15" s="763"/>
      <c r="CN15" s="762">
        <f>B423</f>
        <v>0</v>
      </c>
      <c r="CO15" s="762"/>
      <c r="CP15" s="763"/>
      <c r="CQ15" s="759">
        <f>B398</f>
        <v>0</v>
      </c>
      <c r="CR15" s="760"/>
      <c r="CS15" s="761"/>
      <c r="CT15" s="759">
        <f>B399</f>
        <v>0</v>
      </c>
      <c r="CU15" s="760"/>
      <c r="CV15" s="761"/>
      <c r="CW15" s="759">
        <f>B426</f>
        <v>0</v>
      </c>
      <c r="CX15" s="760"/>
      <c r="CY15" s="761"/>
      <c r="CZ15" s="2"/>
      <c r="DA15" s="2"/>
      <c r="DB15" s="2"/>
      <c r="DC15" s="2"/>
      <c r="DD15" s="2"/>
      <c r="DE15" s="15"/>
      <c r="DF15" s="2"/>
      <c r="DG15" s="1"/>
      <c r="DH15" s="1"/>
      <c r="DN15" s="747" t="s">
        <v>60</v>
      </c>
      <c r="DO15" s="748"/>
      <c r="DP15" s="68">
        <v>5</v>
      </c>
      <c r="DR15" s="129" t="s">
        <v>111</v>
      </c>
      <c r="DS15" s="130">
        <v>0</v>
      </c>
      <c r="DT15" s="130">
        <v>0</v>
      </c>
      <c r="DU15" s="130">
        <v>0</v>
      </c>
      <c r="DV15" s="130">
        <v>0</v>
      </c>
      <c r="DW15" s="130">
        <v>0</v>
      </c>
      <c r="DX15" s="130">
        <v>0</v>
      </c>
      <c r="DY15" s="130">
        <v>0</v>
      </c>
      <c r="DZ15" s="130">
        <v>0</v>
      </c>
      <c r="EA15" s="130">
        <v>0</v>
      </c>
      <c r="EB15" s="130">
        <v>0</v>
      </c>
      <c r="EC15" s="130">
        <v>0</v>
      </c>
      <c r="ED15" s="130">
        <v>0</v>
      </c>
      <c r="EE15" s="130">
        <v>0</v>
      </c>
      <c r="EF15" s="130">
        <v>0</v>
      </c>
      <c r="EG15" s="130">
        <v>0</v>
      </c>
      <c r="EH15" s="130">
        <v>0</v>
      </c>
      <c r="EI15" s="130">
        <v>0</v>
      </c>
      <c r="EJ15" s="130">
        <v>0</v>
      </c>
      <c r="EK15" s="130">
        <v>0</v>
      </c>
      <c r="EL15" s="130">
        <v>0</v>
      </c>
      <c r="EM15" s="130">
        <v>0</v>
      </c>
      <c r="EN15" s="130">
        <v>0</v>
      </c>
      <c r="EO15" s="130">
        <v>0</v>
      </c>
      <c r="EP15" s="130">
        <v>0</v>
      </c>
      <c r="EQ15" s="130">
        <v>0</v>
      </c>
      <c r="ER15" s="130">
        <v>0</v>
      </c>
      <c r="ES15" s="130">
        <v>1</v>
      </c>
      <c r="ET15" s="130">
        <v>1</v>
      </c>
      <c r="EU15" s="131">
        <v>0</v>
      </c>
      <c r="EV15" s="130">
        <v>0</v>
      </c>
      <c r="EW15" s="187">
        <v>0.2</v>
      </c>
      <c r="EX15" s="132">
        <v>0.2</v>
      </c>
    </row>
    <row r="16" spans="1:157" ht="49.5" customHeight="1">
      <c r="A16" s="123"/>
      <c r="B16" s="102"/>
      <c r="C16" s="103"/>
      <c r="D16" s="745" t="s">
        <v>84</v>
      </c>
      <c r="E16" s="746"/>
      <c r="F16" s="104"/>
      <c r="G16" s="105"/>
      <c r="H16" s="599" t="s">
        <v>84</v>
      </c>
      <c r="M16" s="70"/>
      <c r="Q16" s="124">
        <f t="shared" ref="Q16:Q29" si="5">C14</f>
        <v>0</v>
      </c>
      <c r="R16" s="125">
        <f t="shared" ref="R16:R29" si="6">IFERROR(VLOOKUP(F14,$S$38:$AL$40,14,FALSE),0)</f>
        <v>0</v>
      </c>
      <c r="S16" s="125">
        <f t="shared" ref="S16:S29" si="7">IF(R16&gt;0,365-R16,0)</f>
        <v>0</v>
      </c>
      <c r="T16" s="126">
        <f t="shared" ref="T16:T29" si="8">IFERROR(VLOOKUP(D14,$AG$12:$AM$27,4,FALSE)*R16,0)</f>
        <v>0</v>
      </c>
      <c r="U16" s="126">
        <f t="shared" ref="U16:U29" si="9">IFERROR(VLOOKUP(D14,$AG$12:$AM$27,5,FALSE)*S16,0)</f>
        <v>0</v>
      </c>
      <c r="V16" s="126">
        <f t="shared" ref="V16:V29" si="10">Q16*(T16+U16)</f>
        <v>0</v>
      </c>
      <c r="W16" s="127">
        <f t="shared" si="2"/>
        <v>0</v>
      </c>
      <c r="X16" s="127">
        <f t="shared" si="3"/>
        <v>0</v>
      </c>
      <c r="Y16" s="128">
        <f t="shared" ref="Y16:Y29" si="11">IF(D14=$EU$9,$DK$77,VLOOKUP($H14,$DJ$72:$DK$79,2,FALSE))</f>
        <v>0</v>
      </c>
      <c r="Z16" s="126">
        <f t="shared" si="4"/>
        <v>0</v>
      </c>
      <c r="AG16" s="72" t="str">
        <f>EA9</f>
        <v>A2 Sports Centre / Leisure centre</v>
      </c>
      <c r="AH16" s="73"/>
      <c r="AI16" s="74"/>
      <c r="AJ16" s="98">
        <f>EA39</f>
        <v>3</v>
      </c>
      <c r="AK16" s="98">
        <f>EB39</f>
        <v>2</v>
      </c>
      <c r="AL16" s="99">
        <f>EA40</f>
        <v>1</v>
      </c>
      <c r="AM16" s="99">
        <f>EB40</f>
        <v>0.25</v>
      </c>
      <c r="BD16" s="45"/>
      <c r="BE16" s="1"/>
      <c r="BF16" s="1"/>
      <c r="BG16" s="1"/>
      <c r="BH16" s="136"/>
      <c r="BI16" s="2"/>
      <c r="BJ16" s="2"/>
      <c r="BK16" s="15"/>
      <c r="BL16" s="15"/>
      <c r="BM16" s="15"/>
      <c r="BN16" s="15"/>
      <c r="BO16" s="15"/>
      <c r="BP16" s="137" t="s">
        <v>112</v>
      </c>
      <c r="BQ16" s="138"/>
      <c r="BR16" s="139">
        <f>$C$415</f>
        <v>0</v>
      </c>
      <c r="BS16" s="137"/>
      <c r="BT16" s="138"/>
      <c r="BU16" s="140">
        <f>$C$416</f>
        <v>0</v>
      </c>
      <c r="BV16" s="137"/>
      <c r="BW16" s="138"/>
      <c r="BX16" s="140">
        <f>$C$417</f>
        <v>0</v>
      </c>
      <c r="BY16" s="137"/>
      <c r="BZ16" s="138"/>
      <c r="CA16" s="140">
        <f>$C$418</f>
        <v>0</v>
      </c>
      <c r="CB16" s="137"/>
      <c r="CC16" s="138"/>
      <c r="CD16" s="140">
        <f>$C$419</f>
        <v>0</v>
      </c>
      <c r="CE16" s="137"/>
      <c r="CF16" s="138"/>
      <c r="CG16" s="140">
        <f>$C$420</f>
        <v>0</v>
      </c>
      <c r="CH16" s="137"/>
      <c r="CI16" s="138"/>
      <c r="CJ16" s="140">
        <f>$C$421</f>
        <v>0</v>
      </c>
      <c r="CK16" s="137"/>
      <c r="CL16" s="138"/>
      <c r="CM16" s="140">
        <f>C422</f>
        <v>0</v>
      </c>
      <c r="CN16" s="137"/>
      <c r="CO16" s="138"/>
      <c r="CP16" s="140">
        <f>C423</f>
        <v>0</v>
      </c>
      <c r="CQ16" s="137"/>
      <c r="CR16" s="138"/>
      <c r="CS16" s="140">
        <f>C424</f>
        <v>0</v>
      </c>
      <c r="CT16" s="137"/>
      <c r="CU16" s="138"/>
      <c r="CV16" s="140">
        <f>C425</f>
        <v>0</v>
      </c>
      <c r="CW16" s="137"/>
      <c r="CX16" s="138"/>
      <c r="CY16" s="140">
        <f>C426</f>
        <v>0</v>
      </c>
      <c r="CZ16" s="141">
        <f t="shared" ref="CZ16:DF16" si="12">CZ386</f>
        <v>0</v>
      </c>
      <c r="DA16" s="141">
        <f t="shared" si="12"/>
        <v>0</v>
      </c>
      <c r="DB16" s="141">
        <f t="shared" si="12"/>
        <v>0</v>
      </c>
      <c r="DC16" s="141">
        <f t="shared" si="12"/>
        <v>0</v>
      </c>
      <c r="DD16" s="141">
        <f t="shared" si="12"/>
        <v>0</v>
      </c>
      <c r="DE16" s="141">
        <f t="shared" si="12"/>
        <v>0</v>
      </c>
      <c r="DF16" s="141">
        <f t="shared" si="12"/>
        <v>0</v>
      </c>
      <c r="DG16" s="1"/>
      <c r="DH16" s="1"/>
      <c r="DN16" s="747" t="s">
        <v>61</v>
      </c>
      <c r="DO16" s="748"/>
      <c r="DP16" s="68">
        <v>5</v>
      </c>
      <c r="DR16" s="142" t="s">
        <v>113</v>
      </c>
      <c r="DS16" s="143">
        <v>0</v>
      </c>
      <c r="DT16" s="130">
        <v>0</v>
      </c>
      <c r="DU16" s="130">
        <v>0</v>
      </c>
      <c r="DV16" s="130">
        <v>0</v>
      </c>
      <c r="DW16" s="143">
        <v>0</v>
      </c>
      <c r="DX16" s="143">
        <v>0</v>
      </c>
      <c r="DY16" s="143">
        <v>0</v>
      </c>
      <c r="DZ16" s="143">
        <v>0</v>
      </c>
      <c r="EA16" s="143">
        <v>0</v>
      </c>
      <c r="EB16" s="143">
        <v>0</v>
      </c>
      <c r="EC16" s="143">
        <v>0</v>
      </c>
      <c r="ED16" s="143">
        <v>0</v>
      </c>
      <c r="EE16" s="143">
        <v>0</v>
      </c>
      <c r="EF16" s="130">
        <v>0</v>
      </c>
      <c r="EG16" s="143">
        <v>0</v>
      </c>
      <c r="EH16" s="143">
        <v>0</v>
      </c>
      <c r="EI16" s="143">
        <v>0</v>
      </c>
      <c r="EJ16" s="143">
        <v>0</v>
      </c>
      <c r="EK16" s="143">
        <v>0</v>
      </c>
      <c r="EL16" s="143">
        <v>0</v>
      </c>
      <c r="EM16" s="143">
        <v>0</v>
      </c>
      <c r="EN16" s="143">
        <v>0</v>
      </c>
      <c r="EO16" s="143">
        <v>0</v>
      </c>
      <c r="EP16" s="130">
        <v>0</v>
      </c>
      <c r="EQ16" s="143">
        <v>0</v>
      </c>
      <c r="ER16" s="143">
        <v>0</v>
      </c>
      <c r="ES16" s="130">
        <v>1</v>
      </c>
      <c r="ET16" s="130">
        <v>1</v>
      </c>
      <c r="EU16" s="131">
        <v>0</v>
      </c>
      <c r="EV16" s="130">
        <v>0</v>
      </c>
      <c r="EW16" s="187">
        <v>0.2</v>
      </c>
      <c r="EX16" s="132">
        <v>0.2</v>
      </c>
    </row>
    <row r="17" spans="1:155" ht="49.5" customHeight="1" thickBot="1">
      <c r="A17" s="123"/>
      <c r="B17" s="102"/>
      <c r="C17" s="103"/>
      <c r="D17" s="745" t="s">
        <v>84</v>
      </c>
      <c r="E17" s="746"/>
      <c r="F17" s="104"/>
      <c r="G17" s="105"/>
      <c r="H17" s="599" t="s">
        <v>84</v>
      </c>
      <c r="M17" s="70"/>
      <c r="Q17" s="124">
        <f t="shared" si="5"/>
        <v>0</v>
      </c>
      <c r="R17" s="125">
        <f t="shared" si="6"/>
        <v>0</v>
      </c>
      <c r="S17" s="125">
        <f t="shared" si="7"/>
        <v>0</v>
      </c>
      <c r="T17" s="126">
        <f t="shared" si="8"/>
        <v>0</v>
      </c>
      <c r="U17" s="126">
        <f t="shared" si="9"/>
        <v>0</v>
      </c>
      <c r="V17" s="126">
        <f t="shared" si="10"/>
        <v>0</v>
      </c>
      <c r="W17" s="127">
        <f t="shared" si="2"/>
        <v>0</v>
      </c>
      <c r="X17" s="127">
        <f t="shared" si="3"/>
        <v>0</v>
      </c>
      <c r="Y17" s="128">
        <f t="shared" si="11"/>
        <v>0</v>
      </c>
      <c r="Z17" s="126">
        <f t="shared" si="4"/>
        <v>0</v>
      </c>
      <c r="AG17" s="133" t="str">
        <f>EC9</f>
        <v>A2 Theatres / Cinemas / Music Halls</v>
      </c>
      <c r="AH17" s="134"/>
      <c r="AI17" s="135"/>
      <c r="AJ17" s="98">
        <f>EC39</f>
        <v>8</v>
      </c>
      <c r="AK17" s="98">
        <f>ED39</f>
        <v>0</v>
      </c>
      <c r="AL17" s="99">
        <f>EC40</f>
        <v>1</v>
      </c>
      <c r="AM17" s="99">
        <f>ED40</f>
        <v>0</v>
      </c>
      <c r="BD17" s="45"/>
      <c r="BE17" s="144" t="s">
        <v>114</v>
      </c>
      <c r="BF17" s="145"/>
      <c r="BG17" s="145"/>
      <c r="BH17" s="146"/>
      <c r="BI17" s="146"/>
      <c r="BJ17" s="147" t="s">
        <v>115</v>
      </c>
      <c r="BK17" s="148"/>
      <c r="BL17" s="148"/>
      <c r="BM17" s="149" t="s">
        <v>116</v>
      </c>
      <c r="BN17" s="149"/>
      <c r="BO17" s="149"/>
      <c r="BP17" s="150" t="s">
        <v>117</v>
      </c>
      <c r="BQ17" s="151"/>
      <c r="BR17" s="152">
        <f>D415</f>
        <v>0</v>
      </c>
      <c r="BS17" s="150"/>
      <c r="BT17" s="151"/>
      <c r="BU17" s="153">
        <f>D416</f>
        <v>0</v>
      </c>
      <c r="BV17" s="150"/>
      <c r="BW17" s="151"/>
      <c r="BX17" s="153">
        <f>D417</f>
        <v>0</v>
      </c>
      <c r="BY17" s="150"/>
      <c r="BZ17" s="151"/>
      <c r="CA17" s="153">
        <f>D418</f>
        <v>0</v>
      </c>
      <c r="CB17" s="150"/>
      <c r="CC17" s="151"/>
      <c r="CD17" s="153">
        <f>D419</f>
        <v>0</v>
      </c>
      <c r="CE17" s="150"/>
      <c r="CF17" s="151"/>
      <c r="CG17" s="153">
        <f>D420</f>
        <v>0</v>
      </c>
      <c r="CH17" s="150"/>
      <c r="CI17" s="151"/>
      <c r="CJ17" s="153">
        <f>D421</f>
        <v>0</v>
      </c>
      <c r="CK17" s="150"/>
      <c r="CL17" s="151"/>
      <c r="CM17" s="153">
        <f>D422</f>
        <v>0</v>
      </c>
      <c r="CN17" s="150"/>
      <c r="CO17" s="151"/>
      <c r="CP17" s="153">
        <f>D423</f>
        <v>0</v>
      </c>
      <c r="CQ17" s="150"/>
      <c r="CR17" s="151"/>
      <c r="CS17" s="153">
        <f>D424</f>
        <v>0</v>
      </c>
      <c r="CT17" s="150"/>
      <c r="CU17" s="151"/>
      <c r="CV17" s="153">
        <f>D425</f>
        <v>0</v>
      </c>
      <c r="CW17" s="150"/>
      <c r="CX17" s="151"/>
      <c r="CY17" s="153">
        <f>D426</f>
        <v>0</v>
      </c>
      <c r="CZ17" s="154" t="s">
        <v>118</v>
      </c>
      <c r="DA17" s="155"/>
      <c r="DB17" s="155"/>
      <c r="DC17" s="156" t="s">
        <v>119</v>
      </c>
      <c r="DD17" s="156"/>
      <c r="DE17" s="156"/>
      <c r="DF17" s="156"/>
      <c r="DG17" s="1"/>
      <c r="DH17" s="1"/>
      <c r="DN17" s="747" t="s">
        <v>62</v>
      </c>
      <c r="DO17" s="748"/>
      <c r="DP17" s="68">
        <v>5</v>
      </c>
      <c r="DR17" s="142" t="s">
        <v>120</v>
      </c>
      <c r="DS17" s="143">
        <v>0</v>
      </c>
      <c r="DT17" s="130">
        <v>0</v>
      </c>
      <c r="DU17" s="130">
        <v>0</v>
      </c>
      <c r="DV17" s="130">
        <v>0</v>
      </c>
      <c r="DW17" s="143">
        <v>0</v>
      </c>
      <c r="DX17" s="143">
        <v>0</v>
      </c>
      <c r="DY17" s="143">
        <v>0</v>
      </c>
      <c r="DZ17" s="143">
        <v>0</v>
      </c>
      <c r="EA17" s="143">
        <v>0</v>
      </c>
      <c r="EB17" s="143">
        <v>0</v>
      </c>
      <c r="EC17" s="143">
        <v>0</v>
      </c>
      <c r="ED17" s="143">
        <v>0</v>
      </c>
      <c r="EE17" s="143">
        <v>0</v>
      </c>
      <c r="EF17" s="130">
        <v>0</v>
      </c>
      <c r="EG17" s="143">
        <v>0</v>
      </c>
      <c r="EH17" s="143">
        <v>0</v>
      </c>
      <c r="EI17" s="143">
        <v>0</v>
      </c>
      <c r="EJ17" s="143">
        <v>0</v>
      </c>
      <c r="EK17" s="143">
        <v>0</v>
      </c>
      <c r="EL17" s="143">
        <v>0</v>
      </c>
      <c r="EM17" s="143">
        <v>0</v>
      </c>
      <c r="EN17" s="143">
        <v>0</v>
      </c>
      <c r="EO17" s="143">
        <v>0</v>
      </c>
      <c r="EP17" s="130">
        <v>0</v>
      </c>
      <c r="EQ17" s="143">
        <v>0</v>
      </c>
      <c r="ER17" s="143">
        <v>0</v>
      </c>
      <c r="ES17" s="130">
        <v>1</v>
      </c>
      <c r="ET17" s="130">
        <v>1</v>
      </c>
      <c r="EU17" s="131">
        <v>0</v>
      </c>
      <c r="EV17" s="130">
        <v>0</v>
      </c>
      <c r="EW17" s="187">
        <v>0.2</v>
      </c>
      <c r="EX17" s="132">
        <v>0.2</v>
      </c>
    </row>
    <row r="18" spans="1:155" ht="49.5" customHeight="1">
      <c r="A18" s="123"/>
      <c r="B18" s="102"/>
      <c r="C18" s="103"/>
      <c r="D18" s="745" t="s">
        <v>84</v>
      </c>
      <c r="E18" s="746"/>
      <c r="F18" s="104"/>
      <c r="G18" s="105"/>
      <c r="H18" s="599" t="s">
        <v>84</v>
      </c>
      <c r="M18" s="70"/>
      <c r="Q18" s="124">
        <f t="shared" si="5"/>
        <v>0</v>
      </c>
      <c r="R18" s="125">
        <f t="shared" si="6"/>
        <v>0</v>
      </c>
      <c r="S18" s="125">
        <f t="shared" si="7"/>
        <v>0</v>
      </c>
      <c r="T18" s="126">
        <f t="shared" si="8"/>
        <v>0</v>
      </c>
      <c r="U18" s="126">
        <f t="shared" si="9"/>
        <v>0</v>
      </c>
      <c r="V18" s="126">
        <f t="shared" si="10"/>
        <v>0</v>
      </c>
      <c r="W18" s="127">
        <f t="shared" si="2"/>
        <v>0</v>
      </c>
      <c r="X18" s="127">
        <f t="shared" si="3"/>
        <v>0</v>
      </c>
      <c r="Y18" s="128">
        <f t="shared" si="11"/>
        <v>0</v>
      </c>
      <c r="Z18" s="126">
        <f t="shared" si="4"/>
        <v>0</v>
      </c>
      <c r="AG18" s="133" t="str">
        <f>EE9</f>
        <v>A3 Tertiary Education</v>
      </c>
      <c r="AH18" s="134"/>
      <c r="AI18" s="135"/>
      <c r="AJ18" s="98">
        <f>EE39</f>
        <v>9</v>
      </c>
      <c r="AK18" s="98">
        <f>EF39</f>
        <v>0</v>
      </c>
      <c r="AL18" s="99">
        <f>EE40</f>
        <v>1</v>
      </c>
      <c r="AM18" s="99">
        <f>EF40</f>
        <v>0</v>
      </c>
      <c r="BD18" s="45"/>
      <c r="BE18" s="757" t="s">
        <v>121</v>
      </c>
      <c r="BF18" s="643" t="s">
        <v>122</v>
      </c>
      <c r="BG18" s="643" t="s">
        <v>123</v>
      </c>
      <c r="BH18" s="643" t="s">
        <v>124</v>
      </c>
      <c r="BI18" s="643" t="s">
        <v>125</v>
      </c>
      <c r="BJ18" s="643" t="s">
        <v>126</v>
      </c>
      <c r="BK18" s="643" t="s">
        <v>46</v>
      </c>
      <c r="BL18" s="643" t="s">
        <v>127</v>
      </c>
      <c r="BM18" s="643" t="s">
        <v>128</v>
      </c>
      <c r="BN18" s="643" t="s">
        <v>129</v>
      </c>
      <c r="BO18" s="643" t="s">
        <v>130</v>
      </c>
      <c r="BP18" s="758" t="s">
        <v>131</v>
      </c>
      <c r="BQ18" s="643" t="s">
        <v>132</v>
      </c>
      <c r="BR18" s="643" t="s">
        <v>133</v>
      </c>
      <c r="BS18" s="754" t="s">
        <v>131</v>
      </c>
      <c r="BT18" s="643" t="s">
        <v>132</v>
      </c>
      <c r="BU18" s="755" t="s">
        <v>133</v>
      </c>
      <c r="BV18" s="754" t="s">
        <v>131</v>
      </c>
      <c r="BW18" s="643" t="s">
        <v>132</v>
      </c>
      <c r="BX18" s="755" t="s">
        <v>133</v>
      </c>
      <c r="BY18" s="754" t="s">
        <v>131</v>
      </c>
      <c r="BZ18" s="643" t="s">
        <v>132</v>
      </c>
      <c r="CA18" s="755" t="s">
        <v>133</v>
      </c>
      <c r="CB18" s="754" t="s">
        <v>131</v>
      </c>
      <c r="CC18" s="643" t="s">
        <v>132</v>
      </c>
      <c r="CD18" s="755" t="s">
        <v>133</v>
      </c>
      <c r="CE18" s="754" t="s">
        <v>131</v>
      </c>
      <c r="CF18" s="643" t="s">
        <v>132</v>
      </c>
      <c r="CG18" s="755" t="s">
        <v>133</v>
      </c>
      <c r="CH18" s="754" t="s">
        <v>131</v>
      </c>
      <c r="CI18" s="643" t="s">
        <v>132</v>
      </c>
      <c r="CJ18" s="643" t="s">
        <v>133</v>
      </c>
      <c r="CK18" s="754" t="s">
        <v>131</v>
      </c>
      <c r="CL18" s="643" t="s">
        <v>132</v>
      </c>
      <c r="CM18" s="643" t="s">
        <v>133</v>
      </c>
      <c r="CN18" s="754" t="s">
        <v>131</v>
      </c>
      <c r="CO18" s="643" t="s">
        <v>132</v>
      </c>
      <c r="CP18" s="643" t="s">
        <v>133</v>
      </c>
      <c r="CQ18" s="749" t="s">
        <v>131</v>
      </c>
      <c r="CR18" s="751" t="s">
        <v>132</v>
      </c>
      <c r="CS18" s="752" t="s">
        <v>133</v>
      </c>
      <c r="CT18" s="749" t="s">
        <v>131</v>
      </c>
      <c r="CU18" s="751" t="s">
        <v>132</v>
      </c>
      <c r="CV18" s="752" t="s">
        <v>133</v>
      </c>
      <c r="CW18" s="749" t="s">
        <v>131</v>
      </c>
      <c r="CX18" s="751" t="s">
        <v>132</v>
      </c>
      <c r="CY18" s="752" t="s">
        <v>133</v>
      </c>
      <c r="CZ18" s="157" t="s">
        <v>134</v>
      </c>
      <c r="DA18" s="158" t="s">
        <v>135</v>
      </c>
      <c r="DB18" s="159" t="s">
        <v>136</v>
      </c>
      <c r="DC18" s="6" t="s">
        <v>137</v>
      </c>
      <c r="DD18" s="6" t="s">
        <v>138</v>
      </c>
      <c r="DE18" s="6" t="s">
        <v>139</v>
      </c>
      <c r="DF18" s="6" t="s">
        <v>140</v>
      </c>
      <c r="DG18" s="160"/>
      <c r="DH18" s="1"/>
      <c r="DN18" s="747" t="s">
        <v>63</v>
      </c>
      <c r="DO18" s="748"/>
      <c r="DP18" s="68">
        <v>10</v>
      </c>
      <c r="DR18" s="142" t="s">
        <v>141</v>
      </c>
      <c r="DS18" s="161">
        <v>0</v>
      </c>
      <c r="DT18" s="130">
        <v>0</v>
      </c>
      <c r="DU18" s="130">
        <v>0</v>
      </c>
      <c r="DV18" s="130">
        <v>0</v>
      </c>
      <c r="DW18" s="161">
        <v>0</v>
      </c>
      <c r="DX18" s="161">
        <v>0</v>
      </c>
      <c r="DY18" s="161">
        <v>0</v>
      </c>
      <c r="DZ18" s="161">
        <v>0</v>
      </c>
      <c r="EA18" s="161">
        <v>0</v>
      </c>
      <c r="EB18" s="161">
        <v>0</v>
      </c>
      <c r="EC18" s="161">
        <v>0</v>
      </c>
      <c r="ED18" s="161">
        <v>0</v>
      </c>
      <c r="EE18" s="161">
        <v>0</v>
      </c>
      <c r="EF18" s="130">
        <v>0</v>
      </c>
      <c r="EG18" s="161">
        <v>0</v>
      </c>
      <c r="EH18" s="161">
        <v>0</v>
      </c>
      <c r="EI18" s="161">
        <v>0</v>
      </c>
      <c r="EJ18" s="161">
        <v>0</v>
      </c>
      <c r="EK18" s="161">
        <v>0</v>
      </c>
      <c r="EL18" s="161">
        <v>0</v>
      </c>
      <c r="EM18" s="161">
        <v>0</v>
      </c>
      <c r="EN18" s="161">
        <v>0</v>
      </c>
      <c r="EO18" s="161">
        <v>0</v>
      </c>
      <c r="EP18" s="130">
        <v>0</v>
      </c>
      <c r="EQ18" s="161">
        <v>0</v>
      </c>
      <c r="ER18" s="161">
        <v>0</v>
      </c>
      <c r="ES18" s="130">
        <v>1</v>
      </c>
      <c r="ET18" s="130">
        <v>1</v>
      </c>
      <c r="EU18" s="131">
        <v>0</v>
      </c>
      <c r="EV18" s="130">
        <v>0</v>
      </c>
      <c r="EW18" s="187">
        <v>0.2</v>
      </c>
      <c r="EX18" s="132">
        <v>0.2</v>
      </c>
    </row>
    <row r="19" spans="1:155" ht="49.5" customHeight="1">
      <c r="A19" s="123"/>
      <c r="B19" s="102"/>
      <c r="C19" s="103"/>
      <c r="D19" s="745" t="s">
        <v>84</v>
      </c>
      <c r="E19" s="746"/>
      <c r="F19" s="104"/>
      <c r="G19" s="105"/>
      <c r="H19" s="599" t="s">
        <v>84</v>
      </c>
      <c r="M19" s="70"/>
      <c r="Q19" s="124">
        <f t="shared" si="5"/>
        <v>0</v>
      </c>
      <c r="R19" s="125">
        <f t="shared" si="6"/>
        <v>0</v>
      </c>
      <c r="S19" s="125">
        <f t="shared" si="7"/>
        <v>0</v>
      </c>
      <c r="T19" s="126">
        <f t="shared" si="8"/>
        <v>0</v>
      </c>
      <c r="U19" s="126">
        <f t="shared" si="9"/>
        <v>0</v>
      </c>
      <c r="V19" s="126">
        <f t="shared" si="10"/>
        <v>0</v>
      </c>
      <c r="W19" s="127">
        <f t="shared" si="2"/>
        <v>0</v>
      </c>
      <c r="X19" s="127">
        <f t="shared" si="3"/>
        <v>0</v>
      </c>
      <c r="Y19" s="128">
        <f t="shared" si="11"/>
        <v>0</v>
      </c>
      <c r="Z19" s="126">
        <f t="shared" si="4"/>
        <v>0</v>
      </c>
      <c r="AG19" s="133" t="str">
        <f>EG9</f>
        <v>A3 Primary and Secondary Schools</v>
      </c>
      <c r="AH19" s="134"/>
      <c r="AI19" s="135"/>
      <c r="AJ19" s="98">
        <f>EG39</f>
        <v>7.1</v>
      </c>
      <c r="AK19" s="98">
        <f>EH39</f>
        <v>0</v>
      </c>
      <c r="AL19" s="99">
        <f>EG40</f>
        <v>1</v>
      </c>
      <c r="AM19" s="99">
        <f>EH40</f>
        <v>0</v>
      </c>
      <c r="BD19" s="45"/>
      <c r="BE19" s="757"/>
      <c r="BF19" s="643"/>
      <c r="BG19" s="643"/>
      <c r="BH19" s="643"/>
      <c r="BI19" s="643"/>
      <c r="BJ19" s="643"/>
      <c r="BK19" s="643"/>
      <c r="BL19" s="643"/>
      <c r="BM19" s="643"/>
      <c r="BN19" s="643"/>
      <c r="BO19" s="643"/>
      <c r="BP19" s="758"/>
      <c r="BQ19" s="643"/>
      <c r="BR19" s="643"/>
      <c r="BS19" s="750"/>
      <c r="BT19" s="686"/>
      <c r="BU19" s="756"/>
      <c r="BV19" s="750"/>
      <c r="BW19" s="686"/>
      <c r="BX19" s="756"/>
      <c r="BY19" s="750"/>
      <c r="BZ19" s="686"/>
      <c r="CA19" s="756"/>
      <c r="CB19" s="750"/>
      <c r="CC19" s="686"/>
      <c r="CD19" s="756"/>
      <c r="CE19" s="750"/>
      <c r="CF19" s="686"/>
      <c r="CG19" s="756"/>
      <c r="CH19" s="750"/>
      <c r="CI19" s="686"/>
      <c r="CJ19" s="686"/>
      <c r="CK19" s="750"/>
      <c r="CL19" s="686"/>
      <c r="CM19" s="686"/>
      <c r="CN19" s="750"/>
      <c r="CO19" s="686"/>
      <c r="CP19" s="686"/>
      <c r="CQ19" s="750"/>
      <c r="CR19" s="686"/>
      <c r="CS19" s="753"/>
      <c r="CT19" s="750"/>
      <c r="CU19" s="686"/>
      <c r="CV19" s="753"/>
      <c r="CW19" s="750"/>
      <c r="CX19" s="686"/>
      <c r="CY19" s="753"/>
      <c r="CZ19" s="163"/>
      <c r="DA19" s="6"/>
      <c r="DB19" s="164"/>
      <c r="DC19" s="6"/>
      <c r="DD19" s="6"/>
      <c r="DE19" s="6"/>
      <c r="DF19" s="6"/>
      <c r="DG19" s="1"/>
      <c r="DH19" s="1"/>
      <c r="DN19" s="747" t="s">
        <v>64</v>
      </c>
      <c r="DO19" s="748"/>
      <c r="DP19" s="68">
        <v>10</v>
      </c>
      <c r="DR19" s="142" t="s">
        <v>142</v>
      </c>
      <c r="DS19" s="161">
        <v>0</v>
      </c>
      <c r="DT19" s="130">
        <v>0</v>
      </c>
      <c r="DU19" s="130">
        <v>0</v>
      </c>
      <c r="DV19" s="130">
        <v>0</v>
      </c>
      <c r="DW19" s="161">
        <v>0</v>
      </c>
      <c r="DX19" s="161">
        <v>0</v>
      </c>
      <c r="DY19" s="161">
        <v>0</v>
      </c>
      <c r="DZ19" s="161">
        <v>0</v>
      </c>
      <c r="EA19" s="161">
        <v>0</v>
      </c>
      <c r="EB19" s="161">
        <v>0</v>
      </c>
      <c r="EC19" s="161">
        <v>0</v>
      </c>
      <c r="ED19" s="161">
        <v>0</v>
      </c>
      <c r="EE19" s="161">
        <v>0</v>
      </c>
      <c r="EF19" s="130">
        <v>0</v>
      </c>
      <c r="EG19" s="161">
        <v>0</v>
      </c>
      <c r="EH19" s="161">
        <v>0</v>
      </c>
      <c r="EI19" s="161">
        <v>0</v>
      </c>
      <c r="EJ19" s="161">
        <v>0</v>
      </c>
      <c r="EK19" s="161">
        <v>0</v>
      </c>
      <c r="EL19" s="161">
        <v>0</v>
      </c>
      <c r="EM19" s="161">
        <v>0</v>
      </c>
      <c r="EN19" s="161">
        <v>0</v>
      </c>
      <c r="EO19" s="161">
        <v>0</v>
      </c>
      <c r="EP19" s="130">
        <v>0</v>
      </c>
      <c r="EQ19" s="161">
        <v>0</v>
      </c>
      <c r="ER19" s="161">
        <v>0</v>
      </c>
      <c r="ES19" s="130">
        <v>1</v>
      </c>
      <c r="ET19" s="130">
        <v>1</v>
      </c>
      <c r="EU19" s="131">
        <v>0</v>
      </c>
      <c r="EV19" s="130">
        <v>0</v>
      </c>
      <c r="EW19" s="187">
        <v>0.2</v>
      </c>
      <c r="EX19" s="132">
        <v>0.2</v>
      </c>
      <c r="EY19" s="7"/>
    </row>
    <row r="20" spans="1:155" ht="49.5" customHeight="1">
      <c r="A20" s="123"/>
      <c r="B20" s="102"/>
      <c r="C20" s="103"/>
      <c r="D20" s="745" t="s">
        <v>84</v>
      </c>
      <c r="E20" s="746"/>
      <c r="F20" s="104"/>
      <c r="G20" s="105"/>
      <c r="H20" s="599" t="s">
        <v>84</v>
      </c>
      <c r="M20" s="70"/>
      <c r="Q20" s="124">
        <f t="shared" si="5"/>
        <v>0</v>
      </c>
      <c r="R20" s="125">
        <f t="shared" si="6"/>
        <v>0</v>
      </c>
      <c r="S20" s="125">
        <f t="shared" si="7"/>
        <v>0</v>
      </c>
      <c r="T20" s="126">
        <f t="shared" si="8"/>
        <v>0</v>
      </c>
      <c r="U20" s="126">
        <f t="shared" si="9"/>
        <v>0</v>
      </c>
      <c r="V20" s="126">
        <f t="shared" si="10"/>
        <v>0</v>
      </c>
      <c r="W20" s="127">
        <f t="shared" si="2"/>
        <v>0</v>
      </c>
      <c r="X20" s="127">
        <f t="shared" si="3"/>
        <v>0</v>
      </c>
      <c r="Y20" s="128">
        <f t="shared" si="11"/>
        <v>0</v>
      </c>
      <c r="Z20" s="126">
        <f t="shared" si="4"/>
        <v>0</v>
      </c>
      <c r="AG20" s="133" t="str">
        <f>EI9</f>
        <v>A4 Places of Worship</v>
      </c>
      <c r="AH20" s="134"/>
      <c r="AI20" s="135"/>
      <c r="AJ20" s="98">
        <f>EI39</f>
        <v>7.1</v>
      </c>
      <c r="AK20" s="98">
        <f>EJ39</f>
        <v>0</v>
      </c>
      <c r="AL20" s="99">
        <f>EG40</f>
        <v>1</v>
      </c>
      <c r="AM20" s="99">
        <f>EH40</f>
        <v>0</v>
      </c>
      <c r="BD20" s="45"/>
      <c r="BE20" s="165" t="s">
        <v>11</v>
      </c>
      <c r="BF20" s="23">
        <v>21</v>
      </c>
      <c r="BG20" s="23">
        <v>1</v>
      </c>
      <c r="BH20" s="23">
        <v>5</v>
      </c>
      <c r="BI20" s="90" t="b">
        <f>BH20&lt;=5</f>
        <v>1</v>
      </c>
      <c r="BJ20" s="46" t="b">
        <f>MOD(BG20,$BJ$7)=0</f>
        <v>0</v>
      </c>
      <c r="BK20" s="166">
        <f t="shared" ref="BK20:BK50" si="13">IF(BJ20,BJ$8,0)</f>
        <v>0</v>
      </c>
      <c r="BL20" s="167">
        <f>BK20</f>
        <v>0</v>
      </c>
      <c r="BM20" s="23">
        <f t="shared" ref="BM20:BM83" si="14">BL20*$BJ$13</f>
        <v>0</v>
      </c>
      <c r="BN20" s="90">
        <f t="shared" ref="BN20:BN83" si="15">$BJ$14*(BL20&gt;0)</f>
        <v>0</v>
      </c>
      <c r="BO20" s="24">
        <f>BM20-BN20</f>
        <v>0</v>
      </c>
      <c r="BP20" s="168">
        <f t="shared" ref="BP20:BP50" si="16">$Q$334/$BF$20*BR$16*$BI20</f>
        <v>0</v>
      </c>
      <c r="BQ20" s="169">
        <f t="shared" ref="BQ20:BQ50" si="17">AQ$369/$BF20*$BI20</f>
        <v>0</v>
      </c>
      <c r="BR20" s="170">
        <f t="shared" ref="BR20:BR83" si="18">IF(BP20-(BQ20*$BR$17)&gt;0,BP20-(BQ20*$BR$17),0)</f>
        <v>0</v>
      </c>
      <c r="BS20" s="168">
        <f t="shared" ref="BS20:BS50" si="19">$R$334/$BF$20*BU$16*$BI20</f>
        <v>0</v>
      </c>
      <c r="BT20" s="171">
        <f t="shared" ref="BT20:BT50" si="20">AR$369/$BF20*$BI20</f>
        <v>0</v>
      </c>
      <c r="BU20" s="170">
        <f t="shared" ref="BU20:BU83" si="21">IF(BS20-(BT20*BU$17)&gt;0,BS20-(BT20*BU$17),0)</f>
        <v>0</v>
      </c>
      <c r="BV20" s="168">
        <f t="shared" ref="BV20:BV50" si="22">$S$334/$BF$20*BX$16*$BI20</f>
        <v>0</v>
      </c>
      <c r="BW20" s="171">
        <f t="shared" ref="BW20:BW50" si="23">AS$369/$BF20*$BI20</f>
        <v>0</v>
      </c>
      <c r="BX20" s="170">
        <f t="shared" ref="BX20:BX83" si="24">IF(BV20-(BW20*BX$17)&gt;0,BV20-(BW20*BX$17),0)</f>
        <v>0</v>
      </c>
      <c r="BY20" s="168">
        <f t="shared" ref="BY20:BY50" si="25">$T$334/$BF$20*CA$16*$BI20</f>
        <v>0</v>
      </c>
      <c r="BZ20" s="171">
        <f t="shared" ref="BZ20:BZ50" si="26">AT$369/$BF20*$BI20</f>
        <v>0</v>
      </c>
      <c r="CA20" s="170">
        <f t="shared" ref="CA20:CA83" si="27">IF(BY20-(BZ20*CA$17)&gt;0,BY20-(BZ20*CA$17),0)</f>
        <v>0</v>
      </c>
      <c r="CB20" s="90">
        <f t="shared" ref="CB20:CB50" si="28">$W$334/BF20*$CD$16*BI20</f>
        <v>0</v>
      </c>
      <c r="CC20" s="171">
        <f t="shared" ref="CC20:CC50" si="29">AU$369/$BF20*$BI20</f>
        <v>0</v>
      </c>
      <c r="CD20" s="170">
        <f t="shared" ref="CD20:CD83" si="30">IF(CB20-(CC20*CD$17)&gt;0,CB20-(CC20*CD$17),0)</f>
        <v>0</v>
      </c>
      <c r="CE20" s="90">
        <f t="shared" ref="CE20:CE50" si="31">$X$334/BF20*$CG$16*BI20</f>
        <v>0</v>
      </c>
      <c r="CF20" s="171">
        <f t="shared" ref="CF20:CF50" si="32">AV$369/$BF20*$BI20</f>
        <v>0</v>
      </c>
      <c r="CG20" s="170">
        <f t="shared" ref="CG20:CG83" si="33">IF(CE20-(CF20*CG$17)&gt;0,CE20-(CF20*CG$17),0)</f>
        <v>0</v>
      </c>
      <c r="CH20" s="90">
        <f t="shared" ref="CH20:CH50" si="34">$Y$334/BF20*BI20*$CJ$16</f>
        <v>0</v>
      </c>
      <c r="CI20" s="171">
        <f t="shared" ref="CI20:CI50" si="35">AW$369/$BF20*$BI20</f>
        <v>0</v>
      </c>
      <c r="CJ20" s="170">
        <f t="shared" ref="CJ20:CJ83" si="36">IF(CH20-(CI20*CJ$17)&gt;0,CH20-(CI20*CJ$17),0)</f>
        <v>0</v>
      </c>
      <c r="CK20" s="90">
        <f t="shared" ref="CK20:CK50" si="37">$Z$334/BF20*BI20*$CM$16</f>
        <v>0</v>
      </c>
      <c r="CL20" s="171">
        <f t="shared" ref="CL20:CL50" si="38">AX$369/$BF20*$BI20</f>
        <v>0</v>
      </c>
      <c r="CM20" s="170">
        <f t="shared" ref="CM20:CM83" si="39">IF(CK20-(CL20*CM$17)&gt;0,CK20-(CL20*CM$17),0)</f>
        <v>0</v>
      </c>
      <c r="CN20" s="90">
        <f t="shared" ref="CN20:CN50" si="40">$AA$334/BF20*BI20*$CP$16</f>
        <v>0</v>
      </c>
      <c r="CO20" s="171">
        <f t="shared" ref="CO20:CO50" si="41">$AY$369/$BF20*$BI20</f>
        <v>0</v>
      </c>
      <c r="CP20" s="170">
        <f t="shared" ref="CP20:CP83" si="42">IF(CN20-(CO20*CP$17)&gt;0,CN20-(CO20*CP$17),0)</f>
        <v>0</v>
      </c>
      <c r="CQ20" s="90">
        <f t="shared" ref="CQ20:CQ50" si="43">$AB$334/BF20*BI20*$CS$16</f>
        <v>0</v>
      </c>
      <c r="CR20" s="171">
        <f t="shared" ref="CR20:CR50" si="44">AZ$369/$BF20*$BI20</f>
        <v>0</v>
      </c>
      <c r="CS20" s="170">
        <f t="shared" ref="CS20:CS83" si="45">IF(CQ20-(CR20*CS$17)&gt;0,CQ20-(CR20*CS$17),0)</f>
        <v>0</v>
      </c>
      <c r="CT20" s="172">
        <f t="shared" ref="CT20:CT50" si="46">$AC$334/BF20*BI20*$CV$16</f>
        <v>0</v>
      </c>
      <c r="CU20" s="171">
        <f t="shared" ref="CU20:CU50" si="47">BA$369/$BF20*$BI20</f>
        <v>0</v>
      </c>
      <c r="CV20" s="170">
        <f t="shared" ref="CV20:CV83" si="48">IF(CT20-(CU20*CV$17)&gt;0,CT20-(CU20*CV$17),0)</f>
        <v>0</v>
      </c>
      <c r="CW20" s="90">
        <f t="shared" ref="CW20:CW50" si="49">$AD$334/BF20*BI20*$CY$16</f>
        <v>0</v>
      </c>
      <c r="CX20" s="171">
        <f t="shared" ref="CX20:CX50" si="50">BB$369/$BF20*$BI20</f>
        <v>0</v>
      </c>
      <c r="CY20" s="170">
        <f t="shared" ref="CY20:CY83" si="51">IF(CW20-(CX20*CY$17)&gt;0,CW20-(CX20*CY$17),0)</f>
        <v>0</v>
      </c>
      <c r="CZ20" s="168">
        <f t="shared" ref="CZ20:CZ83" si="52">BO20</f>
        <v>0</v>
      </c>
      <c r="DA20" s="172">
        <f>BR20+BU20+BX20+CA20+CD20+CG20+CJ20+CM20+CP20+CS20+CV20+CY20</f>
        <v>0</v>
      </c>
      <c r="DB20" s="173">
        <f>CZ20-DA20</f>
        <v>0</v>
      </c>
      <c r="DC20" s="174">
        <f>IF($DB20&lt;0,0,IF($DB20&gt;$F$405,$F$405,$DB20))</f>
        <v>0</v>
      </c>
      <c r="DD20" s="172">
        <f>IF($DB20+DC384&lt;0,0,IF($DB20+DC384&gt;$F$405,$F$405,$DB20+DC384))</f>
        <v>0</v>
      </c>
      <c r="DE20" s="172">
        <f>IF($DB20+DD384&lt;0,0,IF($DB20+DD384&gt;$F$405,$F$405,$DB20+DD384))</f>
        <v>0</v>
      </c>
      <c r="DF20" s="172">
        <f>IF(DA20-(DE384+CZ20)&lt;0,0,DA20-(DE384+CZ20))</f>
        <v>0</v>
      </c>
      <c r="DG20" s="1"/>
      <c r="DH20" s="1"/>
      <c r="DJ20" s="7"/>
      <c r="DN20" s="747" t="s">
        <v>65</v>
      </c>
      <c r="DO20" s="748"/>
      <c r="DP20" s="68">
        <v>20</v>
      </c>
      <c r="DR20" s="142" t="s">
        <v>143</v>
      </c>
      <c r="DS20" s="161">
        <v>0</v>
      </c>
      <c r="DT20" s="130">
        <v>0</v>
      </c>
      <c r="DU20" s="130">
        <v>0</v>
      </c>
      <c r="DV20" s="130">
        <v>0</v>
      </c>
      <c r="DW20" s="161">
        <v>0</v>
      </c>
      <c r="DX20" s="161">
        <v>0</v>
      </c>
      <c r="DY20" s="161">
        <v>0</v>
      </c>
      <c r="DZ20" s="161">
        <v>0</v>
      </c>
      <c r="EA20" s="161">
        <v>0</v>
      </c>
      <c r="EB20" s="161">
        <v>0</v>
      </c>
      <c r="EC20" s="161">
        <v>0</v>
      </c>
      <c r="ED20" s="161">
        <v>0</v>
      </c>
      <c r="EE20" s="161">
        <v>0</v>
      </c>
      <c r="EF20" s="130">
        <v>0</v>
      </c>
      <c r="EG20" s="161">
        <v>0</v>
      </c>
      <c r="EH20" s="161">
        <v>0</v>
      </c>
      <c r="EI20" s="161">
        <v>0</v>
      </c>
      <c r="EJ20" s="161">
        <v>0</v>
      </c>
      <c r="EK20" s="161">
        <v>0</v>
      </c>
      <c r="EL20" s="161">
        <v>0</v>
      </c>
      <c r="EM20" s="161">
        <v>0</v>
      </c>
      <c r="EN20" s="161">
        <v>0</v>
      </c>
      <c r="EO20" s="161">
        <v>0</v>
      </c>
      <c r="EP20" s="130">
        <v>0</v>
      </c>
      <c r="EQ20" s="161">
        <v>0</v>
      </c>
      <c r="ER20" s="161">
        <v>0</v>
      </c>
      <c r="ES20" s="130">
        <v>1</v>
      </c>
      <c r="ET20" s="130">
        <v>1</v>
      </c>
      <c r="EU20" s="131">
        <v>0</v>
      </c>
      <c r="EV20" s="130">
        <v>0</v>
      </c>
      <c r="EW20" s="187">
        <v>0.2</v>
      </c>
      <c r="EX20" s="132">
        <v>0.2</v>
      </c>
      <c r="EY20" s="7"/>
    </row>
    <row r="21" spans="1:155" ht="49.5" customHeight="1">
      <c r="A21" s="123"/>
      <c r="B21" s="102"/>
      <c r="C21" s="103"/>
      <c r="D21" s="745" t="s">
        <v>84</v>
      </c>
      <c r="E21" s="746"/>
      <c r="F21" s="104"/>
      <c r="G21" s="105"/>
      <c r="H21" s="599" t="s">
        <v>84</v>
      </c>
      <c r="M21" s="70"/>
      <c r="Q21" s="124">
        <f t="shared" si="5"/>
        <v>0</v>
      </c>
      <c r="R21" s="125">
        <f t="shared" si="6"/>
        <v>0</v>
      </c>
      <c r="S21" s="125">
        <f t="shared" si="7"/>
        <v>0</v>
      </c>
      <c r="T21" s="126">
        <f t="shared" si="8"/>
        <v>0</v>
      </c>
      <c r="U21" s="126">
        <f t="shared" si="9"/>
        <v>0</v>
      </c>
      <c r="V21" s="126">
        <f t="shared" si="10"/>
        <v>0</v>
      </c>
      <c r="W21" s="127">
        <f t="shared" si="2"/>
        <v>0</v>
      </c>
      <c r="X21" s="127">
        <f t="shared" si="3"/>
        <v>0</v>
      </c>
      <c r="Y21" s="128">
        <f t="shared" si="11"/>
        <v>0</v>
      </c>
      <c r="Z21" s="126">
        <f t="shared" si="4"/>
        <v>0</v>
      </c>
      <c r="AG21" s="133" t="str">
        <f>EK9</f>
        <v>Airport / Public Transport terminal buildings</v>
      </c>
      <c r="AH21" s="134"/>
      <c r="AI21" s="135"/>
      <c r="AJ21" s="98">
        <f>EK39</f>
        <v>9</v>
      </c>
      <c r="AK21" s="98">
        <f>EL39</f>
        <v>9</v>
      </c>
      <c r="AL21" s="99">
        <f>EK40</f>
        <v>1</v>
      </c>
      <c r="AM21" s="99">
        <f>EL40</f>
        <v>1</v>
      </c>
      <c r="BD21" s="45"/>
      <c r="BE21" s="165" t="s">
        <v>11</v>
      </c>
      <c r="BF21" s="23">
        <v>21</v>
      </c>
      <c r="BG21" s="23">
        <v>2</v>
      </c>
      <c r="BH21" s="23">
        <v>6</v>
      </c>
      <c r="BI21" s="90" t="b">
        <f t="shared" ref="BI21:BI84" si="53">BH21&lt;=5</f>
        <v>0</v>
      </c>
      <c r="BJ21" s="46" t="b">
        <f>MOD(BG21,$BJ$7)=0</f>
        <v>1</v>
      </c>
      <c r="BK21" s="166">
        <f t="shared" si="13"/>
        <v>7.3529411764705879</v>
      </c>
      <c r="BL21" s="175">
        <f>IF(SUM(BL$20:BL20,BK21)&gt;$BJ$4,0,BK21)</f>
        <v>7.3529411764705879</v>
      </c>
      <c r="BM21" s="23">
        <f t="shared" si="14"/>
        <v>0</v>
      </c>
      <c r="BN21" s="90">
        <f t="shared" si="15"/>
        <v>0</v>
      </c>
      <c r="BO21" s="24">
        <f>BM21-BN21</f>
        <v>0</v>
      </c>
      <c r="BP21" s="168">
        <f t="shared" si="16"/>
        <v>0</v>
      </c>
      <c r="BQ21" s="171">
        <f t="shared" si="17"/>
        <v>0</v>
      </c>
      <c r="BR21" s="170">
        <f t="shared" si="18"/>
        <v>0</v>
      </c>
      <c r="BS21" s="168">
        <f t="shared" si="19"/>
        <v>0</v>
      </c>
      <c r="BT21" s="171">
        <f t="shared" si="20"/>
        <v>0</v>
      </c>
      <c r="BU21" s="170">
        <f t="shared" si="21"/>
        <v>0</v>
      </c>
      <c r="BV21" s="168">
        <f t="shared" si="22"/>
        <v>0</v>
      </c>
      <c r="BW21" s="171">
        <f t="shared" si="23"/>
        <v>0</v>
      </c>
      <c r="BX21" s="170">
        <f t="shared" si="24"/>
        <v>0</v>
      </c>
      <c r="BY21" s="168">
        <f t="shared" si="25"/>
        <v>0</v>
      </c>
      <c r="BZ21" s="171">
        <f t="shared" si="26"/>
        <v>0</v>
      </c>
      <c r="CA21" s="170">
        <f t="shared" si="27"/>
        <v>0</v>
      </c>
      <c r="CB21" s="90">
        <f t="shared" si="28"/>
        <v>0</v>
      </c>
      <c r="CC21" s="171">
        <f t="shared" si="29"/>
        <v>0</v>
      </c>
      <c r="CD21" s="170">
        <f t="shared" si="30"/>
        <v>0</v>
      </c>
      <c r="CE21" s="90">
        <f t="shared" si="31"/>
        <v>0</v>
      </c>
      <c r="CF21" s="171">
        <f t="shared" si="32"/>
        <v>0</v>
      </c>
      <c r="CG21" s="170">
        <f t="shared" si="33"/>
        <v>0</v>
      </c>
      <c r="CH21" s="90">
        <f t="shared" si="34"/>
        <v>0</v>
      </c>
      <c r="CI21" s="171">
        <f t="shared" si="35"/>
        <v>0</v>
      </c>
      <c r="CJ21" s="170">
        <f t="shared" si="36"/>
        <v>0</v>
      </c>
      <c r="CK21" s="90">
        <f t="shared" si="37"/>
        <v>0</v>
      </c>
      <c r="CL21" s="171">
        <f t="shared" si="38"/>
        <v>0</v>
      </c>
      <c r="CM21" s="170">
        <f t="shared" si="39"/>
        <v>0</v>
      </c>
      <c r="CN21" s="90">
        <f t="shared" si="40"/>
        <v>0</v>
      </c>
      <c r="CO21" s="171">
        <f t="shared" si="41"/>
        <v>0</v>
      </c>
      <c r="CP21" s="170">
        <f t="shared" si="42"/>
        <v>0</v>
      </c>
      <c r="CQ21" s="90">
        <f t="shared" si="43"/>
        <v>0</v>
      </c>
      <c r="CR21" s="171">
        <f t="shared" si="44"/>
        <v>0</v>
      </c>
      <c r="CS21" s="170">
        <f t="shared" si="45"/>
        <v>0</v>
      </c>
      <c r="CT21" s="90">
        <f t="shared" si="46"/>
        <v>0</v>
      </c>
      <c r="CU21" s="171">
        <f t="shared" si="47"/>
        <v>0</v>
      </c>
      <c r="CV21" s="170">
        <f t="shared" si="48"/>
        <v>0</v>
      </c>
      <c r="CW21" s="90">
        <f t="shared" si="49"/>
        <v>0</v>
      </c>
      <c r="CX21" s="171">
        <f t="shared" si="50"/>
        <v>0</v>
      </c>
      <c r="CY21" s="170">
        <f t="shared" si="51"/>
        <v>0</v>
      </c>
      <c r="CZ21" s="168">
        <f t="shared" si="52"/>
        <v>0</v>
      </c>
      <c r="DA21" s="172">
        <f t="shared" ref="DA21:DA84" si="54">BR21+BU21+BX21+CA21+CD21+CG21+CJ21+CM21+CP21+CS21+CV21+CY21</f>
        <v>0</v>
      </c>
      <c r="DB21" s="173">
        <f t="shared" ref="DB21:DB84" si="55">CZ21-DA21</f>
        <v>0</v>
      </c>
      <c r="DC21" s="172">
        <f t="shared" ref="DC21:DE36" si="56">IF(DC20+$DB21&lt;0,0,IF(DC20+$DB21&gt;$F$405,$F$405,DC20+$DB21))</f>
        <v>0</v>
      </c>
      <c r="DD21" s="172">
        <f t="shared" si="56"/>
        <v>0</v>
      </c>
      <c r="DE21" s="172">
        <f t="shared" si="56"/>
        <v>0</v>
      </c>
      <c r="DF21" s="172">
        <f>IF(DA21-(DE20+CZ21)&lt;0,0,DA21-(DE20+CZ21))</f>
        <v>0</v>
      </c>
      <c r="DG21" s="1"/>
      <c r="DH21" s="1"/>
      <c r="DM21" s="7"/>
      <c r="DN21" s="747" t="s">
        <v>66</v>
      </c>
      <c r="DO21" s="748"/>
      <c r="DP21" s="68">
        <v>15</v>
      </c>
      <c r="DR21" s="142" t="s">
        <v>144</v>
      </c>
      <c r="DS21" s="161">
        <v>0</v>
      </c>
      <c r="DT21" s="130">
        <v>0</v>
      </c>
      <c r="DU21" s="130">
        <v>0</v>
      </c>
      <c r="DV21" s="130">
        <v>0</v>
      </c>
      <c r="DW21" s="161">
        <v>0</v>
      </c>
      <c r="DX21" s="161">
        <v>0</v>
      </c>
      <c r="DY21" s="161">
        <v>0</v>
      </c>
      <c r="DZ21" s="161">
        <v>0</v>
      </c>
      <c r="EA21" s="161">
        <v>0</v>
      </c>
      <c r="EB21" s="161">
        <v>0</v>
      </c>
      <c r="EC21" s="161">
        <v>0</v>
      </c>
      <c r="ED21" s="161">
        <v>0</v>
      </c>
      <c r="EE21" s="161">
        <v>0</v>
      </c>
      <c r="EF21" s="130">
        <v>0</v>
      </c>
      <c r="EG21" s="161">
        <v>0</v>
      </c>
      <c r="EH21" s="161">
        <v>0</v>
      </c>
      <c r="EI21" s="161">
        <v>0</v>
      </c>
      <c r="EJ21" s="161">
        <v>0</v>
      </c>
      <c r="EK21" s="161">
        <v>0</v>
      </c>
      <c r="EL21" s="161">
        <v>0</v>
      </c>
      <c r="EM21" s="161">
        <v>0</v>
      </c>
      <c r="EN21" s="161">
        <v>0</v>
      </c>
      <c r="EO21" s="161">
        <v>0</v>
      </c>
      <c r="EP21" s="130">
        <v>0</v>
      </c>
      <c r="EQ21" s="161">
        <v>0</v>
      </c>
      <c r="ER21" s="161">
        <v>0</v>
      </c>
      <c r="ES21" s="130">
        <v>1</v>
      </c>
      <c r="ET21" s="130">
        <v>1</v>
      </c>
      <c r="EU21" s="131">
        <v>0</v>
      </c>
      <c r="EV21" s="130">
        <v>0</v>
      </c>
      <c r="EW21" s="187">
        <v>0.2</v>
      </c>
      <c r="EX21" s="132">
        <v>0.2</v>
      </c>
      <c r="EY21" s="7"/>
    </row>
    <row r="22" spans="1:155" ht="49.5" customHeight="1">
      <c r="A22" s="123"/>
      <c r="B22" s="102"/>
      <c r="C22" s="103"/>
      <c r="D22" s="745" t="s">
        <v>84</v>
      </c>
      <c r="E22" s="746"/>
      <c r="F22" s="104"/>
      <c r="G22" s="105"/>
      <c r="H22" s="599" t="s">
        <v>84</v>
      </c>
      <c r="M22" s="70"/>
      <c r="Q22" s="124">
        <f t="shared" si="5"/>
        <v>0</v>
      </c>
      <c r="R22" s="125">
        <f t="shared" si="6"/>
        <v>0</v>
      </c>
      <c r="S22" s="125">
        <f t="shared" si="7"/>
        <v>0</v>
      </c>
      <c r="T22" s="126">
        <f t="shared" si="8"/>
        <v>0</v>
      </c>
      <c r="U22" s="126">
        <f t="shared" si="9"/>
        <v>0</v>
      </c>
      <c r="V22" s="126">
        <f t="shared" si="10"/>
        <v>0</v>
      </c>
      <c r="W22" s="127">
        <f t="shared" si="2"/>
        <v>0</v>
      </c>
      <c r="X22" s="127">
        <f t="shared" si="3"/>
        <v>0</v>
      </c>
      <c r="Y22" s="128">
        <f t="shared" si="11"/>
        <v>0</v>
      </c>
      <c r="Z22" s="126">
        <f t="shared" si="4"/>
        <v>0</v>
      </c>
      <c r="AG22" s="133" t="str">
        <f>EM9</f>
        <v>C1 Convention Centre / Exhibition hall</v>
      </c>
      <c r="AH22" s="134"/>
      <c r="AI22" s="135"/>
      <c r="AJ22" s="98">
        <f>EM39</f>
        <v>8</v>
      </c>
      <c r="AK22" s="98">
        <f>EN39</f>
        <v>0</v>
      </c>
      <c r="AL22" s="99">
        <f>EM40</f>
        <v>1</v>
      </c>
      <c r="AM22" s="99">
        <f>EN40</f>
        <v>0</v>
      </c>
      <c r="BD22" s="45"/>
      <c r="BE22" s="165" t="s">
        <v>11</v>
      </c>
      <c r="BF22" s="23">
        <v>21</v>
      </c>
      <c r="BG22" s="23">
        <v>3</v>
      </c>
      <c r="BH22" s="23">
        <v>7</v>
      </c>
      <c r="BI22" s="90" t="b">
        <f t="shared" si="53"/>
        <v>0</v>
      </c>
      <c r="BJ22" s="46" t="b">
        <f>MOD(BG22,$BJ$7)=0</f>
        <v>0</v>
      </c>
      <c r="BK22" s="166">
        <f t="shared" si="13"/>
        <v>0</v>
      </c>
      <c r="BL22" s="175">
        <f>IF(SUM(BL$20:BL21,BK22)&gt;$BJ$4,0,BK22)</f>
        <v>0</v>
      </c>
      <c r="BM22" s="23">
        <f t="shared" si="14"/>
        <v>0</v>
      </c>
      <c r="BN22" s="90">
        <f t="shared" si="15"/>
        <v>0</v>
      </c>
      <c r="BO22" s="24">
        <f>BM22-BN22</f>
        <v>0</v>
      </c>
      <c r="BP22" s="168">
        <f t="shared" si="16"/>
        <v>0</v>
      </c>
      <c r="BQ22" s="171">
        <f t="shared" si="17"/>
        <v>0</v>
      </c>
      <c r="BR22" s="170">
        <f t="shared" si="18"/>
        <v>0</v>
      </c>
      <c r="BS22" s="168">
        <f t="shared" si="19"/>
        <v>0</v>
      </c>
      <c r="BT22" s="171">
        <f t="shared" si="20"/>
        <v>0</v>
      </c>
      <c r="BU22" s="170">
        <f t="shared" si="21"/>
        <v>0</v>
      </c>
      <c r="BV22" s="168">
        <f t="shared" si="22"/>
        <v>0</v>
      </c>
      <c r="BW22" s="171">
        <f t="shared" si="23"/>
        <v>0</v>
      </c>
      <c r="BX22" s="170">
        <f t="shared" si="24"/>
        <v>0</v>
      </c>
      <c r="BY22" s="168">
        <f t="shared" si="25"/>
        <v>0</v>
      </c>
      <c r="BZ22" s="171">
        <f t="shared" si="26"/>
        <v>0</v>
      </c>
      <c r="CA22" s="170">
        <f t="shared" si="27"/>
        <v>0</v>
      </c>
      <c r="CB22" s="90">
        <f t="shared" si="28"/>
        <v>0</v>
      </c>
      <c r="CC22" s="171">
        <f t="shared" si="29"/>
        <v>0</v>
      </c>
      <c r="CD22" s="170">
        <f t="shared" si="30"/>
        <v>0</v>
      </c>
      <c r="CE22" s="90">
        <f t="shared" si="31"/>
        <v>0</v>
      </c>
      <c r="CF22" s="171">
        <f t="shared" si="32"/>
        <v>0</v>
      </c>
      <c r="CG22" s="170">
        <f t="shared" si="33"/>
        <v>0</v>
      </c>
      <c r="CH22" s="90">
        <f t="shared" si="34"/>
        <v>0</v>
      </c>
      <c r="CI22" s="171">
        <f t="shared" si="35"/>
        <v>0</v>
      </c>
      <c r="CJ22" s="170">
        <f t="shared" si="36"/>
        <v>0</v>
      </c>
      <c r="CK22" s="90">
        <f t="shared" si="37"/>
        <v>0</v>
      </c>
      <c r="CL22" s="171">
        <f t="shared" si="38"/>
        <v>0</v>
      </c>
      <c r="CM22" s="170">
        <f t="shared" si="39"/>
        <v>0</v>
      </c>
      <c r="CN22" s="90">
        <f t="shared" si="40"/>
        <v>0</v>
      </c>
      <c r="CO22" s="171">
        <f t="shared" si="41"/>
        <v>0</v>
      </c>
      <c r="CP22" s="170">
        <f t="shared" si="42"/>
        <v>0</v>
      </c>
      <c r="CQ22" s="90">
        <f t="shared" si="43"/>
        <v>0</v>
      </c>
      <c r="CR22" s="171">
        <f t="shared" si="44"/>
        <v>0</v>
      </c>
      <c r="CS22" s="170">
        <f t="shared" si="45"/>
        <v>0</v>
      </c>
      <c r="CT22" s="90">
        <f t="shared" si="46"/>
        <v>0</v>
      </c>
      <c r="CU22" s="171">
        <f t="shared" si="47"/>
        <v>0</v>
      </c>
      <c r="CV22" s="170">
        <f t="shared" si="48"/>
        <v>0</v>
      </c>
      <c r="CW22" s="90">
        <f t="shared" si="49"/>
        <v>0</v>
      </c>
      <c r="CX22" s="171">
        <f t="shared" si="50"/>
        <v>0</v>
      </c>
      <c r="CY22" s="170">
        <f t="shared" si="51"/>
        <v>0</v>
      </c>
      <c r="CZ22" s="168">
        <f t="shared" si="52"/>
        <v>0</v>
      </c>
      <c r="DA22" s="172">
        <f t="shared" si="54"/>
        <v>0</v>
      </c>
      <c r="DB22" s="173">
        <f t="shared" si="55"/>
        <v>0</v>
      </c>
      <c r="DC22" s="172">
        <f t="shared" si="56"/>
        <v>0</v>
      </c>
      <c r="DD22" s="172">
        <f t="shared" si="56"/>
        <v>0</v>
      </c>
      <c r="DE22" s="172">
        <f t="shared" si="56"/>
        <v>0</v>
      </c>
      <c r="DF22" s="172">
        <f t="shared" ref="DF22:DF85" si="57">IF(DA22-(DE21+CZ22)&lt;0,0,DA22-(DE21+CZ22))</f>
        <v>0</v>
      </c>
      <c r="DG22" s="1"/>
      <c r="DH22" s="1"/>
      <c r="DM22" s="7"/>
      <c r="DN22" s="747" t="s">
        <v>67</v>
      </c>
      <c r="DO22" s="748"/>
      <c r="DP22" s="176">
        <v>5</v>
      </c>
      <c r="DR22" s="142" t="s">
        <v>145</v>
      </c>
      <c r="DS22" s="161">
        <v>0.15</v>
      </c>
      <c r="DT22" s="130">
        <v>0</v>
      </c>
      <c r="DU22" s="130">
        <v>0.1</v>
      </c>
      <c r="DV22" s="130">
        <v>0.1</v>
      </c>
      <c r="DW22" s="161">
        <v>0</v>
      </c>
      <c r="DX22" s="161">
        <v>0</v>
      </c>
      <c r="DY22" s="161">
        <v>0.25</v>
      </c>
      <c r="DZ22" s="161">
        <v>0.25</v>
      </c>
      <c r="EA22" s="161">
        <v>0</v>
      </c>
      <c r="EB22" s="161">
        <v>0</v>
      </c>
      <c r="EC22" s="161">
        <v>0</v>
      </c>
      <c r="ED22" s="161">
        <v>0</v>
      </c>
      <c r="EE22" s="161">
        <v>0</v>
      </c>
      <c r="EF22" s="130">
        <v>0</v>
      </c>
      <c r="EG22" s="161">
        <v>0</v>
      </c>
      <c r="EH22" s="161">
        <v>0</v>
      </c>
      <c r="EI22" s="161">
        <v>0.1</v>
      </c>
      <c r="EJ22" s="161">
        <v>0</v>
      </c>
      <c r="EK22" s="161">
        <v>0</v>
      </c>
      <c r="EL22" s="161">
        <v>0</v>
      </c>
      <c r="EM22" s="161">
        <v>0</v>
      </c>
      <c r="EN22" s="161">
        <v>0</v>
      </c>
      <c r="EO22" s="161">
        <v>0</v>
      </c>
      <c r="EP22" s="130">
        <v>0</v>
      </c>
      <c r="EQ22" s="161">
        <v>0</v>
      </c>
      <c r="ER22" s="161">
        <v>0</v>
      </c>
      <c r="ES22" s="130">
        <v>1</v>
      </c>
      <c r="ET22" s="130">
        <v>1</v>
      </c>
      <c r="EU22" s="161">
        <v>0.25</v>
      </c>
      <c r="EV22" s="130">
        <v>0</v>
      </c>
      <c r="EW22" s="187">
        <v>0.2</v>
      </c>
      <c r="EX22" s="132">
        <v>0.2</v>
      </c>
      <c r="EY22" s="7"/>
    </row>
    <row r="23" spans="1:155" ht="49.5" customHeight="1">
      <c r="A23" s="123"/>
      <c r="B23" s="102"/>
      <c r="C23" s="103"/>
      <c r="D23" s="745" t="s">
        <v>84</v>
      </c>
      <c r="E23" s="746"/>
      <c r="F23" s="104"/>
      <c r="G23" s="105"/>
      <c r="H23" s="599" t="s">
        <v>84</v>
      </c>
      <c r="M23" s="70"/>
      <c r="Q23" s="124">
        <f t="shared" si="5"/>
        <v>0</v>
      </c>
      <c r="R23" s="125">
        <f t="shared" si="6"/>
        <v>0</v>
      </c>
      <c r="S23" s="125">
        <f t="shared" si="7"/>
        <v>0</v>
      </c>
      <c r="T23" s="126">
        <f t="shared" si="8"/>
        <v>0</v>
      </c>
      <c r="U23" s="126">
        <f t="shared" si="9"/>
        <v>0</v>
      </c>
      <c r="V23" s="126">
        <f t="shared" si="10"/>
        <v>0</v>
      </c>
      <c r="W23" s="127">
        <f t="shared" si="2"/>
        <v>0</v>
      </c>
      <c r="X23" s="127">
        <f t="shared" si="3"/>
        <v>0</v>
      </c>
      <c r="Y23" s="128">
        <f t="shared" si="11"/>
        <v>0</v>
      </c>
      <c r="Z23" s="126">
        <f t="shared" si="4"/>
        <v>0</v>
      </c>
      <c r="AG23" s="133" t="str">
        <f>EO9</f>
        <v>C2 Libraries / Museums / Galleries</v>
      </c>
      <c r="AH23" s="134"/>
      <c r="AI23" s="135"/>
      <c r="AJ23" s="98">
        <f>EO39</f>
        <v>8</v>
      </c>
      <c r="AK23" s="98">
        <f>EP39</f>
        <v>0</v>
      </c>
      <c r="AL23" s="99">
        <f>EO40</f>
        <v>1</v>
      </c>
      <c r="AM23" s="99">
        <f>EP40</f>
        <v>0</v>
      </c>
      <c r="BD23" s="45"/>
      <c r="BE23" s="165" t="s">
        <v>11</v>
      </c>
      <c r="BF23" s="23">
        <v>21</v>
      </c>
      <c r="BG23" s="23">
        <v>4</v>
      </c>
      <c r="BH23" s="23">
        <v>1</v>
      </c>
      <c r="BI23" s="90" t="b">
        <f t="shared" si="53"/>
        <v>1</v>
      </c>
      <c r="BJ23" s="46" t="b">
        <f t="shared" ref="BJ23:BJ50" si="58">MOD(BG23,$BJ$7)=0</f>
        <v>1</v>
      </c>
      <c r="BK23" s="166">
        <f t="shared" si="13"/>
        <v>7.3529411764705879</v>
      </c>
      <c r="BL23" s="175">
        <f>IF(SUM(BL$20:BL22,BK23)&gt;$BJ$4,0,BK23)</f>
        <v>7.3529411764705879</v>
      </c>
      <c r="BM23" s="23">
        <f t="shared" si="14"/>
        <v>0</v>
      </c>
      <c r="BN23" s="90">
        <f t="shared" si="15"/>
        <v>0</v>
      </c>
      <c r="BO23" s="24">
        <f>BM23-BN23</f>
        <v>0</v>
      </c>
      <c r="BP23" s="168">
        <f t="shared" si="16"/>
        <v>0</v>
      </c>
      <c r="BQ23" s="171">
        <f t="shared" si="17"/>
        <v>0</v>
      </c>
      <c r="BR23" s="170">
        <f t="shared" si="18"/>
        <v>0</v>
      </c>
      <c r="BS23" s="168">
        <f t="shared" si="19"/>
        <v>0</v>
      </c>
      <c r="BT23" s="171">
        <f t="shared" si="20"/>
        <v>0</v>
      </c>
      <c r="BU23" s="170">
        <f t="shared" si="21"/>
        <v>0</v>
      </c>
      <c r="BV23" s="168">
        <f t="shared" si="22"/>
        <v>0</v>
      </c>
      <c r="BW23" s="171">
        <f t="shared" si="23"/>
        <v>0</v>
      </c>
      <c r="BX23" s="170">
        <f t="shared" si="24"/>
        <v>0</v>
      </c>
      <c r="BY23" s="168">
        <f t="shared" si="25"/>
        <v>0</v>
      </c>
      <c r="BZ23" s="171">
        <f t="shared" si="26"/>
        <v>0</v>
      </c>
      <c r="CA23" s="170">
        <f t="shared" si="27"/>
        <v>0</v>
      </c>
      <c r="CB23" s="90">
        <f t="shared" si="28"/>
        <v>0</v>
      </c>
      <c r="CC23" s="171">
        <f t="shared" si="29"/>
        <v>0</v>
      </c>
      <c r="CD23" s="170">
        <f t="shared" si="30"/>
        <v>0</v>
      </c>
      <c r="CE23" s="90">
        <f t="shared" si="31"/>
        <v>0</v>
      </c>
      <c r="CF23" s="171">
        <f t="shared" si="32"/>
        <v>0</v>
      </c>
      <c r="CG23" s="170">
        <f t="shared" si="33"/>
        <v>0</v>
      </c>
      <c r="CH23" s="90">
        <f t="shared" si="34"/>
        <v>0</v>
      </c>
      <c r="CI23" s="171">
        <f t="shared" si="35"/>
        <v>0</v>
      </c>
      <c r="CJ23" s="170">
        <f t="shared" si="36"/>
        <v>0</v>
      </c>
      <c r="CK23" s="90">
        <f t="shared" si="37"/>
        <v>0</v>
      </c>
      <c r="CL23" s="171">
        <f t="shared" si="38"/>
        <v>0</v>
      </c>
      <c r="CM23" s="170">
        <f t="shared" si="39"/>
        <v>0</v>
      </c>
      <c r="CN23" s="90">
        <f t="shared" si="40"/>
        <v>0</v>
      </c>
      <c r="CO23" s="171">
        <f t="shared" si="41"/>
        <v>0</v>
      </c>
      <c r="CP23" s="170">
        <f t="shared" si="42"/>
        <v>0</v>
      </c>
      <c r="CQ23" s="90">
        <f t="shared" si="43"/>
        <v>0</v>
      </c>
      <c r="CR23" s="171">
        <f t="shared" si="44"/>
        <v>0</v>
      </c>
      <c r="CS23" s="170">
        <f t="shared" si="45"/>
        <v>0</v>
      </c>
      <c r="CT23" s="90">
        <f t="shared" si="46"/>
        <v>0</v>
      </c>
      <c r="CU23" s="171">
        <f t="shared" si="47"/>
        <v>0</v>
      </c>
      <c r="CV23" s="170">
        <f t="shared" si="48"/>
        <v>0</v>
      </c>
      <c r="CW23" s="90">
        <f t="shared" si="49"/>
        <v>0</v>
      </c>
      <c r="CX23" s="171">
        <f t="shared" si="50"/>
        <v>0</v>
      </c>
      <c r="CY23" s="170">
        <f t="shared" si="51"/>
        <v>0</v>
      </c>
      <c r="CZ23" s="168">
        <f t="shared" si="52"/>
        <v>0</v>
      </c>
      <c r="DA23" s="172">
        <f>BR23+BU23+BX23+CA23+CD23+CG23+CJ23+CM23+CP23+CS23+CV23+CY23</f>
        <v>0</v>
      </c>
      <c r="DB23" s="173">
        <f>CZ23-DA23</f>
        <v>0</v>
      </c>
      <c r="DC23" s="172">
        <f t="shared" si="56"/>
        <v>0</v>
      </c>
      <c r="DD23" s="172">
        <f t="shared" si="56"/>
        <v>0</v>
      </c>
      <c r="DE23" s="172">
        <f t="shared" si="56"/>
        <v>0</v>
      </c>
      <c r="DF23" s="172">
        <f>IF(DA23-(DE22+CZ23)&lt;0,0,DA23-(DE22+CZ23))</f>
        <v>0</v>
      </c>
      <c r="DG23" s="1"/>
      <c r="DH23" s="1"/>
      <c r="DM23" s="7"/>
      <c r="DN23" s="747"/>
      <c r="DO23" s="748"/>
      <c r="DP23" s="176"/>
      <c r="DR23" s="142" t="s">
        <v>146</v>
      </c>
      <c r="DS23" s="161">
        <v>0.6</v>
      </c>
      <c r="DT23" s="161">
        <v>0.05</v>
      </c>
      <c r="DU23" s="161">
        <v>0.25</v>
      </c>
      <c r="DV23" s="161">
        <v>0.25</v>
      </c>
      <c r="DW23" s="161">
        <v>0.1</v>
      </c>
      <c r="DX23" s="161">
        <v>0</v>
      </c>
      <c r="DY23" s="161">
        <v>0.25</v>
      </c>
      <c r="DZ23" s="161">
        <v>0.25</v>
      </c>
      <c r="EA23" s="161">
        <v>0</v>
      </c>
      <c r="EB23" s="161">
        <v>0</v>
      </c>
      <c r="EC23" s="161">
        <v>0</v>
      </c>
      <c r="ED23" s="161">
        <v>0</v>
      </c>
      <c r="EE23" s="161">
        <v>0.25</v>
      </c>
      <c r="EF23" s="130">
        <v>0</v>
      </c>
      <c r="EG23" s="161">
        <v>0.1</v>
      </c>
      <c r="EH23" s="161">
        <v>0</v>
      </c>
      <c r="EI23" s="161">
        <v>0.25</v>
      </c>
      <c r="EJ23" s="161">
        <v>0</v>
      </c>
      <c r="EK23" s="161">
        <v>0.25</v>
      </c>
      <c r="EL23" s="161">
        <v>0.25</v>
      </c>
      <c r="EM23" s="161">
        <v>0</v>
      </c>
      <c r="EN23" s="161">
        <v>0</v>
      </c>
      <c r="EO23" s="161">
        <v>0</v>
      </c>
      <c r="EP23" s="130">
        <v>0</v>
      </c>
      <c r="EQ23" s="161">
        <v>0</v>
      </c>
      <c r="ER23" s="161">
        <v>0</v>
      </c>
      <c r="ES23" s="161">
        <v>0.25</v>
      </c>
      <c r="ET23" s="161">
        <v>0.25</v>
      </c>
      <c r="EU23" s="161">
        <v>1</v>
      </c>
      <c r="EV23" s="130">
        <v>1</v>
      </c>
      <c r="EW23" s="162">
        <v>0.6</v>
      </c>
      <c r="EX23" s="132">
        <v>0.2</v>
      </c>
      <c r="EY23" s="7"/>
    </row>
    <row r="24" spans="1:155" ht="49.5" customHeight="1">
      <c r="A24" s="123"/>
      <c r="B24" s="102"/>
      <c r="C24" s="103"/>
      <c r="D24" s="745" t="s">
        <v>84</v>
      </c>
      <c r="E24" s="746"/>
      <c r="F24" s="104"/>
      <c r="G24" s="105"/>
      <c r="H24" s="599" t="s">
        <v>84</v>
      </c>
      <c r="M24" s="70"/>
      <c r="Q24" s="124">
        <f t="shared" si="5"/>
        <v>0</v>
      </c>
      <c r="R24" s="125">
        <f t="shared" si="6"/>
        <v>0</v>
      </c>
      <c r="S24" s="125">
        <f t="shared" si="7"/>
        <v>0</v>
      </c>
      <c r="T24" s="126">
        <f t="shared" si="8"/>
        <v>0</v>
      </c>
      <c r="U24" s="126">
        <f t="shared" si="9"/>
        <v>0</v>
      </c>
      <c r="V24" s="126">
        <f t="shared" si="10"/>
        <v>0</v>
      </c>
      <c r="W24" s="127">
        <f t="shared" si="2"/>
        <v>0</v>
      </c>
      <c r="X24" s="127">
        <f t="shared" si="3"/>
        <v>0</v>
      </c>
      <c r="Y24" s="128">
        <f t="shared" si="11"/>
        <v>0</v>
      </c>
      <c r="Z24" s="126">
        <f t="shared" si="4"/>
        <v>0</v>
      </c>
      <c r="AG24" s="133" t="str">
        <f>EQ9</f>
        <v>Courts</v>
      </c>
      <c r="AH24" s="134"/>
      <c r="AI24" s="135"/>
      <c r="AJ24" s="98">
        <f>EQ39</f>
        <v>8</v>
      </c>
      <c r="AK24" s="98">
        <f>ER39</f>
        <v>0</v>
      </c>
      <c r="AL24" s="99">
        <f>EQ40</f>
        <v>1</v>
      </c>
      <c r="AM24" s="99">
        <f>ER40</f>
        <v>0</v>
      </c>
      <c r="BD24" s="45"/>
      <c r="BE24" s="165" t="s">
        <v>11</v>
      </c>
      <c r="BF24" s="23">
        <v>21</v>
      </c>
      <c r="BG24" s="23">
        <v>5</v>
      </c>
      <c r="BH24" s="23">
        <v>2</v>
      </c>
      <c r="BI24" s="90" t="b">
        <f t="shared" si="53"/>
        <v>1</v>
      </c>
      <c r="BJ24" s="46" t="b">
        <f t="shared" si="58"/>
        <v>0</v>
      </c>
      <c r="BK24" s="166">
        <f t="shared" si="13"/>
        <v>0</v>
      </c>
      <c r="BL24" s="175">
        <f>IF(SUM(BL$20:BL23,BK24)&gt;$BJ$4,0,BK24)</f>
        <v>0</v>
      </c>
      <c r="BM24" s="23">
        <f t="shared" si="14"/>
        <v>0</v>
      </c>
      <c r="BN24" s="90">
        <f t="shared" si="15"/>
        <v>0</v>
      </c>
      <c r="BO24" s="24">
        <f>BM24-BN24</f>
        <v>0</v>
      </c>
      <c r="BP24" s="168">
        <f t="shared" si="16"/>
        <v>0</v>
      </c>
      <c r="BQ24" s="171">
        <f t="shared" si="17"/>
        <v>0</v>
      </c>
      <c r="BR24" s="170">
        <f t="shared" si="18"/>
        <v>0</v>
      </c>
      <c r="BS24" s="168">
        <f t="shared" si="19"/>
        <v>0</v>
      </c>
      <c r="BT24" s="171">
        <f t="shared" si="20"/>
        <v>0</v>
      </c>
      <c r="BU24" s="170">
        <f t="shared" si="21"/>
        <v>0</v>
      </c>
      <c r="BV24" s="168">
        <f t="shared" si="22"/>
        <v>0</v>
      </c>
      <c r="BW24" s="171">
        <f t="shared" si="23"/>
        <v>0</v>
      </c>
      <c r="BX24" s="170">
        <f t="shared" si="24"/>
        <v>0</v>
      </c>
      <c r="BY24" s="168">
        <f t="shared" si="25"/>
        <v>0</v>
      </c>
      <c r="BZ24" s="171">
        <f t="shared" si="26"/>
        <v>0</v>
      </c>
      <c r="CA24" s="170">
        <f t="shared" si="27"/>
        <v>0</v>
      </c>
      <c r="CB24" s="90">
        <f t="shared" si="28"/>
        <v>0</v>
      </c>
      <c r="CC24" s="171">
        <f t="shared" si="29"/>
        <v>0</v>
      </c>
      <c r="CD24" s="170">
        <f t="shared" si="30"/>
        <v>0</v>
      </c>
      <c r="CE24" s="90">
        <f t="shared" si="31"/>
        <v>0</v>
      </c>
      <c r="CF24" s="171">
        <f t="shared" si="32"/>
        <v>0</v>
      </c>
      <c r="CG24" s="170">
        <f t="shared" si="33"/>
        <v>0</v>
      </c>
      <c r="CH24" s="90">
        <f t="shared" si="34"/>
        <v>0</v>
      </c>
      <c r="CI24" s="171">
        <f t="shared" si="35"/>
        <v>0</v>
      </c>
      <c r="CJ24" s="170">
        <f t="shared" si="36"/>
        <v>0</v>
      </c>
      <c r="CK24" s="90">
        <f t="shared" si="37"/>
        <v>0</v>
      </c>
      <c r="CL24" s="171">
        <f t="shared" si="38"/>
        <v>0</v>
      </c>
      <c r="CM24" s="170">
        <f t="shared" si="39"/>
        <v>0</v>
      </c>
      <c r="CN24" s="90">
        <f t="shared" si="40"/>
        <v>0</v>
      </c>
      <c r="CO24" s="171">
        <f t="shared" si="41"/>
        <v>0</v>
      </c>
      <c r="CP24" s="170">
        <f t="shared" si="42"/>
        <v>0</v>
      </c>
      <c r="CQ24" s="90">
        <f t="shared" si="43"/>
        <v>0</v>
      </c>
      <c r="CR24" s="171">
        <f t="shared" si="44"/>
        <v>0</v>
      </c>
      <c r="CS24" s="170">
        <f t="shared" si="45"/>
        <v>0</v>
      </c>
      <c r="CT24" s="90">
        <f t="shared" si="46"/>
        <v>0</v>
      </c>
      <c r="CU24" s="171">
        <f t="shared" si="47"/>
        <v>0</v>
      </c>
      <c r="CV24" s="170">
        <f t="shared" si="48"/>
        <v>0</v>
      </c>
      <c r="CW24" s="90">
        <f t="shared" si="49"/>
        <v>0</v>
      </c>
      <c r="CX24" s="171">
        <f t="shared" si="50"/>
        <v>0</v>
      </c>
      <c r="CY24" s="170">
        <f t="shared" si="51"/>
        <v>0</v>
      </c>
      <c r="CZ24" s="168">
        <f t="shared" si="52"/>
        <v>0</v>
      </c>
      <c r="DA24" s="172">
        <f t="shared" si="54"/>
        <v>0</v>
      </c>
      <c r="DB24" s="173">
        <f t="shared" si="55"/>
        <v>0</v>
      </c>
      <c r="DC24" s="172">
        <f t="shared" si="56"/>
        <v>0</v>
      </c>
      <c r="DD24" s="172">
        <f t="shared" si="56"/>
        <v>0</v>
      </c>
      <c r="DE24" s="172">
        <f t="shared" si="56"/>
        <v>0</v>
      </c>
      <c r="DF24" s="172">
        <f t="shared" si="57"/>
        <v>0</v>
      </c>
      <c r="DG24" s="1"/>
      <c r="DH24" s="1"/>
      <c r="DM24" s="7"/>
      <c r="DN24" s="7"/>
      <c r="DO24" s="7"/>
      <c r="DP24" s="7"/>
      <c r="DR24" s="142" t="s">
        <v>147</v>
      </c>
      <c r="DS24" s="161">
        <v>1</v>
      </c>
      <c r="DT24" s="161">
        <v>0.05</v>
      </c>
      <c r="DU24" s="161">
        <v>0.75</v>
      </c>
      <c r="DV24" s="161">
        <v>0.75</v>
      </c>
      <c r="DW24" s="161">
        <v>0.25</v>
      </c>
      <c r="DX24" s="161">
        <v>0</v>
      </c>
      <c r="DY24" s="161">
        <v>0.5</v>
      </c>
      <c r="DZ24" s="161">
        <v>0.5</v>
      </c>
      <c r="EA24" s="161">
        <v>0</v>
      </c>
      <c r="EB24" s="161">
        <v>0</v>
      </c>
      <c r="EC24" s="161">
        <v>0.75</v>
      </c>
      <c r="ED24" s="161">
        <v>0</v>
      </c>
      <c r="EE24" s="161">
        <v>0.5</v>
      </c>
      <c r="EF24" s="130">
        <v>0</v>
      </c>
      <c r="EG24" s="161">
        <v>0.25</v>
      </c>
      <c r="EH24" s="161">
        <v>0</v>
      </c>
      <c r="EI24" s="161">
        <v>0.75</v>
      </c>
      <c r="EJ24" s="161">
        <v>0</v>
      </c>
      <c r="EK24" s="161">
        <v>0.5</v>
      </c>
      <c r="EL24" s="161">
        <v>0.5</v>
      </c>
      <c r="EM24" s="161">
        <v>0.75</v>
      </c>
      <c r="EN24" s="161">
        <v>0</v>
      </c>
      <c r="EO24" s="161">
        <v>0</v>
      </c>
      <c r="EP24" s="130">
        <v>0</v>
      </c>
      <c r="EQ24" s="161">
        <v>0.75</v>
      </c>
      <c r="ER24" s="161">
        <v>0</v>
      </c>
      <c r="ES24" s="161">
        <v>0</v>
      </c>
      <c r="ET24" s="161">
        <v>0</v>
      </c>
      <c r="EU24" s="161">
        <v>0.25</v>
      </c>
      <c r="EV24" s="130">
        <v>1</v>
      </c>
      <c r="EW24" s="162">
        <v>1</v>
      </c>
      <c r="EX24" s="132">
        <v>0.2</v>
      </c>
      <c r="EY24" s="7"/>
    </row>
    <row r="25" spans="1:155" ht="49.5" customHeight="1">
      <c r="A25" s="123"/>
      <c r="B25" s="102"/>
      <c r="C25" s="103"/>
      <c r="D25" s="745" t="s">
        <v>84</v>
      </c>
      <c r="E25" s="746"/>
      <c r="F25" s="104"/>
      <c r="G25" s="105"/>
      <c r="H25" s="599" t="s">
        <v>84</v>
      </c>
      <c r="M25" s="70"/>
      <c r="Q25" s="124">
        <f t="shared" si="5"/>
        <v>0</v>
      </c>
      <c r="R25" s="125">
        <f t="shared" si="6"/>
        <v>0</v>
      </c>
      <c r="S25" s="125">
        <f t="shared" si="7"/>
        <v>0</v>
      </c>
      <c r="T25" s="126">
        <f t="shared" si="8"/>
        <v>0</v>
      </c>
      <c r="U25" s="126">
        <f t="shared" si="9"/>
        <v>0</v>
      </c>
      <c r="V25" s="126">
        <f t="shared" si="10"/>
        <v>0</v>
      </c>
      <c r="W25" s="127">
        <f t="shared" si="2"/>
        <v>0</v>
      </c>
      <c r="X25" s="127">
        <f t="shared" si="3"/>
        <v>0</v>
      </c>
      <c r="Y25" s="128">
        <f t="shared" si="11"/>
        <v>0</v>
      </c>
      <c r="Z25" s="126">
        <f t="shared" si="4"/>
        <v>0</v>
      </c>
      <c r="AG25" s="72" t="str">
        <f>EU9</f>
        <v>Gym</v>
      </c>
      <c r="AH25" s="73"/>
      <c r="AI25" s="74"/>
      <c r="AJ25" s="98">
        <f>EU39</f>
        <v>7.25</v>
      </c>
      <c r="AK25" s="98">
        <f>EV39</f>
        <v>14</v>
      </c>
      <c r="AL25" s="99">
        <f>EU40</f>
        <v>1</v>
      </c>
      <c r="AM25" s="99">
        <f>EV40</f>
        <v>1</v>
      </c>
      <c r="BD25" s="45"/>
      <c r="BE25" s="165" t="s">
        <v>11</v>
      </c>
      <c r="BF25" s="23">
        <v>21</v>
      </c>
      <c r="BG25" s="23">
        <v>6</v>
      </c>
      <c r="BH25" s="23">
        <v>3</v>
      </c>
      <c r="BI25" s="90" t="b">
        <f t="shared" si="53"/>
        <v>1</v>
      </c>
      <c r="BJ25" s="46" t="b">
        <f t="shared" si="58"/>
        <v>1</v>
      </c>
      <c r="BK25" s="166">
        <f t="shared" si="13"/>
        <v>7.3529411764705879</v>
      </c>
      <c r="BL25" s="175">
        <f>IF(SUM(BL$20:BL24,BK25)&gt;$BJ$4,0,BK25)</f>
        <v>7.3529411764705879</v>
      </c>
      <c r="BM25" s="23">
        <f t="shared" si="14"/>
        <v>0</v>
      </c>
      <c r="BN25" s="90">
        <f t="shared" si="15"/>
        <v>0</v>
      </c>
      <c r="BO25" s="24">
        <f t="shared" ref="BO25:BO88" si="59">BM25-BN25</f>
        <v>0</v>
      </c>
      <c r="BP25" s="168">
        <f t="shared" si="16"/>
        <v>0</v>
      </c>
      <c r="BQ25" s="171">
        <f t="shared" si="17"/>
        <v>0</v>
      </c>
      <c r="BR25" s="170">
        <f t="shared" si="18"/>
        <v>0</v>
      </c>
      <c r="BS25" s="168">
        <f t="shared" si="19"/>
        <v>0</v>
      </c>
      <c r="BT25" s="171">
        <f t="shared" si="20"/>
        <v>0</v>
      </c>
      <c r="BU25" s="170">
        <f t="shared" si="21"/>
        <v>0</v>
      </c>
      <c r="BV25" s="168">
        <f t="shared" si="22"/>
        <v>0</v>
      </c>
      <c r="BW25" s="171">
        <f t="shared" si="23"/>
        <v>0</v>
      </c>
      <c r="BX25" s="170">
        <f t="shared" si="24"/>
        <v>0</v>
      </c>
      <c r="BY25" s="168">
        <f t="shared" si="25"/>
        <v>0</v>
      </c>
      <c r="BZ25" s="171">
        <f t="shared" si="26"/>
        <v>0</v>
      </c>
      <c r="CA25" s="170">
        <f t="shared" si="27"/>
        <v>0</v>
      </c>
      <c r="CB25" s="90">
        <f t="shared" si="28"/>
        <v>0</v>
      </c>
      <c r="CC25" s="171">
        <f t="shared" si="29"/>
        <v>0</v>
      </c>
      <c r="CD25" s="170">
        <f t="shared" si="30"/>
        <v>0</v>
      </c>
      <c r="CE25" s="90">
        <f t="shared" si="31"/>
        <v>0</v>
      </c>
      <c r="CF25" s="171">
        <f t="shared" si="32"/>
        <v>0</v>
      </c>
      <c r="CG25" s="170">
        <f t="shared" si="33"/>
        <v>0</v>
      </c>
      <c r="CH25" s="90">
        <f t="shared" si="34"/>
        <v>0</v>
      </c>
      <c r="CI25" s="171">
        <f t="shared" si="35"/>
        <v>0</v>
      </c>
      <c r="CJ25" s="170">
        <f t="shared" si="36"/>
        <v>0</v>
      </c>
      <c r="CK25" s="90">
        <f t="shared" si="37"/>
        <v>0</v>
      </c>
      <c r="CL25" s="171">
        <f t="shared" si="38"/>
        <v>0</v>
      </c>
      <c r="CM25" s="170">
        <f t="shared" si="39"/>
        <v>0</v>
      </c>
      <c r="CN25" s="90">
        <f t="shared" si="40"/>
        <v>0</v>
      </c>
      <c r="CO25" s="171">
        <f t="shared" si="41"/>
        <v>0</v>
      </c>
      <c r="CP25" s="170">
        <f t="shared" si="42"/>
        <v>0</v>
      </c>
      <c r="CQ25" s="90">
        <f t="shared" si="43"/>
        <v>0</v>
      </c>
      <c r="CR25" s="171">
        <f t="shared" si="44"/>
        <v>0</v>
      </c>
      <c r="CS25" s="170">
        <f t="shared" si="45"/>
        <v>0</v>
      </c>
      <c r="CT25" s="90">
        <f t="shared" si="46"/>
        <v>0</v>
      </c>
      <c r="CU25" s="171">
        <f t="shared" si="47"/>
        <v>0</v>
      </c>
      <c r="CV25" s="170">
        <f t="shared" si="48"/>
        <v>0</v>
      </c>
      <c r="CW25" s="90">
        <f t="shared" si="49"/>
        <v>0</v>
      </c>
      <c r="CX25" s="171">
        <f t="shared" si="50"/>
        <v>0</v>
      </c>
      <c r="CY25" s="170">
        <f t="shared" si="51"/>
        <v>0</v>
      </c>
      <c r="CZ25" s="168">
        <f t="shared" si="52"/>
        <v>0</v>
      </c>
      <c r="DA25" s="172">
        <f t="shared" si="54"/>
        <v>0</v>
      </c>
      <c r="DB25" s="173">
        <f t="shared" si="55"/>
        <v>0</v>
      </c>
      <c r="DC25" s="172">
        <f t="shared" si="56"/>
        <v>0</v>
      </c>
      <c r="DD25" s="172">
        <f t="shared" si="56"/>
        <v>0</v>
      </c>
      <c r="DE25" s="172">
        <f t="shared" si="56"/>
        <v>0</v>
      </c>
      <c r="DF25" s="172">
        <f t="shared" si="57"/>
        <v>0</v>
      </c>
      <c r="DG25" s="1"/>
      <c r="DH25" s="1"/>
      <c r="DM25" s="7"/>
      <c r="DR25" s="142" t="s">
        <v>148</v>
      </c>
      <c r="DS25" s="161">
        <v>1</v>
      </c>
      <c r="DT25" s="161">
        <v>0.05</v>
      </c>
      <c r="DU25" s="161">
        <v>1</v>
      </c>
      <c r="DV25" s="161">
        <v>1</v>
      </c>
      <c r="DW25" s="161">
        <v>0.75</v>
      </c>
      <c r="DX25" s="161">
        <v>0</v>
      </c>
      <c r="DY25" s="161">
        <v>0.5</v>
      </c>
      <c r="DZ25" s="161">
        <v>0.5</v>
      </c>
      <c r="EA25" s="161">
        <v>0</v>
      </c>
      <c r="EB25" s="161">
        <v>0.25</v>
      </c>
      <c r="EC25" s="161">
        <v>1</v>
      </c>
      <c r="ED25" s="161">
        <v>0</v>
      </c>
      <c r="EE25" s="161">
        <v>1</v>
      </c>
      <c r="EF25" s="130">
        <v>0</v>
      </c>
      <c r="EG25" s="161">
        <v>0.75</v>
      </c>
      <c r="EH25" s="161">
        <v>0</v>
      </c>
      <c r="EI25" s="161">
        <v>1</v>
      </c>
      <c r="EJ25" s="161">
        <v>0</v>
      </c>
      <c r="EK25" s="161">
        <v>1</v>
      </c>
      <c r="EL25" s="161">
        <v>1</v>
      </c>
      <c r="EM25" s="161">
        <v>1</v>
      </c>
      <c r="EN25" s="161">
        <v>0</v>
      </c>
      <c r="EO25" s="161">
        <v>1</v>
      </c>
      <c r="EP25" s="130">
        <v>0</v>
      </c>
      <c r="EQ25" s="161">
        <v>1</v>
      </c>
      <c r="ER25" s="161">
        <v>0</v>
      </c>
      <c r="ES25" s="161">
        <v>0</v>
      </c>
      <c r="ET25" s="161">
        <v>0</v>
      </c>
      <c r="EU25" s="161">
        <v>0</v>
      </c>
      <c r="EV25" s="130">
        <v>1</v>
      </c>
      <c r="EW25" s="162">
        <v>1</v>
      </c>
      <c r="EX25" s="132">
        <v>0.2</v>
      </c>
      <c r="EY25" s="7"/>
    </row>
    <row r="26" spans="1:155" s="565" customFormat="1" ht="49.5" customHeight="1">
      <c r="A26" s="123"/>
      <c r="B26" s="102"/>
      <c r="C26" s="103"/>
      <c r="D26" s="745" t="s">
        <v>84</v>
      </c>
      <c r="E26" s="746"/>
      <c r="F26" s="104"/>
      <c r="G26" s="105"/>
      <c r="H26" s="599" t="s">
        <v>84</v>
      </c>
      <c r="I26" s="27"/>
      <c r="J26" s="27"/>
      <c r="K26" s="27"/>
      <c r="L26" s="3"/>
      <c r="M26" s="70"/>
      <c r="N26" s="14"/>
      <c r="O26" s="14"/>
      <c r="P26" s="14"/>
      <c r="Q26" s="124">
        <f t="shared" si="5"/>
        <v>0</v>
      </c>
      <c r="R26" s="125">
        <f t="shared" si="6"/>
        <v>0</v>
      </c>
      <c r="S26" s="125">
        <f t="shared" si="7"/>
        <v>0</v>
      </c>
      <c r="T26" s="126">
        <f t="shared" si="8"/>
        <v>0</v>
      </c>
      <c r="U26" s="126">
        <f t="shared" si="9"/>
        <v>0</v>
      </c>
      <c r="V26" s="126">
        <f t="shared" si="10"/>
        <v>0</v>
      </c>
      <c r="W26" s="127">
        <f t="shared" si="2"/>
        <v>0</v>
      </c>
      <c r="X26" s="127">
        <f t="shared" si="3"/>
        <v>0</v>
      </c>
      <c r="Y26" s="128">
        <f t="shared" si="11"/>
        <v>0</v>
      </c>
      <c r="Z26" s="126">
        <f t="shared" si="4"/>
        <v>0</v>
      </c>
      <c r="AA26" s="14"/>
      <c r="AB26" s="14"/>
      <c r="AC26" s="14"/>
      <c r="AD26" s="14"/>
      <c r="AE26" s="14"/>
      <c r="AF26" s="14"/>
      <c r="AG26" s="133" t="str">
        <f>ES9</f>
        <v>Hotel</v>
      </c>
      <c r="AH26" s="73"/>
      <c r="AI26" s="74"/>
      <c r="AJ26" s="98">
        <f>ES39</f>
        <v>10.25</v>
      </c>
      <c r="AK26" s="98">
        <f>ET39</f>
        <v>10.25</v>
      </c>
      <c r="AL26" s="99">
        <f>ES40</f>
        <v>1</v>
      </c>
      <c r="AM26" s="99">
        <f>ET40</f>
        <v>1</v>
      </c>
      <c r="AN26" s="14"/>
      <c r="AO26" s="14"/>
      <c r="AP26" s="14"/>
      <c r="AQ26" s="14"/>
      <c r="AR26" s="14"/>
      <c r="AS26" s="14"/>
      <c r="AT26" s="14"/>
      <c r="AU26" s="14"/>
      <c r="AV26" s="14"/>
      <c r="AW26" s="14"/>
      <c r="AX26" s="14"/>
      <c r="AY26" s="14"/>
      <c r="AZ26" s="14"/>
      <c r="BA26" s="14"/>
      <c r="BB26" s="14"/>
      <c r="BC26" s="14"/>
      <c r="BD26" s="45"/>
      <c r="BE26" s="165" t="s">
        <v>11</v>
      </c>
      <c r="BF26" s="23">
        <v>21</v>
      </c>
      <c r="BG26" s="23">
        <v>7</v>
      </c>
      <c r="BH26" s="23">
        <v>4</v>
      </c>
      <c r="BI26" s="90" t="b">
        <f t="shared" si="53"/>
        <v>1</v>
      </c>
      <c r="BJ26" s="46" t="b">
        <f t="shared" si="58"/>
        <v>0</v>
      </c>
      <c r="BK26" s="166">
        <f t="shared" si="13"/>
        <v>0</v>
      </c>
      <c r="BL26" s="175">
        <f>IF(SUM(BL$20:BL25,BK26)&gt;$BJ$4,0,BK26)</f>
        <v>0</v>
      </c>
      <c r="BM26" s="23">
        <f t="shared" si="14"/>
        <v>0</v>
      </c>
      <c r="BN26" s="90">
        <f t="shared" si="15"/>
        <v>0</v>
      </c>
      <c r="BO26" s="24">
        <f t="shared" si="59"/>
        <v>0</v>
      </c>
      <c r="BP26" s="168">
        <f t="shared" si="16"/>
        <v>0</v>
      </c>
      <c r="BQ26" s="171">
        <f t="shared" si="17"/>
        <v>0</v>
      </c>
      <c r="BR26" s="170">
        <f t="shared" si="18"/>
        <v>0</v>
      </c>
      <c r="BS26" s="168">
        <f t="shared" si="19"/>
        <v>0</v>
      </c>
      <c r="BT26" s="171">
        <f t="shared" si="20"/>
        <v>0</v>
      </c>
      <c r="BU26" s="170">
        <f t="shared" si="21"/>
        <v>0</v>
      </c>
      <c r="BV26" s="168">
        <f t="shared" si="22"/>
        <v>0</v>
      </c>
      <c r="BW26" s="171">
        <f t="shared" si="23"/>
        <v>0</v>
      </c>
      <c r="BX26" s="170">
        <f t="shared" si="24"/>
        <v>0</v>
      </c>
      <c r="BY26" s="168">
        <f t="shared" si="25"/>
        <v>0</v>
      </c>
      <c r="BZ26" s="171">
        <f t="shared" si="26"/>
        <v>0</v>
      </c>
      <c r="CA26" s="170">
        <f t="shared" si="27"/>
        <v>0</v>
      </c>
      <c r="CB26" s="90">
        <f t="shared" si="28"/>
        <v>0</v>
      </c>
      <c r="CC26" s="171">
        <f t="shared" si="29"/>
        <v>0</v>
      </c>
      <c r="CD26" s="170">
        <f t="shared" si="30"/>
        <v>0</v>
      </c>
      <c r="CE26" s="90">
        <f t="shared" si="31"/>
        <v>0</v>
      </c>
      <c r="CF26" s="171">
        <f t="shared" si="32"/>
        <v>0</v>
      </c>
      <c r="CG26" s="170">
        <f t="shared" si="33"/>
        <v>0</v>
      </c>
      <c r="CH26" s="90">
        <f t="shared" si="34"/>
        <v>0</v>
      </c>
      <c r="CI26" s="171">
        <f t="shared" si="35"/>
        <v>0</v>
      </c>
      <c r="CJ26" s="170">
        <f t="shared" si="36"/>
        <v>0</v>
      </c>
      <c r="CK26" s="90">
        <f t="shared" si="37"/>
        <v>0</v>
      </c>
      <c r="CL26" s="171">
        <f t="shared" si="38"/>
        <v>0</v>
      </c>
      <c r="CM26" s="170">
        <f t="shared" si="39"/>
        <v>0</v>
      </c>
      <c r="CN26" s="90">
        <f t="shared" si="40"/>
        <v>0</v>
      </c>
      <c r="CO26" s="171">
        <f t="shared" si="41"/>
        <v>0</v>
      </c>
      <c r="CP26" s="170">
        <f t="shared" si="42"/>
        <v>0</v>
      </c>
      <c r="CQ26" s="90">
        <f t="shared" si="43"/>
        <v>0</v>
      </c>
      <c r="CR26" s="171">
        <f t="shared" si="44"/>
        <v>0</v>
      </c>
      <c r="CS26" s="170">
        <f t="shared" si="45"/>
        <v>0</v>
      </c>
      <c r="CT26" s="90">
        <f t="shared" si="46"/>
        <v>0</v>
      </c>
      <c r="CU26" s="171">
        <f t="shared" si="47"/>
        <v>0</v>
      </c>
      <c r="CV26" s="170">
        <f t="shared" si="48"/>
        <v>0</v>
      </c>
      <c r="CW26" s="90">
        <f t="shared" si="49"/>
        <v>0</v>
      </c>
      <c r="CX26" s="171">
        <f t="shared" si="50"/>
        <v>0</v>
      </c>
      <c r="CY26" s="170">
        <f t="shared" si="51"/>
        <v>0</v>
      </c>
      <c r="CZ26" s="168">
        <f t="shared" si="52"/>
        <v>0</v>
      </c>
      <c r="DA26" s="172">
        <f t="shared" si="54"/>
        <v>0</v>
      </c>
      <c r="DB26" s="173">
        <f t="shared" si="55"/>
        <v>0</v>
      </c>
      <c r="DC26" s="172">
        <f t="shared" si="56"/>
        <v>0</v>
      </c>
      <c r="DD26" s="172">
        <f t="shared" si="56"/>
        <v>0</v>
      </c>
      <c r="DE26" s="172">
        <f t="shared" si="56"/>
        <v>0</v>
      </c>
      <c r="DF26" s="172">
        <f t="shared" si="57"/>
        <v>0</v>
      </c>
      <c r="DG26" s="1"/>
      <c r="DH26" s="1"/>
      <c r="DI26" s="3"/>
      <c r="DJ26" s="8"/>
      <c r="DK26" s="8"/>
      <c r="DL26" s="8"/>
      <c r="DM26" s="7"/>
      <c r="DN26" s="8"/>
      <c r="DO26" s="8"/>
      <c r="DP26" s="8"/>
      <c r="DQ26" s="3"/>
      <c r="DR26" s="142" t="s">
        <v>149</v>
      </c>
      <c r="DS26" s="161">
        <v>1</v>
      </c>
      <c r="DT26" s="161">
        <v>0.05</v>
      </c>
      <c r="DU26" s="161">
        <v>1</v>
      </c>
      <c r="DV26" s="161">
        <v>1</v>
      </c>
      <c r="DW26" s="177">
        <v>1</v>
      </c>
      <c r="DX26" s="177">
        <v>0</v>
      </c>
      <c r="DY26" s="177">
        <v>0.5</v>
      </c>
      <c r="DZ26" s="177">
        <v>0.5</v>
      </c>
      <c r="EA26" s="177">
        <v>0</v>
      </c>
      <c r="EB26" s="161">
        <v>0.25</v>
      </c>
      <c r="EC26" s="177">
        <v>1</v>
      </c>
      <c r="ED26" s="177">
        <v>0</v>
      </c>
      <c r="EE26" s="177">
        <v>1</v>
      </c>
      <c r="EF26" s="130">
        <v>0</v>
      </c>
      <c r="EG26" s="177">
        <v>1</v>
      </c>
      <c r="EH26" s="161">
        <v>0</v>
      </c>
      <c r="EI26" s="177">
        <v>1</v>
      </c>
      <c r="EJ26" s="177">
        <v>0</v>
      </c>
      <c r="EK26" s="177">
        <v>1</v>
      </c>
      <c r="EL26" s="177">
        <v>1</v>
      </c>
      <c r="EM26" s="177">
        <v>1</v>
      </c>
      <c r="EN26" s="177">
        <v>0</v>
      </c>
      <c r="EO26" s="161">
        <v>1</v>
      </c>
      <c r="EP26" s="130">
        <v>0</v>
      </c>
      <c r="EQ26" s="177">
        <v>1</v>
      </c>
      <c r="ER26" s="177">
        <v>0</v>
      </c>
      <c r="ES26" s="161">
        <v>0</v>
      </c>
      <c r="ET26" s="161">
        <v>0</v>
      </c>
      <c r="EU26" s="161">
        <v>0</v>
      </c>
      <c r="EV26" s="130">
        <v>1</v>
      </c>
      <c r="EW26" s="162">
        <v>1</v>
      </c>
      <c r="EX26" s="132">
        <v>0.2</v>
      </c>
      <c r="EY26" s="7"/>
    </row>
    <row r="27" spans="1:155" s="565" customFormat="1" ht="49.5" customHeight="1">
      <c r="A27" s="123"/>
      <c r="B27" s="102"/>
      <c r="C27" s="103"/>
      <c r="D27" s="745" t="s">
        <v>84</v>
      </c>
      <c r="E27" s="746"/>
      <c r="F27" s="104"/>
      <c r="G27" s="105"/>
      <c r="H27" s="599" t="s">
        <v>84</v>
      </c>
      <c r="I27" s="27"/>
      <c r="J27" s="27"/>
      <c r="K27" s="27"/>
      <c r="L27" s="3"/>
      <c r="M27" s="70"/>
      <c r="N27" s="14"/>
      <c r="O27" s="14"/>
      <c r="P27" s="14"/>
      <c r="Q27" s="124">
        <f t="shared" si="5"/>
        <v>0</v>
      </c>
      <c r="R27" s="125">
        <f t="shared" si="6"/>
        <v>0</v>
      </c>
      <c r="S27" s="125">
        <f t="shared" si="7"/>
        <v>0</v>
      </c>
      <c r="T27" s="126">
        <f t="shared" si="8"/>
        <v>0</v>
      </c>
      <c r="U27" s="126">
        <f t="shared" si="9"/>
        <v>0</v>
      </c>
      <c r="V27" s="126">
        <f t="shared" si="10"/>
        <v>0</v>
      </c>
      <c r="W27" s="127">
        <f t="shared" si="2"/>
        <v>0</v>
      </c>
      <c r="X27" s="127">
        <f t="shared" si="3"/>
        <v>0</v>
      </c>
      <c r="Y27" s="128">
        <f t="shared" si="11"/>
        <v>0</v>
      </c>
      <c r="Z27" s="126">
        <f t="shared" si="4"/>
        <v>0</v>
      </c>
      <c r="AA27" s="14"/>
      <c r="AB27" s="14"/>
      <c r="AC27" s="14"/>
      <c r="AD27" s="14"/>
      <c r="AE27" s="14"/>
      <c r="AF27" s="14"/>
      <c r="AG27" s="133" t="str">
        <f>EW9</f>
        <v>&lt;User Defined&gt;</v>
      </c>
      <c r="AH27" s="73"/>
      <c r="AI27" s="74"/>
      <c r="AJ27" s="98">
        <f>EW39</f>
        <v>11.899999999999995</v>
      </c>
      <c r="AK27" s="98">
        <f>EX39</f>
        <v>4.8000000000000016</v>
      </c>
      <c r="AL27" s="99">
        <f>EW40</f>
        <v>1</v>
      </c>
      <c r="AM27" s="99">
        <f>EX40</f>
        <v>0.2</v>
      </c>
      <c r="AN27" s="14"/>
      <c r="AO27" s="14"/>
      <c r="AP27" s="14"/>
      <c r="AQ27" s="14"/>
      <c r="AR27" s="14"/>
      <c r="AS27" s="14"/>
      <c r="AT27" s="14"/>
      <c r="AU27" s="14"/>
      <c r="AV27" s="14"/>
      <c r="AW27" s="14"/>
      <c r="AX27" s="14"/>
      <c r="AY27" s="14"/>
      <c r="AZ27" s="14"/>
      <c r="BA27" s="14"/>
      <c r="BB27" s="14"/>
      <c r="BC27" s="14"/>
      <c r="BD27" s="45"/>
      <c r="BE27" s="165" t="s">
        <v>11</v>
      </c>
      <c r="BF27" s="23">
        <v>21</v>
      </c>
      <c r="BG27" s="23">
        <v>8</v>
      </c>
      <c r="BH27" s="23">
        <v>5</v>
      </c>
      <c r="BI27" s="90" t="b">
        <f t="shared" si="53"/>
        <v>1</v>
      </c>
      <c r="BJ27" s="46" t="b">
        <f t="shared" si="58"/>
        <v>1</v>
      </c>
      <c r="BK27" s="166">
        <f t="shared" si="13"/>
        <v>7.3529411764705879</v>
      </c>
      <c r="BL27" s="175">
        <f>IF(SUM(BL$20:BL26,BK27)&gt;$BJ$4,0,BK27)</f>
        <v>7.3529411764705879</v>
      </c>
      <c r="BM27" s="23">
        <f t="shared" si="14"/>
        <v>0</v>
      </c>
      <c r="BN27" s="90">
        <f t="shared" si="15"/>
        <v>0</v>
      </c>
      <c r="BO27" s="24">
        <f t="shared" si="59"/>
        <v>0</v>
      </c>
      <c r="BP27" s="168">
        <f t="shared" si="16"/>
        <v>0</v>
      </c>
      <c r="BQ27" s="171">
        <f t="shared" si="17"/>
        <v>0</v>
      </c>
      <c r="BR27" s="170">
        <f t="shared" si="18"/>
        <v>0</v>
      </c>
      <c r="BS27" s="168">
        <f t="shared" si="19"/>
        <v>0</v>
      </c>
      <c r="BT27" s="171">
        <f t="shared" si="20"/>
        <v>0</v>
      </c>
      <c r="BU27" s="170">
        <f t="shared" si="21"/>
        <v>0</v>
      </c>
      <c r="BV27" s="168">
        <f t="shared" si="22"/>
        <v>0</v>
      </c>
      <c r="BW27" s="171">
        <f t="shared" si="23"/>
        <v>0</v>
      </c>
      <c r="BX27" s="170">
        <f t="shared" si="24"/>
        <v>0</v>
      </c>
      <c r="BY27" s="168">
        <f t="shared" si="25"/>
        <v>0</v>
      </c>
      <c r="BZ27" s="171">
        <f t="shared" si="26"/>
        <v>0</v>
      </c>
      <c r="CA27" s="170">
        <f t="shared" si="27"/>
        <v>0</v>
      </c>
      <c r="CB27" s="90">
        <f t="shared" si="28"/>
        <v>0</v>
      </c>
      <c r="CC27" s="171">
        <f t="shared" si="29"/>
        <v>0</v>
      </c>
      <c r="CD27" s="170">
        <f t="shared" si="30"/>
        <v>0</v>
      </c>
      <c r="CE27" s="90">
        <f t="shared" si="31"/>
        <v>0</v>
      </c>
      <c r="CF27" s="171">
        <f t="shared" si="32"/>
        <v>0</v>
      </c>
      <c r="CG27" s="170">
        <f t="shared" si="33"/>
        <v>0</v>
      </c>
      <c r="CH27" s="90">
        <f t="shared" si="34"/>
        <v>0</v>
      </c>
      <c r="CI27" s="171">
        <f t="shared" si="35"/>
        <v>0</v>
      </c>
      <c r="CJ27" s="170">
        <f t="shared" si="36"/>
        <v>0</v>
      </c>
      <c r="CK27" s="90">
        <f t="shared" si="37"/>
        <v>0</v>
      </c>
      <c r="CL27" s="171">
        <f t="shared" si="38"/>
        <v>0</v>
      </c>
      <c r="CM27" s="170">
        <f t="shared" si="39"/>
        <v>0</v>
      </c>
      <c r="CN27" s="90">
        <f t="shared" si="40"/>
        <v>0</v>
      </c>
      <c r="CO27" s="171">
        <f t="shared" si="41"/>
        <v>0</v>
      </c>
      <c r="CP27" s="170">
        <f t="shared" si="42"/>
        <v>0</v>
      </c>
      <c r="CQ27" s="90">
        <f t="shared" si="43"/>
        <v>0</v>
      </c>
      <c r="CR27" s="171">
        <f t="shared" si="44"/>
        <v>0</v>
      </c>
      <c r="CS27" s="170">
        <f t="shared" si="45"/>
        <v>0</v>
      </c>
      <c r="CT27" s="90">
        <f t="shared" si="46"/>
        <v>0</v>
      </c>
      <c r="CU27" s="171">
        <f t="shared" si="47"/>
        <v>0</v>
      </c>
      <c r="CV27" s="170">
        <f t="shared" si="48"/>
        <v>0</v>
      </c>
      <c r="CW27" s="90">
        <f t="shared" si="49"/>
        <v>0</v>
      </c>
      <c r="CX27" s="171">
        <f t="shared" si="50"/>
        <v>0</v>
      </c>
      <c r="CY27" s="170">
        <f t="shared" si="51"/>
        <v>0</v>
      </c>
      <c r="CZ27" s="168">
        <f t="shared" si="52"/>
        <v>0</v>
      </c>
      <c r="DA27" s="172">
        <f t="shared" si="54"/>
        <v>0</v>
      </c>
      <c r="DB27" s="173">
        <f t="shared" si="55"/>
        <v>0</v>
      </c>
      <c r="DC27" s="172">
        <f t="shared" si="56"/>
        <v>0</v>
      </c>
      <c r="DD27" s="172">
        <f t="shared" si="56"/>
        <v>0</v>
      </c>
      <c r="DE27" s="172">
        <f t="shared" si="56"/>
        <v>0</v>
      </c>
      <c r="DF27" s="172">
        <f t="shared" si="57"/>
        <v>0</v>
      </c>
      <c r="DG27" s="1"/>
      <c r="DH27" s="1"/>
      <c r="DI27" s="3"/>
      <c r="DJ27" s="8"/>
      <c r="DK27" s="8"/>
      <c r="DL27" s="8"/>
      <c r="DM27" s="7"/>
      <c r="DN27" s="8"/>
      <c r="DO27" s="8"/>
      <c r="DP27" s="8"/>
      <c r="DQ27" s="3"/>
      <c r="DR27" s="142" t="s">
        <v>150</v>
      </c>
      <c r="DS27" s="161">
        <v>1</v>
      </c>
      <c r="DT27" s="161">
        <v>0.05</v>
      </c>
      <c r="DU27" s="161">
        <v>0.5</v>
      </c>
      <c r="DV27" s="161">
        <v>0.5</v>
      </c>
      <c r="DW27" s="177">
        <v>1</v>
      </c>
      <c r="DX27" s="177">
        <v>0</v>
      </c>
      <c r="DY27" s="177">
        <v>1</v>
      </c>
      <c r="DZ27" s="177">
        <v>1</v>
      </c>
      <c r="EA27" s="177">
        <v>0.25</v>
      </c>
      <c r="EB27" s="161">
        <v>0.25</v>
      </c>
      <c r="EC27" s="177">
        <v>0.75</v>
      </c>
      <c r="ED27" s="177">
        <v>0</v>
      </c>
      <c r="EE27" s="177">
        <v>1</v>
      </c>
      <c r="EF27" s="130">
        <v>0</v>
      </c>
      <c r="EG27" s="177">
        <v>1</v>
      </c>
      <c r="EH27" s="161">
        <v>0</v>
      </c>
      <c r="EI27" s="177">
        <v>0.5</v>
      </c>
      <c r="EJ27" s="177">
        <v>0</v>
      </c>
      <c r="EK27" s="177">
        <v>1</v>
      </c>
      <c r="EL27" s="177">
        <v>1</v>
      </c>
      <c r="EM27" s="177">
        <v>0.75</v>
      </c>
      <c r="EN27" s="177">
        <v>0</v>
      </c>
      <c r="EO27" s="161">
        <v>1</v>
      </c>
      <c r="EP27" s="130">
        <v>0</v>
      </c>
      <c r="EQ27" s="177">
        <v>0.75</v>
      </c>
      <c r="ER27" s="177">
        <v>0</v>
      </c>
      <c r="ES27" s="161">
        <v>0</v>
      </c>
      <c r="ET27" s="161">
        <v>0</v>
      </c>
      <c r="EU27" s="161">
        <v>0.25</v>
      </c>
      <c r="EV27" s="130">
        <v>1</v>
      </c>
      <c r="EW27" s="162">
        <v>1</v>
      </c>
      <c r="EX27" s="132">
        <v>0.2</v>
      </c>
      <c r="EY27" s="7"/>
    </row>
    <row r="28" spans="1:155" s="565" customFormat="1" ht="21" customHeight="1">
      <c r="A28" s="123"/>
      <c r="B28" s="70"/>
      <c r="C28" s="178">
        <f>SUM(C13:C27)</f>
        <v>0</v>
      </c>
      <c r="D28" s="179"/>
      <c r="E28" s="70"/>
      <c r="F28" s="3"/>
      <c r="G28" s="70"/>
      <c r="H28" s="22"/>
      <c r="I28" s="27"/>
      <c r="J28" s="27"/>
      <c r="K28" s="27"/>
      <c r="L28" s="3"/>
      <c r="M28" s="70"/>
      <c r="N28" s="14"/>
      <c r="O28" s="14"/>
      <c r="P28" s="14"/>
      <c r="Q28" s="124">
        <f t="shared" si="5"/>
        <v>0</v>
      </c>
      <c r="R28" s="125">
        <f t="shared" si="6"/>
        <v>0</v>
      </c>
      <c r="S28" s="125">
        <f t="shared" si="7"/>
        <v>0</v>
      </c>
      <c r="T28" s="126">
        <f t="shared" si="8"/>
        <v>0</v>
      </c>
      <c r="U28" s="126">
        <f t="shared" si="9"/>
        <v>0</v>
      </c>
      <c r="V28" s="126">
        <f t="shared" si="10"/>
        <v>0</v>
      </c>
      <c r="W28" s="127">
        <f t="shared" si="2"/>
        <v>0</v>
      </c>
      <c r="X28" s="127">
        <f t="shared" si="3"/>
        <v>0</v>
      </c>
      <c r="Y28" s="128">
        <f t="shared" si="11"/>
        <v>0</v>
      </c>
      <c r="Z28" s="126">
        <f t="shared" si="4"/>
        <v>0</v>
      </c>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45"/>
      <c r="BE28" s="165" t="s">
        <v>11</v>
      </c>
      <c r="BF28" s="23">
        <v>21</v>
      </c>
      <c r="BG28" s="23">
        <v>9</v>
      </c>
      <c r="BH28" s="23">
        <v>6</v>
      </c>
      <c r="BI28" s="90" t="b">
        <f t="shared" si="53"/>
        <v>0</v>
      </c>
      <c r="BJ28" s="46" t="b">
        <f t="shared" si="58"/>
        <v>0</v>
      </c>
      <c r="BK28" s="166">
        <f t="shared" si="13"/>
        <v>0</v>
      </c>
      <c r="BL28" s="175">
        <f>IF(SUM(BL$20:BL27,BK28)&gt;$BJ$4,0,BK28)</f>
        <v>0</v>
      </c>
      <c r="BM28" s="23">
        <f t="shared" si="14"/>
        <v>0</v>
      </c>
      <c r="BN28" s="90">
        <f t="shared" si="15"/>
        <v>0</v>
      </c>
      <c r="BO28" s="24">
        <f t="shared" si="59"/>
        <v>0</v>
      </c>
      <c r="BP28" s="168">
        <f t="shared" si="16"/>
        <v>0</v>
      </c>
      <c r="BQ28" s="171">
        <f t="shared" si="17"/>
        <v>0</v>
      </c>
      <c r="BR28" s="170">
        <f t="shared" si="18"/>
        <v>0</v>
      </c>
      <c r="BS28" s="168">
        <f t="shared" si="19"/>
        <v>0</v>
      </c>
      <c r="BT28" s="171">
        <f t="shared" si="20"/>
        <v>0</v>
      </c>
      <c r="BU28" s="170">
        <f t="shared" si="21"/>
        <v>0</v>
      </c>
      <c r="BV28" s="168">
        <f t="shared" si="22"/>
        <v>0</v>
      </c>
      <c r="BW28" s="171">
        <f t="shared" si="23"/>
        <v>0</v>
      </c>
      <c r="BX28" s="170">
        <f t="shared" si="24"/>
        <v>0</v>
      </c>
      <c r="BY28" s="168">
        <f t="shared" si="25"/>
        <v>0</v>
      </c>
      <c r="BZ28" s="171">
        <f t="shared" si="26"/>
        <v>0</v>
      </c>
      <c r="CA28" s="170">
        <f t="shared" si="27"/>
        <v>0</v>
      </c>
      <c r="CB28" s="90">
        <f t="shared" si="28"/>
        <v>0</v>
      </c>
      <c r="CC28" s="171">
        <f t="shared" si="29"/>
        <v>0</v>
      </c>
      <c r="CD28" s="170">
        <f t="shared" si="30"/>
        <v>0</v>
      </c>
      <c r="CE28" s="90">
        <f t="shared" si="31"/>
        <v>0</v>
      </c>
      <c r="CF28" s="171">
        <f t="shared" si="32"/>
        <v>0</v>
      </c>
      <c r="CG28" s="170">
        <f t="shared" si="33"/>
        <v>0</v>
      </c>
      <c r="CH28" s="90">
        <f t="shared" si="34"/>
        <v>0</v>
      </c>
      <c r="CI28" s="171">
        <f t="shared" si="35"/>
        <v>0</v>
      </c>
      <c r="CJ28" s="170">
        <f t="shared" si="36"/>
        <v>0</v>
      </c>
      <c r="CK28" s="90">
        <f t="shared" si="37"/>
        <v>0</v>
      </c>
      <c r="CL28" s="171">
        <f t="shared" si="38"/>
        <v>0</v>
      </c>
      <c r="CM28" s="170">
        <f t="shared" si="39"/>
        <v>0</v>
      </c>
      <c r="CN28" s="90">
        <f t="shared" si="40"/>
        <v>0</v>
      </c>
      <c r="CO28" s="171">
        <f t="shared" si="41"/>
        <v>0</v>
      </c>
      <c r="CP28" s="170">
        <f t="shared" si="42"/>
        <v>0</v>
      </c>
      <c r="CQ28" s="90">
        <f t="shared" si="43"/>
        <v>0</v>
      </c>
      <c r="CR28" s="171">
        <f t="shared" si="44"/>
        <v>0</v>
      </c>
      <c r="CS28" s="170">
        <f t="shared" si="45"/>
        <v>0</v>
      </c>
      <c r="CT28" s="90">
        <f t="shared" si="46"/>
        <v>0</v>
      </c>
      <c r="CU28" s="171">
        <f t="shared" si="47"/>
        <v>0</v>
      </c>
      <c r="CV28" s="170">
        <f t="shared" si="48"/>
        <v>0</v>
      </c>
      <c r="CW28" s="90">
        <f t="shared" si="49"/>
        <v>0</v>
      </c>
      <c r="CX28" s="171">
        <f t="shared" si="50"/>
        <v>0</v>
      </c>
      <c r="CY28" s="170">
        <f t="shared" si="51"/>
        <v>0</v>
      </c>
      <c r="CZ28" s="168">
        <f t="shared" si="52"/>
        <v>0</v>
      </c>
      <c r="DA28" s="172">
        <f t="shared" si="54"/>
        <v>0</v>
      </c>
      <c r="DB28" s="173">
        <f t="shared" si="55"/>
        <v>0</v>
      </c>
      <c r="DC28" s="172">
        <f t="shared" si="56"/>
        <v>0</v>
      </c>
      <c r="DD28" s="172">
        <f t="shared" si="56"/>
        <v>0</v>
      </c>
      <c r="DE28" s="172">
        <f t="shared" si="56"/>
        <v>0</v>
      </c>
      <c r="DF28" s="172">
        <f>IF(DA28-(DE27+CZ28)&lt;0,0,DA28-(DE27+CZ28))</f>
        <v>0</v>
      </c>
      <c r="DG28" s="1"/>
      <c r="DH28" s="1"/>
      <c r="DI28" s="3"/>
      <c r="DJ28" s="8"/>
      <c r="DK28" s="8"/>
      <c r="DL28" s="8"/>
      <c r="DM28" s="7"/>
      <c r="DN28" s="8"/>
      <c r="DO28" s="8"/>
      <c r="DP28" s="8"/>
      <c r="DQ28" s="3"/>
      <c r="DR28" s="142" t="s">
        <v>151</v>
      </c>
      <c r="DS28" s="161">
        <v>1</v>
      </c>
      <c r="DT28" s="161">
        <v>0.05</v>
      </c>
      <c r="DU28" s="161">
        <v>0.5</v>
      </c>
      <c r="DV28" s="161">
        <v>0.5</v>
      </c>
      <c r="DW28" s="177">
        <v>0.5</v>
      </c>
      <c r="DX28" s="177">
        <v>0</v>
      </c>
      <c r="DY28" s="177">
        <v>1</v>
      </c>
      <c r="DZ28" s="177">
        <v>1</v>
      </c>
      <c r="EA28" s="177">
        <v>1</v>
      </c>
      <c r="EB28" s="161">
        <v>0.25</v>
      </c>
      <c r="EC28" s="177">
        <v>0.75</v>
      </c>
      <c r="ED28" s="177">
        <v>0</v>
      </c>
      <c r="EE28" s="177">
        <v>0.75</v>
      </c>
      <c r="EF28" s="130">
        <v>0</v>
      </c>
      <c r="EG28" s="177">
        <v>0.5</v>
      </c>
      <c r="EH28" s="161">
        <v>0</v>
      </c>
      <c r="EI28" s="177">
        <v>0.5</v>
      </c>
      <c r="EJ28" s="177">
        <v>0</v>
      </c>
      <c r="EK28" s="177">
        <v>0.75</v>
      </c>
      <c r="EL28" s="177">
        <v>0.75</v>
      </c>
      <c r="EM28" s="177">
        <v>0.75</v>
      </c>
      <c r="EN28" s="177">
        <v>0</v>
      </c>
      <c r="EO28" s="161">
        <v>1</v>
      </c>
      <c r="EP28" s="130">
        <v>0</v>
      </c>
      <c r="EQ28" s="177">
        <v>0.75</v>
      </c>
      <c r="ER28" s="177">
        <v>0</v>
      </c>
      <c r="ES28" s="161">
        <v>0</v>
      </c>
      <c r="ET28" s="161">
        <v>0</v>
      </c>
      <c r="EU28" s="161">
        <v>1</v>
      </c>
      <c r="EV28" s="130">
        <v>1</v>
      </c>
      <c r="EW28" s="162">
        <v>1</v>
      </c>
      <c r="EX28" s="132">
        <v>0.2</v>
      </c>
      <c r="EY28" s="7"/>
    </row>
    <row r="29" spans="1:155" s="565" customFormat="1" ht="21" customHeight="1">
      <c r="A29" s="123"/>
      <c r="B29" s="3"/>
      <c r="C29" s="3"/>
      <c r="D29" s="3"/>
      <c r="E29" s="3"/>
      <c r="F29" s="180"/>
      <c r="G29" s="180"/>
      <c r="H29" s="180"/>
      <c r="I29" s="70"/>
      <c r="J29" s="70"/>
      <c r="K29" s="70"/>
      <c r="L29" s="70"/>
      <c r="M29" s="70"/>
      <c r="N29" s="14"/>
      <c r="O29" s="14"/>
      <c r="P29" s="14"/>
      <c r="Q29" s="124">
        <f t="shared" si="5"/>
        <v>0</v>
      </c>
      <c r="R29" s="125">
        <f t="shared" si="6"/>
        <v>0</v>
      </c>
      <c r="S29" s="125">
        <f t="shared" si="7"/>
        <v>0</v>
      </c>
      <c r="T29" s="126">
        <f t="shared" si="8"/>
        <v>0</v>
      </c>
      <c r="U29" s="126">
        <f t="shared" si="9"/>
        <v>0</v>
      </c>
      <c r="V29" s="126">
        <f t="shared" si="10"/>
        <v>0</v>
      </c>
      <c r="W29" s="127">
        <f t="shared" si="2"/>
        <v>0</v>
      </c>
      <c r="X29" s="127">
        <f t="shared" si="3"/>
        <v>0</v>
      </c>
      <c r="Y29" s="128">
        <f t="shared" si="11"/>
        <v>0</v>
      </c>
      <c r="Z29" s="126">
        <f t="shared" si="4"/>
        <v>0</v>
      </c>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45"/>
      <c r="BE29" s="165" t="s">
        <v>11</v>
      </c>
      <c r="BF29" s="23">
        <v>21</v>
      </c>
      <c r="BG29" s="23">
        <v>10</v>
      </c>
      <c r="BH29" s="23">
        <v>7</v>
      </c>
      <c r="BI29" s="90" t="b">
        <f t="shared" si="53"/>
        <v>0</v>
      </c>
      <c r="BJ29" s="46" t="b">
        <f t="shared" si="58"/>
        <v>1</v>
      </c>
      <c r="BK29" s="166">
        <f t="shared" si="13"/>
        <v>7.3529411764705879</v>
      </c>
      <c r="BL29" s="175">
        <f>IF(SUM(BL$20:BL28,BK29)&gt;$BJ$4,0,BK29)</f>
        <v>7.3529411764705879</v>
      </c>
      <c r="BM29" s="23">
        <f t="shared" si="14"/>
        <v>0</v>
      </c>
      <c r="BN29" s="90">
        <f t="shared" si="15"/>
        <v>0</v>
      </c>
      <c r="BO29" s="24">
        <f>BM29-BN29</f>
        <v>0</v>
      </c>
      <c r="BP29" s="168">
        <f t="shared" si="16"/>
        <v>0</v>
      </c>
      <c r="BQ29" s="171">
        <f t="shared" si="17"/>
        <v>0</v>
      </c>
      <c r="BR29" s="170">
        <f t="shared" si="18"/>
        <v>0</v>
      </c>
      <c r="BS29" s="168">
        <f t="shared" si="19"/>
        <v>0</v>
      </c>
      <c r="BT29" s="171">
        <f t="shared" si="20"/>
        <v>0</v>
      </c>
      <c r="BU29" s="170">
        <f t="shared" si="21"/>
        <v>0</v>
      </c>
      <c r="BV29" s="168">
        <f t="shared" si="22"/>
        <v>0</v>
      </c>
      <c r="BW29" s="171">
        <f t="shared" si="23"/>
        <v>0</v>
      </c>
      <c r="BX29" s="170">
        <f t="shared" si="24"/>
        <v>0</v>
      </c>
      <c r="BY29" s="168">
        <f t="shared" si="25"/>
        <v>0</v>
      </c>
      <c r="BZ29" s="171">
        <f t="shared" si="26"/>
        <v>0</v>
      </c>
      <c r="CA29" s="170">
        <f t="shared" si="27"/>
        <v>0</v>
      </c>
      <c r="CB29" s="90">
        <f t="shared" si="28"/>
        <v>0</v>
      </c>
      <c r="CC29" s="171">
        <f t="shared" si="29"/>
        <v>0</v>
      </c>
      <c r="CD29" s="170">
        <f t="shared" si="30"/>
        <v>0</v>
      </c>
      <c r="CE29" s="90">
        <f t="shared" si="31"/>
        <v>0</v>
      </c>
      <c r="CF29" s="171">
        <f t="shared" si="32"/>
        <v>0</v>
      </c>
      <c r="CG29" s="170">
        <f t="shared" si="33"/>
        <v>0</v>
      </c>
      <c r="CH29" s="90">
        <f t="shared" si="34"/>
        <v>0</v>
      </c>
      <c r="CI29" s="171">
        <f t="shared" si="35"/>
        <v>0</v>
      </c>
      <c r="CJ29" s="170">
        <f t="shared" si="36"/>
        <v>0</v>
      </c>
      <c r="CK29" s="90">
        <f t="shared" si="37"/>
        <v>0</v>
      </c>
      <c r="CL29" s="171">
        <f t="shared" si="38"/>
        <v>0</v>
      </c>
      <c r="CM29" s="170">
        <f t="shared" si="39"/>
        <v>0</v>
      </c>
      <c r="CN29" s="90">
        <f t="shared" si="40"/>
        <v>0</v>
      </c>
      <c r="CO29" s="171">
        <f t="shared" si="41"/>
        <v>0</v>
      </c>
      <c r="CP29" s="170">
        <f t="shared" si="42"/>
        <v>0</v>
      </c>
      <c r="CQ29" s="90">
        <f t="shared" si="43"/>
        <v>0</v>
      </c>
      <c r="CR29" s="171">
        <f t="shared" si="44"/>
        <v>0</v>
      </c>
      <c r="CS29" s="170">
        <f t="shared" si="45"/>
        <v>0</v>
      </c>
      <c r="CT29" s="90">
        <f t="shared" si="46"/>
        <v>0</v>
      </c>
      <c r="CU29" s="171">
        <f t="shared" si="47"/>
        <v>0</v>
      </c>
      <c r="CV29" s="170">
        <f t="shared" si="48"/>
        <v>0</v>
      </c>
      <c r="CW29" s="90">
        <f t="shared" si="49"/>
        <v>0</v>
      </c>
      <c r="CX29" s="171">
        <f t="shared" si="50"/>
        <v>0</v>
      </c>
      <c r="CY29" s="170">
        <f t="shared" si="51"/>
        <v>0</v>
      </c>
      <c r="CZ29" s="168">
        <f t="shared" si="52"/>
        <v>0</v>
      </c>
      <c r="DA29" s="172">
        <f t="shared" si="54"/>
        <v>0</v>
      </c>
      <c r="DB29" s="173">
        <f t="shared" si="55"/>
        <v>0</v>
      </c>
      <c r="DC29" s="172">
        <f t="shared" si="56"/>
        <v>0</v>
      </c>
      <c r="DD29" s="172">
        <f t="shared" si="56"/>
        <v>0</v>
      </c>
      <c r="DE29" s="172">
        <f t="shared" si="56"/>
        <v>0</v>
      </c>
      <c r="DF29" s="172">
        <f t="shared" si="57"/>
        <v>0</v>
      </c>
      <c r="DG29" s="1"/>
      <c r="DH29" s="1"/>
      <c r="DI29" s="3"/>
      <c r="DJ29" s="8"/>
      <c r="DK29" s="8"/>
      <c r="DL29" s="8"/>
      <c r="DM29" s="7"/>
      <c r="DN29" s="8"/>
      <c r="DO29" s="8"/>
      <c r="DP29" s="8"/>
      <c r="DQ29" s="3"/>
      <c r="DR29" s="142" t="s">
        <v>152</v>
      </c>
      <c r="DS29" s="161">
        <v>1</v>
      </c>
      <c r="DT29" s="161">
        <v>0.05</v>
      </c>
      <c r="DU29" s="161">
        <v>1</v>
      </c>
      <c r="DV29" s="161">
        <v>1</v>
      </c>
      <c r="DW29" s="177">
        <v>0.5</v>
      </c>
      <c r="DX29" s="177">
        <v>0</v>
      </c>
      <c r="DY29" s="177">
        <v>0.5</v>
      </c>
      <c r="DZ29" s="177">
        <v>0.5</v>
      </c>
      <c r="EA29" s="177">
        <v>1</v>
      </c>
      <c r="EB29" s="161">
        <v>0.25</v>
      </c>
      <c r="EC29" s="177">
        <v>1</v>
      </c>
      <c r="ED29" s="177">
        <v>0</v>
      </c>
      <c r="EE29" s="177">
        <v>0.75</v>
      </c>
      <c r="EF29" s="130">
        <v>0</v>
      </c>
      <c r="EG29" s="177">
        <v>0.5</v>
      </c>
      <c r="EH29" s="161">
        <v>0</v>
      </c>
      <c r="EI29" s="177">
        <v>1</v>
      </c>
      <c r="EJ29" s="177">
        <v>0</v>
      </c>
      <c r="EK29" s="177">
        <v>0.75</v>
      </c>
      <c r="EL29" s="177">
        <v>0.75</v>
      </c>
      <c r="EM29" s="177">
        <v>1</v>
      </c>
      <c r="EN29" s="177">
        <v>0</v>
      </c>
      <c r="EO29" s="161">
        <v>1</v>
      </c>
      <c r="EP29" s="130">
        <v>0</v>
      </c>
      <c r="EQ29" s="177">
        <v>1</v>
      </c>
      <c r="ER29" s="177">
        <v>0</v>
      </c>
      <c r="ES29" s="161">
        <v>0</v>
      </c>
      <c r="ET29" s="161">
        <v>0</v>
      </c>
      <c r="EU29" s="161">
        <v>1</v>
      </c>
      <c r="EV29" s="130">
        <v>1</v>
      </c>
      <c r="EW29" s="162">
        <v>1</v>
      </c>
      <c r="EX29" s="132">
        <v>0.2</v>
      </c>
      <c r="EY29" s="7"/>
    </row>
    <row r="30" spans="1:155" s="565" customFormat="1" ht="21" customHeight="1">
      <c r="A30" s="181"/>
      <c r="B30" s="182" t="s">
        <v>153</v>
      </c>
      <c r="C30" s="3"/>
      <c r="D30" s="3"/>
      <c r="E30" s="180"/>
      <c r="F30" s="180"/>
      <c r="G30" s="180"/>
      <c r="H30" s="180"/>
      <c r="I30" s="70"/>
      <c r="J30" s="70"/>
      <c r="K30" s="70"/>
      <c r="L30" s="70"/>
      <c r="M30" s="70"/>
      <c r="N30" s="14"/>
      <c r="O30" s="14"/>
      <c r="P30" s="14"/>
      <c r="Q30" s="183"/>
      <c r="R30" s="183"/>
      <c r="S30" s="183"/>
      <c r="T30" s="183"/>
      <c r="U30" s="184" t="s">
        <v>23</v>
      </c>
      <c r="V30" s="185">
        <f t="array" ref="V30">SUM(IF(ISERROR(V15:V29),"",V15:V29))</f>
        <v>0</v>
      </c>
      <c r="W30" s="183"/>
      <c r="X30" s="183"/>
      <c r="Y30" s="183"/>
      <c r="Z30" s="185">
        <f t="array" ref="Z30">SUM(IF(ISERROR(Z15:Z29),"",Z15:Z29))</f>
        <v>0</v>
      </c>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45"/>
      <c r="BE30" s="165" t="s">
        <v>11</v>
      </c>
      <c r="BF30" s="23">
        <v>21</v>
      </c>
      <c r="BG30" s="23">
        <v>11</v>
      </c>
      <c r="BH30" s="23">
        <v>1</v>
      </c>
      <c r="BI30" s="90" t="b">
        <f t="shared" si="53"/>
        <v>1</v>
      </c>
      <c r="BJ30" s="46" t="b">
        <f t="shared" si="58"/>
        <v>0</v>
      </c>
      <c r="BK30" s="166">
        <f t="shared" si="13"/>
        <v>0</v>
      </c>
      <c r="BL30" s="175">
        <f>IF(SUM(BL$20:BL29,BK30)&gt;$BJ$4,0,BK30)</f>
        <v>0</v>
      </c>
      <c r="BM30" s="23">
        <f t="shared" si="14"/>
        <v>0</v>
      </c>
      <c r="BN30" s="90">
        <f t="shared" si="15"/>
        <v>0</v>
      </c>
      <c r="BO30" s="24">
        <f t="shared" si="59"/>
        <v>0</v>
      </c>
      <c r="BP30" s="168">
        <f t="shared" si="16"/>
        <v>0</v>
      </c>
      <c r="BQ30" s="171">
        <f t="shared" si="17"/>
        <v>0</v>
      </c>
      <c r="BR30" s="170">
        <f t="shared" si="18"/>
        <v>0</v>
      </c>
      <c r="BS30" s="168">
        <f t="shared" si="19"/>
        <v>0</v>
      </c>
      <c r="BT30" s="171">
        <f t="shared" si="20"/>
        <v>0</v>
      </c>
      <c r="BU30" s="170">
        <f t="shared" si="21"/>
        <v>0</v>
      </c>
      <c r="BV30" s="168">
        <f t="shared" si="22"/>
        <v>0</v>
      </c>
      <c r="BW30" s="171">
        <f t="shared" si="23"/>
        <v>0</v>
      </c>
      <c r="BX30" s="170">
        <f t="shared" si="24"/>
        <v>0</v>
      </c>
      <c r="BY30" s="168">
        <f t="shared" si="25"/>
        <v>0</v>
      </c>
      <c r="BZ30" s="171">
        <f t="shared" si="26"/>
        <v>0</v>
      </c>
      <c r="CA30" s="170">
        <f t="shared" si="27"/>
        <v>0</v>
      </c>
      <c r="CB30" s="90">
        <f t="shared" si="28"/>
        <v>0</v>
      </c>
      <c r="CC30" s="171">
        <f t="shared" si="29"/>
        <v>0</v>
      </c>
      <c r="CD30" s="170">
        <f t="shared" si="30"/>
        <v>0</v>
      </c>
      <c r="CE30" s="90">
        <f t="shared" si="31"/>
        <v>0</v>
      </c>
      <c r="CF30" s="171">
        <f t="shared" si="32"/>
        <v>0</v>
      </c>
      <c r="CG30" s="170">
        <f t="shared" si="33"/>
        <v>0</v>
      </c>
      <c r="CH30" s="90">
        <f t="shared" si="34"/>
        <v>0</v>
      </c>
      <c r="CI30" s="171">
        <f t="shared" si="35"/>
        <v>0</v>
      </c>
      <c r="CJ30" s="170">
        <f t="shared" si="36"/>
        <v>0</v>
      </c>
      <c r="CK30" s="90">
        <f t="shared" si="37"/>
        <v>0</v>
      </c>
      <c r="CL30" s="171">
        <f t="shared" si="38"/>
        <v>0</v>
      </c>
      <c r="CM30" s="170">
        <f t="shared" si="39"/>
        <v>0</v>
      </c>
      <c r="CN30" s="90">
        <f t="shared" si="40"/>
        <v>0</v>
      </c>
      <c r="CO30" s="171">
        <f t="shared" si="41"/>
        <v>0</v>
      </c>
      <c r="CP30" s="170">
        <f t="shared" si="42"/>
        <v>0</v>
      </c>
      <c r="CQ30" s="90">
        <f t="shared" si="43"/>
        <v>0</v>
      </c>
      <c r="CR30" s="171">
        <f t="shared" si="44"/>
        <v>0</v>
      </c>
      <c r="CS30" s="170">
        <f t="shared" si="45"/>
        <v>0</v>
      </c>
      <c r="CT30" s="90">
        <f t="shared" si="46"/>
        <v>0</v>
      </c>
      <c r="CU30" s="171">
        <f t="shared" si="47"/>
        <v>0</v>
      </c>
      <c r="CV30" s="170">
        <f t="shared" si="48"/>
        <v>0</v>
      </c>
      <c r="CW30" s="90">
        <f t="shared" si="49"/>
        <v>0</v>
      </c>
      <c r="CX30" s="171">
        <f t="shared" si="50"/>
        <v>0</v>
      </c>
      <c r="CY30" s="170">
        <f t="shared" si="51"/>
        <v>0</v>
      </c>
      <c r="CZ30" s="168">
        <f t="shared" si="52"/>
        <v>0</v>
      </c>
      <c r="DA30" s="172">
        <f t="shared" si="54"/>
        <v>0</v>
      </c>
      <c r="DB30" s="173">
        <f t="shared" si="55"/>
        <v>0</v>
      </c>
      <c r="DC30" s="172">
        <f t="shared" si="56"/>
        <v>0</v>
      </c>
      <c r="DD30" s="172">
        <f t="shared" si="56"/>
        <v>0</v>
      </c>
      <c r="DE30" s="172">
        <f t="shared" si="56"/>
        <v>0</v>
      </c>
      <c r="DF30" s="172">
        <f t="shared" si="57"/>
        <v>0</v>
      </c>
      <c r="DG30" s="1"/>
      <c r="DH30" s="1"/>
      <c r="DI30" s="3"/>
      <c r="DJ30" s="8"/>
      <c r="DK30" s="8"/>
      <c r="DL30" s="8"/>
      <c r="DM30" s="7"/>
      <c r="DN30" s="8"/>
      <c r="DO30" s="8"/>
      <c r="DP30" s="8"/>
      <c r="DQ30" s="3"/>
      <c r="DR30" s="142" t="s">
        <v>154</v>
      </c>
      <c r="DS30" s="161">
        <v>1</v>
      </c>
      <c r="DT30" s="161">
        <v>0.05</v>
      </c>
      <c r="DU30" s="161">
        <v>1</v>
      </c>
      <c r="DV30" s="161">
        <v>1</v>
      </c>
      <c r="DW30" s="177">
        <v>1</v>
      </c>
      <c r="DX30" s="177">
        <v>0</v>
      </c>
      <c r="DY30" s="177">
        <v>0.25</v>
      </c>
      <c r="DZ30" s="177">
        <v>0.25</v>
      </c>
      <c r="EA30" s="177">
        <v>0.75</v>
      </c>
      <c r="EB30" s="161">
        <v>0.25</v>
      </c>
      <c r="EC30" s="177">
        <v>1</v>
      </c>
      <c r="ED30" s="177">
        <v>0</v>
      </c>
      <c r="EE30" s="177">
        <v>1</v>
      </c>
      <c r="EF30" s="130">
        <v>0</v>
      </c>
      <c r="EG30" s="177">
        <v>1</v>
      </c>
      <c r="EH30" s="161">
        <v>0</v>
      </c>
      <c r="EI30" s="177">
        <v>1</v>
      </c>
      <c r="EJ30" s="177">
        <v>0</v>
      </c>
      <c r="EK30" s="177">
        <v>1</v>
      </c>
      <c r="EL30" s="177">
        <v>1</v>
      </c>
      <c r="EM30" s="177">
        <v>1</v>
      </c>
      <c r="EN30" s="177">
        <v>0</v>
      </c>
      <c r="EO30" s="161">
        <v>1</v>
      </c>
      <c r="EP30" s="130">
        <v>0</v>
      </c>
      <c r="EQ30" s="177">
        <v>1</v>
      </c>
      <c r="ER30" s="177">
        <v>0</v>
      </c>
      <c r="ES30" s="161">
        <v>0</v>
      </c>
      <c r="ET30" s="161">
        <v>0</v>
      </c>
      <c r="EU30" s="161">
        <v>0.5</v>
      </c>
      <c r="EV30" s="130">
        <v>1</v>
      </c>
      <c r="EW30" s="162">
        <v>1</v>
      </c>
      <c r="EX30" s="132">
        <v>0.2</v>
      </c>
      <c r="EY30" s="7"/>
    </row>
    <row r="31" spans="1:155" s="565" customFormat="1" ht="21" customHeight="1">
      <c r="A31" s="186"/>
      <c r="B31" s="708" t="s">
        <v>155</v>
      </c>
      <c r="C31" s="739"/>
      <c r="D31" s="712" t="s">
        <v>606</v>
      </c>
      <c r="E31" s="713"/>
      <c r="F31" s="180"/>
      <c r="G31" s="180"/>
      <c r="H31" s="180"/>
      <c r="I31" s="70"/>
      <c r="J31" s="70"/>
      <c r="K31" s="70"/>
      <c r="L31" s="70"/>
      <c r="M31" s="70"/>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45"/>
      <c r="BE31" s="165" t="s">
        <v>11</v>
      </c>
      <c r="BF31" s="23">
        <v>21</v>
      </c>
      <c r="BG31" s="23">
        <v>12</v>
      </c>
      <c r="BH31" s="23">
        <v>2</v>
      </c>
      <c r="BI31" s="90" t="b">
        <f t="shared" si="53"/>
        <v>1</v>
      </c>
      <c r="BJ31" s="46" t="b">
        <f t="shared" si="58"/>
        <v>1</v>
      </c>
      <c r="BK31" s="166">
        <f t="shared" si="13"/>
        <v>7.3529411764705879</v>
      </c>
      <c r="BL31" s="175">
        <f>IF(SUM(BL$20:BL30,BK31)&gt;$BJ$4,0,BK31)</f>
        <v>7.3529411764705879</v>
      </c>
      <c r="BM31" s="23">
        <f t="shared" si="14"/>
        <v>0</v>
      </c>
      <c r="BN31" s="90">
        <f t="shared" si="15"/>
        <v>0</v>
      </c>
      <c r="BO31" s="24">
        <f t="shared" si="59"/>
        <v>0</v>
      </c>
      <c r="BP31" s="168">
        <f t="shared" si="16"/>
        <v>0</v>
      </c>
      <c r="BQ31" s="171">
        <f t="shared" si="17"/>
        <v>0</v>
      </c>
      <c r="BR31" s="170">
        <f t="shared" si="18"/>
        <v>0</v>
      </c>
      <c r="BS31" s="168">
        <f t="shared" si="19"/>
        <v>0</v>
      </c>
      <c r="BT31" s="171">
        <f t="shared" si="20"/>
        <v>0</v>
      </c>
      <c r="BU31" s="170">
        <f t="shared" si="21"/>
        <v>0</v>
      </c>
      <c r="BV31" s="168">
        <f t="shared" si="22"/>
        <v>0</v>
      </c>
      <c r="BW31" s="171">
        <f t="shared" si="23"/>
        <v>0</v>
      </c>
      <c r="BX31" s="170">
        <f t="shared" si="24"/>
        <v>0</v>
      </c>
      <c r="BY31" s="168">
        <f t="shared" si="25"/>
        <v>0</v>
      </c>
      <c r="BZ31" s="171">
        <f t="shared" si="26"/>
        <v>0</v>
      </c>
      <c r="CA31" s="170">
        <f t="shared" si="27"/>
        <v>0</v>
      </c>
      <c r="CB31" s="90">
        <f t="shared" si="28"/>
        <v>0</v>
      </c>
      <c r="CC31" s="171">
        <f t="shared" si="29"/>
        <v>0</v>
      </c>
      <c r="CD31" s="170">
        <f t="shared" si="30"/>
        <v>0</v>
      </c>
      <c r="CE31" s="90">
        <f t="shared" si="31"/>
        <v>0</v>
      </c>
      <c r="CF31" s="171">
        <f t="shared" si="32"/>
        <v>0</v>
      </c>
      <c r="CG31" s="170">
        <f t="shared" si="33"/>
        <v>0</v>
      </c>
      <c r="CH31" s="90">
        <f t="shared" si="34"/>
        <v>0</v>
      </c>
      <c r="CI31" s="171">
        <f t="shared" si="35"/>
        <v>0</v>
      </c>
      <c r="CJ31" s="170">
        <f t="shared" si="36"/>
        <v>0</v>
      </c>
      <c r="CK31" s="90">
        <f t="shared" si="37"/>
        <v>0</v>
      </c>
      <c r="CL31" s="171">
        <f t="shared" si="38"/>
        <v>0</v>
      </c>
      <c r="CM31" s="170">
        <f t="shared" si="39"/>
        <v>0</v>
      </c>
      <c r="CN31" s="90">
        <f t="shared" si="40"/>
        <v>0</v>
      </c>
      <c r="CO31" s="171">
        <f t="shared" si="41"/>
        <v>0</v>
      </c>
      <c r="CP31" s="170">
        <f t="shared" si="42"/>
        <v>0</v>
      </c>
      <c r="CQ31" s="90">
        <f t="shared" si="43"/>
        <v>0</v>
      </c>
      <c r="CR31" s="171">
        <f t="shared" si="44"/>
        <v>0</v>
      </c>
      <c r="CS31" s="170">
        <f t="shared" si="45"/>
        <v>0</v>
      </c>
      <c r="CT31" s="90">
        <f t="shared" si="46"/>
        <v>0</v>
      </c>
      <c r="CU31" s="171">
        <f t="shared" si="47"/>
        <v>0</v>
      </c>
      <c r="CV31" s="170">
        <f t="shared" si="48"/>
        <v>0</v>
      </c>
      <c r="CW31" s="90">
        <f t="shared" si="49"/>
        <v>0</v>
      </c>
      <c r="CX31" s="171">
        <f t="shared" si="50"/>
        <v>0</v>
      </c>
      <c r="CY31" s="170">
        <f t="shared" si="51"/>
        <v>0</v>
      </c>
      <c r="CZ31" s="168">
        <f t="shared" si="52"/>
        <v>0</v>
      </c>
      <c r="DA31" s="172">
        <f t="shared" si="54"/>
        <v>0</v>
      </c>
      <c r="DB31" s="173">
        <f t="shared" si="55"/>
        <v>0</v>
      </c>
      <c r="DC31" s="172">
        <f t="shared" si="56"/>
        <v>0</v>
      </c>
      <c r="DD31" s="172">
        <f t="shared" si="56"/>
        <v>0</v>
      </c>
      <c r="DE31" s="172">
        <f t="shared" si="56"/>
        <v>0</v>
      </c>
      <c r="DF31" s="172">
        <f t="shared" si="57"/>
        <v>0</v>
      </c>
      <c r="DG31" s="1"/>
      <c r="DH31" s="1"/>
      <c r="DI31" s="3"/>
      <c r="DJ31" s="8"/>
      <c r="DK31" s="8"/>
      <c r="DL31" s="8"/>
      <c r="DM31" s="7"/>
      <c r="DN31" s="8"/>
      <c r="DO31" s="8"/>
      <c r="DP31" s="8"/>
      <c r="DQ31" s="3"/>
      <c r="DR31" s="142" t="s">
        <v>156</v>
      </c>
      <c r="DS31" s="161">
        <v>1</v>
      </c>
      <c r="DT31" s="161">
        <v>0.05</v>
      </c>
      <c r="DU31" s="161">
        <v>0.5</v>
      </c>
      <c r="DV31" s="161">
        <v>0.5</v>
      </c>
      <c r="DW31" s="177">
        <v>1</v>
      </c>
      <c r="DX31" s="177">
        <v>0</v>
      </c>
      <c r="DY31" s="177">
        <v>0.25</v>
      </c>
      <c r="DZ31" s="177">
        <v>0.25</v>
      </c>
      <c r="EA31" s="177">
        <v>0</v>
      </c>
      <c r="EB31" s="161">
        <v>0.25</v>
      </c>
      <c r="EC31" s="177">
        <v>1</v>
      </c>
      <c r="ED31" s="177">
        <v>0</v>
      </c>
      <c r="EE31" s="177">
        <v>1</v>
      </c>
      <c r="EF31" s="130">
        <v>0</v>
      </c>
      <c r="EG31" s="177">
        <v>1</v>
      </c>
      <c r="EH31" s="161">
        <v>0</v>
      </c>
      <c r="EI31" s="177">
        <v>0.5</v>
      </c>
      <c r="EJ31" s="177">
        <v>0</v>
      </c>
      <c r="EK31" s="177">
        <v>1</v>
      </c>
      <c r="EL31" s="177">
        <v>1</v>
      </c>
      <c r="EM31" s="177">
        <v>1</v>
      </c>
      <c r="EN31" s="177">
        <v>0</v>
      </c>
      <c r="EO31" s="161">
        <v>1</v>
      </c>
      <c r="EP31" s="130">
        <v>0</v>
      </c>
      <c r="EQ31" s="177">
        <v>1</v>
      </c>
      <c r="ER31" s="177">
        <v>0</v>
      </c>
      <c r="ES31" s="161">
        <v>0</v>
      </c>
      <c r="ET31" s="161">
        <v>0</v>
      </c>
      <c r="EU31" s="161">
        <v>0</v>
      </c>
      <c r="EV31" s="130">
        <v>1</v>
      </c>
      <c r="EW31" s="162">
        <v>1</v>
      </c>
      <c r="EX31" s="132">
        <v>0.2</v>
      </c>
      <c r="EY31" s="7"/>
    </row>
    <row r="32" spans="1:155" s="565" customFormat="1" ht="21" customHeight="1">
      <c r="A32" s="186"/>
      <c r="B32" s="708" t="s">
        <v>157</v>
      </c>
      <c r="C32" s="739"/>
      <c r="D32" s="740" t="str">
        <f>IFERROR(VLOOKUP($D$31,'Rainfall data'!$B$4:$Q$34,16,FALSE),"")</f>
        <v>Zone 1 - Cold Interior</v>
      </c>
      <c r="E32" s="741"/>
      <c r="F32" s="3"/>
      <c r="G32" s="3"/>
      <c r="H32" s="3"/>
      <c r="I32" s="27"/>
      <c r="J32" s="27"/>
      <c r="K32" s="27"/>
      <c r="L32" s="3"/>
      <c r="M32" s="3"/>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45"/>
      <c r="BE32" s="165" t="s">
        <v>11</v>
      </c>
      <c r="BF32" s="23">
        <v>21</v>
      </c>
      <c r="BG32" s="23">
        <v>13</v>
      </c>
      <c r="BH32" s="23">
        <v>3</v>
      </c>
      <c r="BI32" s="90" t="b">
        <f t="shared" si="53"/>
        <v>1</v>
      </c>
      <c r="BJ32" s="46" t="b">
        <f t="shared" si="58"/>
        <v>0</v>
      </c>
      <c r="BK32" s="166">
        <f t="shared" si="13"/>
        <v>0</v>
      </c>
      <c r="BL32" s="175">
        <f>IF(SUM(BL$20:BL31,BK32)&gt;$BJ$4,0,BK32)</f>
        <v>0</v>
      </c>
      <c r="BM32" s="23">
        <f t="shared" si="14"/>
        <v>0</v>
      </c>
      <c r="BN32" s="90">
        <f t="shared" si="15"/>
        <v>0</v>
      </c>
      <c r="BO32" s="24">
        <f t="shared" si="59"/>
        <v>0</v>
      </c>
      <c r="BP32" s="168">
        <f t="shared" si="16"/>
        <v>0</v>
      </c>
      <c r="BQ32" s="171">
        <f t="shared" si="17"/>
        <v>0</v>
      </c>
      <c r="BR32" s="170">
        <f t="shared" si="18"/>
        <v>0</v>
      </c>
      <c r="BS32" s="168">
        <f t="shared" si="19"/>
        <v>0</v>
      </c>
      <c r="BT32" s="171">
        <f t="shared" si="20"/>
        <v>0</v>
      </c>
      <c r="BU32" s="170">
        <f t="shared" si="21"/>
        <v>0</v>
      </c>
      <c r="BV32" s="168">
        <f t="shared" si="22"/>
        <v>0</v>
      </c>
      <c r="BW32" s="171">
        <f t="shared" si="23"/>
        <v>0</v>
      </c>
      <c r="BX32" s="170">
        <f t="shared" si="24"/>
        <v>0</v>
      </c>
      <c r="BY32" s="168">
        <f t="shared" si="25"/>
        <v>0</v>
      </c>
      <c r="BZ32" s="171">
        <f t="shared" si="26"/>
        <v>0</v>
      </c>
      <c r="CA32" s="170">
        <f t="shared" si="27"/>
        <v>0</v>
      </c>
      <c r="CB32" s="90">
        <f t="shared" si="28"/>
        <v>0</v>
      </c>
      <c r="CC32" s="171">
        <f t="shared" si="29"/>
        <v>0</v>
      </c>
      <c r="CD32" s="170">
        <f t="shared" si="30"/>
        <v>0</v>
      </c>
      <c r="CE32" s="90">
        <f t="shared" si="31"/>
        <v>0</v>
      </c>
      <c r="CF32" s="171">
        <f t="shared" si="32"/>
        <v>0</v>
      </c>
      <c r="CG32" s="170">
        <f t="shared" si="33"/>
        <v>0</v>
      </c>
      <c r="CH32" s="90">
        <f t="shared" si="34"/>
        <v>0</v>
      </c>
      <c r="CI32" s="171">
        <f t="shared" si="35"/>
        <v>0</v>
      </c>
      <c r="CJ32" s="170">
        <f t="shared" si="36"/>
        <v>0</v>
      </c>
      <c r="CK32" s="90">
        <f t="shared" si="37"/>
        <v>0</v>
      </c>
      <c r="CL32" s="171">
        <f t="shared" si="38"/>
        <v>0</v>
      </c>
      <c r="CM32" s="170">
        <f t="shared" si="39"/>
        <v>0</v>
      </c>
      <c r="CN32" s="90">
        <f t="shared" si="40"/>
        <v>0</v>
      </c>
      <c r="CO32" s="171">
        <f t="shared" si="41"/>
        <v>0</v>
      </c>
      <c r="CP32" s="170">
        <f t="shared" si="42"/>
        <v>0</v>
      </c>
      <c r="CQ32" s="90">
        <f t="shared" si="43"/>
        <v>0</v>
      </c>
      <c r="CR32" s="171">
        <f t="shared" si="44"/>
        <v>0</v>
      </c>
      <c r="CS32" s="170">
        <f t="shared" si="45"/>
        <v>0</v>
      </c>
      <c r="CT32" s="90">
        <f t="shared" si="46"/>
        <v>0</v>
      </c>
      <c r="CU32" s="171">
        <f t="shared" si="47"/>
        <v>0</v>
      </c>
      <c r="CV32" s="170">
        <f t="shared" si="48"/>
        <v>0</v>
      </c>
      <c r="CW32" s="90">
        <f t="shared" si="49"/>
        <v>0</v>
      </c>
      <c r="CX32" s="171">
        <f t="shared" si="50"/>
        <v>0</v>
      </c>
      <c r="CY32" s="170">
        <f t="shared" si="51"/>
        <v>0</v>
      </c>
      <c r="CZ32" s="168">
        <f t="shared" si="52"/>
        <v>0</v>
      </c>
      <c r="DA32" s="172">
        <f t="shared" si="54"/>
        <v>0</v>
      </c>
      <c r="DB32" s="173">
        <f t="shared" si="55"/>
        <v>0</v>
      </c>
      <c r="DC32" s="172">
        <f t="shared" si="56"/>
        <v>0</v>
      </c>
      <c r="DD32" s="172">
        <f t="shared" si="56"/>
        <v>0</v>
      </c>
      <c r="DE32" s="172">
        <f t="shared" si="56"/>
        <v>0</v>
      </c>
      <c r="DF32" s="172">
        <f t="shared" si="57"/>
        <v>0</v>
      </c>
      <c r="DG32" s="1"/>
      <c r="DH32" s="1"/>
      <c r="DI32" s="3"/>
      <c r="DJ32" s="7"/>
      <c r="DK32" s="7"/>
      <c r="DL32" s="7"/>
      <c r="DM32" s="7"/>
      <c r="DN32" s="8"/>
      <c r="DO32" s="8"/>
      <c r="DP32" s="8"/>
      <c r="DQ32" s="3"/>
      <c r="DR32" s="142" t="s">
        <v>158</v>
      </c>
      <c r="DS32" s="177">
        <v>0.5</v>
      </c>
      <c r="DT32" s="177">
        <v>0</v>
      </c>
      <c r="DU32" s="177">
        <v>0.5</v>
      </c>
      <c r="DV32" s="177">
        <v>0.5</v>
      </c>
      <c r="DW32" s="177">
        <v>0.5</v>
      </c>
      <c r="DX32" s="177">
        <v>0</v>
      </c>
      <c r="DY32" s="177">
        <v>0.25</v>
      </c>
      <c r="DZ32" s="177">
        <v>0.25</v>
      </c>
      <c r="EA32" s="177">
        <v>0</v>
      </c>
      <c r="EB32" s="161">
        <v>0.25</v>
      </c>
      <c r="EC32" s="177">
        <v>0.75</v>
      </c>
      <c r="ED32" s="177">
        <v>0</v>
      </c>
      <c r="EE32" s="177">
        <v>1</v>
      </c>
      <c r="EF32" s="130">
        <v>0</v>
      </c>
      <c r="EG32" s="177">
        <v>0.5</v>
      </c>
      <c r="EH32" s="161">
        <v>0</v>
      </c>
      <c r="EI32" s="177">
        <v>0.5</v>
      </c>
      <c r="EJ32" s="177">
        <v>0</v>
      </c>
      <c r="EK32" s="177">
        <v>1</v>
      </c>
      <c r="EL32" s="177">
        <v>1</v>
      </c>
      <c r="EM32" s="177">
        <v>0.75</v>
      </c>
      <c r="EN32" s="177">
        <v>0</v>
      </c>
      <c r="EO32" s="161">
        <v>1</v>
      </c>
      <c r="EP32" s="130">
        <v>0</v>
      </c>
      <c r="EQ32" s="177">
        <v>0.75</v>
      </c>
      <c r="ER32" s="177">
        <v>0</v>
      </c>
      <c r="ES32" s="161">
        <v>0</v>
      </c>
      <c r="ET32" s="161">
        <v>0</v>
      </c>
      <c r="EU32" s="161">
        <v>0</v>
      </c>
      <c r="EV32" s="130">
        <v>1</v>
      </c>
      <c r="EW32" s="187">
        <v>0.5</v>
      </c>
      <c r="EX32" s="132">
        <v>0.2</v>
      </c>
      <c r="EY32" s="7"/>
    </row>
    <row r="33" spans="1:157" s="566" customFormat="1" ht="21" customHeight="1">
      <c r="A33" s="188"/>
      <c r="B33" s="22"/>
      <c r="C33" s="22"/>
      <c r="D33" s="22"/>
      <c r="E33" s="70"/>
      <c r="F33" s="3"/>
      <c r="G33" s="3"/>
      <c r="H33" s="3"/>
      <c r="I33" s="27"/>
      <c r="J33" s="27"/>
      <c r="K33" s="27"/>
      <c r="L33" s="189"/>
      <c r="M33" s="189"/>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45"/>
      <c r="BE33" s="165" t="s">
        <v>11</v>
      </c>
      <c r="BF33" s="23">
        <v>21</v>
      </c>
      <c r="BG33" s="23">
        <v>14</v>
      </c>
      <c r="BH33" s="23">
        <v>4</v>
      </c>
      <c r="BI33" s="90" t="b">
        <f t="shared" si="53"/>
        <v>1</v>
      </c>
      <c r="BJ33" s="46" t="b">
        <f t="shared" si="58"/>
        <v>1</v>
      </c>
      <c r="BK33" s="166">
        <f t="shared" si="13"/>
        <v>7.3529411764705879</v>
      </c>
      <c r="BL33" s="175">
        <f>IF(SUM(BL$20:BL32,BK33)&gt;$BJ$4,0,BK33)</f>
        <v>7.3529411764705879</v>
      </c>
      <c r="BM33" s="23">
        <f t="shared" si="14"/>
        <v>0</v>
      </c>
      <c r="BN33" s="90">
        <f t="shared" si="15"/>
        <v>0</v>
      </c>
      <c r="BO33" s="24">
        <f t="shared" si="59"/>
        <v>0</v>
      </c>
      <c r="BP33" s="168">
        <f t="shared" si="16"/>
        <v>0</v>
      </c>
      <c r="BQ33" s="171">
        <f t="shared" si="17"/>
        <v>0</v>
      </c>
      <c r="BR33" s="170">
        <f t="shared" si="18"/>
        <v>0</v>
      </c>
      <c r="BS33" s="168">
        <f t="shared" si="19"/>
        <v>0</v>
      </c>
      <c r="BT33" s="171">
        <f t="shared" si="20"/>
        <v>0</v>
      </c>
      <c r="BU33" s="170">
        <f t="shared" si="21"/>
        <v>0</v>
      </c>
      <c r="BV33" s="168">
        <f t="shared" si="22"/>
        <v>0</v>
      </c>
      <c r="BW33" s="171">
        <f t="shared" si="23"/>
        <v>0</v>
      </c>
      <c r="BX33" s="170">
        <f t="shared" si="24"/>
        <v>0</v>
      </c>
      <c r="BY33" s="168">
        <f t="shared" si="25"/>
        <v>0</v>
      </c>
      <c r="BZ33" s="171">
        <f t="shared" si="26"/>
        <v>0</v>
      </c>
      <c r="CA33" s="170">
        <f t="shared" si="27"/>
        <v>0</v>
      </c>
      <c r="CB33" s="90">
        <f t="shared" si="28"/>
        <v>0</v>
      </c>
      <c r="CC33" s="171">
        <f t="shared" si="29"/>
        <v>0</v>
      </c>
      <c r="CD33" s="170">
        <f t="shared" si="30"/>
        <v>0</v>
      </c>
      <c r="CE33" s="90">
        <f t="shared" si="31"/>
        <v>0</v>
      </c>
      <c r="CF33" s="171">
        <f t="shared" si="32"/>
        <v>0</v>
      </c>
      <c r="CG33" s="170">
        <f t="shared" si="33"/>
        <v>0</v>
      </c>
      <c r="CH33" s="90">
        <f t="shared" si="34"/>
        <v>0</v>
      </c>
      <c r="CI33" s="171">
        <f t="shared" si="35"/>
        <v>0</v>
      </c>
      <c r="CJ33" s="170">
        <f t="shared" si="36"/>
        <v>0</v>
      </c>
      <c r="CK33" s="90">
        <f t="shared" si="37"/>
        <v>0</v>
      </c>
      <c r="CL33" s="171">
        <f t="shared" si="38"/>
        <v>0</v>
      </c>
      <c r="CM33" s="170">
        <f t="shared" si="39"/>
        <v>0</v>
      </c>
      <c r="CN33" s="90">
        <f t="shared" si="40"/>
        <v>0</v>
      </c>
      <c r="CO33" s="171">
        <f t="shared" si="41"/>
        <v>0</v>
      </c>
      <c r="CP33" s="170">
        <f t="shared" si="42"/>
        <v>0</v>
      </c>
      <c r="CQ33" s="90">
        <f t="shared" si="43"/>
        <v>0</v>
      </c>
      <c r="CR33" s="171">
        <f t="shared" si="44"/>
        <v>0</v>
      </c>
      <c r="CS33" s="170">
        <f t="shared" si="45"/>
        <v>0</v>
      </c>
      <c r="CT33" s="90">
        <f t="shared" si="46"/>
        <v>0</v>
      </c>
      <c r="CU33" s="171">
        <f t="shared" si="47"/>
        <v>0</v>
      </c>
      <c r="CV33" s="170">
        <f t="shared" si="48"/>
        <v>0</v>
      </c>
      <c r="CW33" s="90">
        <f t="shared" si="49"/>
        <v>0</v>
      </c>
      <c r="CX33" s="171">
        <f t="shared" si="50"/>
        <v>0</v>
      </c>
      <c r="CY33" s="170">
        <f t="shared" si="51"/>
        <v>0</v>
      </c>
      <c r="CZ33" s="168">
        <f t="shared" si="52"/>
        <v>0</v>
      </c>
      <c r="DA33" s="172">
        <f t="shared" si="54"/>
        <v>0</v>
      </c>
      <c r="DB33" s="173">
        <f t="shared" si="55"/>
        <v>0</v>
      </c>
      <c r="DC33" s="172">
        <f t="shared" si="56"/>
        <v>0</v>
      </c>
      <c r="DD33" s="172">
        <f t="shared" si="56"/>
        <v>0</v>
      </c>
      <c r="DE33" s="172">
        <f t="shared" si="56"/>
        <v>0</v>
      </c>
      <c r="DF33" s="172">
        <f t="shared" si="57"/>
        <v>0</v>
      </c>
      <c r="DG33" s="1"/>
      <c r="DH33" s="1"/>
      <c r="DI33" s="3"/>
      <c r="DJ33" s="8"/>
      <c r="DK33" s="8"/>
      <c r="DL33" s="7"/>
      <c r="DM33" s="7"/>
      <c r="DN33" s="8"/>
      <c r="DO33" s="8"/>
      <c r="DP33" s="8"/>
      <c r="DQ33" s="3"/>
      <c r="DR33" s="142" t="s">
        <v>159</v>
      </c>
      <c r="DS33" s="177">
        <v>0.15</v>
      </c>
      <c r="DT33" s="177">
        <v>0</v>
      </c>
      <c r="DU33" s="177">
        <v>0</v>
      </c>
      <c r="DV33" s="177">
        <v>0</v>
      </c>
      <c r="DW33" s="177">
        <v>0.5</v>
      </c>
      <c r="DX33" s="177">
        <v>0</v>
      </c>
      <c r="DY33" s="177">
        <v>0.5</v>
      </c>
      <c r="DZ33" s="177">
        <v>0.5</v>
      </c>
      <c r="EA33" s="177">
        <v>0</v>
      </c>
      <c r="EB33" s="177">
        <v>0</v>
      </c>
      <c r="EC33" s="177">
        <v>0</v>
      </c>
      <c r="ED33" s="177">
        <v>0</v>
      </c>
      <c r="EE33" s="177">
        <v>0.5</v>
      </c>
      <c r="EF33" s="130">
        <v>0</v>
      </c>
      <c r="EG33" s="177">
        <v>0.5</v>
      </c>
      <c r="EH33" s="161">
        <v>0</v>
      </c>
      <c r="EI33" s="177">
        <v>0</v>
      </c>
      <c r="EJ33" s="177">
        <v>0</v>
      </c>
      <c r="EK33" s="177">
        <v>0.5</v>
      </c>
      <c r="EL33" s="177">
        <v>0.5</v>
      </c>
      <c r="EM33" s="177">
        <v>0</v>
      </c>
      <c r="EN33" s="177">
        <v>0</v>
      </c>
      <c r="EO33" s="177">
        <v>0</v>
      </c>
      <c r="EP33" s="130">
        <v>0</v>
      </c>
      <c r="EQ33" s="177">
        <v>0</v>
      </c>
      <c r="ER33" s="177">
        <v>0</v>
      </c>
      <c r="ES33" s="161">
        <v>0</v>
      </c>
      <c r="ET33" s="161">
        <v>0</v>
      </c>
      <c r="EU33" s="161">
        <v>0.5</v>
      </c>
      <c r="EV33" s="130">
        <v>1</v>
      </c>
      <c r="EW33" s="187">
        <v>0.2</v>
      </c>
      <c r="EX33" s="132">
        <v>0.2</v>
      </c>
      <c r="EY33" s="7"/>
      <c r="EZ33" s="27"/>
      <c r="FA33" s="27"/>
    </row>
    <row r="34" spans="1:157" s="566" customFormat="1" ht="21" customHeight="1">
      <c r="A34" s="188"/>
      <c r="B34" s="22"/>
      <c r="C34" s="70"/>
      <c r="D34" s="190" t="s">
        <v>160</v>
      </c>
      <c r="E34" s="191" t="s">
        <v>161</v>
      </c>
      <c r="F34" s="3"/>
      <c r="G34" s="3"/>
      <c r="H34" s="3"/>
      <c r="I34" s="27"/>
      <c r="J34" s="27"/>
      <c r="K34" s="27"/>
      <c r="L34" s="3"/>
      <c r="M34" s="3"/>
      <c r="N34" s="71"/>
      <c r="O34" s="14"/>
      <c r="P34" s="14"/>
      <c r="Q34" s="14"/>
      <c r="R34" s="61" t="s">
        <v>162</v>
      </c>
      <c r="S34" s="61" t="s">
        <v>163</v>
      </c>
      <c r="T34" s="61"/>
      <c r="U34" s="61"/>
      <c r="V34" s="61"/>
      <c r="W34" s="61"/>
      <c r="X34" s="61"/>
      <c r="Y34" s="61"/>
      <c r="Z34" s="61"/>
      <c r="AA34" s="61"/>
      <c r="AB34" s="61"/>
      <c r="AC34" s="61"/>
      <c r="AD34" s="61"/>
      <c r="AE34" s="61"/>
      <c r="AF34" s="61"/>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45"/>
      <c r="BE34" s="165" t="s">
        <v>11</v>
      </c>
      <c r="BF34" s="23">
        <v>21</v>
      </c>
      <c r="BG34" s="23">
        <v>15</v>
      </c>
      <c r="BH34" s="23">
        <v>5</v>
      </c>
      <c r="BI34" s="90" t="b">
        <f t="shared" si="53"/>
        <v>1</v>
      </c>
      <c r="BJ34" s="46" t="b">
        <f t="shared" si="58"/>
        <v>0</v>
      </c>
      <c r="BK34" s="166">
        <f t="shared" si="13"/>
        <v>0</v>
      </c>
      <c r="BL34" s="175">
        <f>IF(SUM(BL$20:BL33,BK34)&gt;$BJ$4,0,BK34)</f>
        <v>0</v>
      </c>
      <c r="BM34" s="23">
        <f t="shared" si="14"/>
        <v>0</v>
      </c>
      <c r="BN34" s="90">
        <f t="shared" si="15"/>
        <v>0</v>
      </c>
      <c r="BO34" s="24">
        <f t="shared" si="59"/>
        <v>0</v>
      </c>
      <c r="BP34" s="168">
        <f t="shared" si="16"/>
        <v>0</v>
      </c>
      <c r="BQ34" s="171">
        <f t="shared" si="17"/>
        <v>0</v>
      </c>
      <c r="BR34" s="170">
        <f t="shared" si="18"/>
        <v>0</v>
      </c>
      <c r="BS34" s="168">
        <f t="shared" si="19"/>
        <v>0</v>
      </c>
      <c r="BT34" s="171">
        <f t="shared" si="20"/>
        <v>0</v>
      </c>
      <c r="BU34" s="170">
        <f t="shared" si="21"/>
        <v>0</v>
      </c>
      <c r="BV34" s="168">
        <f t="shared" si="22"/>
        <v>0</v>
      </c>
      <c r="BW34" s="171">
        <f t="shared" si="23"/>
        <v>0</v>
      </c>
      <c r="BX34" s="170">
        <f t="shared" si="24"/>
        <v>0</v>
      </c>
      <c r="BY34" s="168">
        <f t="shared" si="25"/>
        <v>0</v>
      </c>
      <c r="BZ34" s="171">
        <f t="shared" si="26"/>
        <v>0</v>
      </c>
      <c r="CA34" s="170">
        <f t="shared" si="27"/>
        <v>0</v>
      </c>
      <c r="CB34" s="90">
        <f t="shared" si="28"/>
        <v>0</v>
      </c>
      <c r="CC34" s="171">
        <f t="shared" si="29"/>
        <v>0</v>
      </c>
      <c r="CD34" s="170">
        <f t="shared" si="30"/>
        <v>0</v>
      </c>
      <c r="CE34" s="90">
        <f t="shared" si="31"/>
        <v>0</v>
      </c>
      <c r="CF34" s="171">
        <f t="shared" si="32"/>
        <v>0</v>
      </c>
      <c r="CG34" s="170">
        <f t="shared" si="33"/>
        <v>0</v>
      </c>
      <c r="CH34" s="90">
        <f t="shared" si="34"/>
        <v>0</v>
      </c>
      <c r="CI34" s="171">
        <f t="shared" si="35"/>
        <v>0</v>
      </c>
      <c r="CJ34" s="170">
        <f t="shared" si="36"/>
        <v>0</v>
      </c>
      <c r="CK34" s="90">
        <f t="shared" si="37"/>
        <v>0</v>
      </c>
      <c r="CL34" s="171">
        <f t="shared" si="38"/>
        <v>0</v>
      </c>
      <c r="CM34" s="170">
        <f t="shared" si="39"/>
        <v>0</v>
      </c>
      <c r="CN34" s="90">
        <f t="shared" si="40"/>
        <v>0</v>
      </c>
      <c r="CO34" s="171">
        <f t="shared" si="41"/>
        <v>0</v>
      </c>
      <c r="CP34" s="170">
        <f t="shared" si="42"/>
        <v>0</v>
      </c>
      <c r="CQ34" s="90">
        <f t="shared" si="43"/>
        <v>0</v>
      </c>
      <c r="CR34" s="171">
        <f t="shared" si="44"/>
        <v>0</v>
      </c>
      <c r="CS34" s="170">
        <f t="shared" si="45"/>
        <v>0</v>
      </c>
      <c r="CT34" s="90">
        <f t="shared" si="46"/>
        <v>0</v>
      </c>
      <c r="CU34" s="171">
        <f t="shared" si="47"/>
        <v>0</v>
      </c>
      <c r="CV34" s="170">
        <f t="shared" si="48"/>
        <v>0</v>
      </c>
      <c r="CW34" s="90">
        <f t="shared" si="49"/>
        <v>0</v>
      </c>
      <c r="CX34" s="171">
        <f t="shared" si="50"/>
        <v>0</v>
      </c>
      <c r="CY34" s="170">
        <f t="shared" si="51"/>
        <v>0</v>
      </c>
      <c r="CZ34" s="168">
        <f t="shared" si="52"/>
        <v>0</v>
      </c>
      <c r="DA34" s="172">
        <f t="shared" si="54"/>
        <v>0</v>
      </c>
      <c r="DB34" s="173">
        <f t="shared" si="55"/>
        <v>0</v>
      </c>
      <c r="DC34" s="172">
        <f t="shared" si="56"/>
        <v>0</v>
      </c>
      <c r="DD34" s="172">
        <f t="shared" si="56"/>
        <v>0</v>
      </c>
      <c r="DE34" s="172">
        <f t="shared" si="56"/>
        <v>0</v>
      </c>
      <c r="DF34" s="172">
        <f t="shared" si="57"/>
        <v>0</v>
      </c>
      <c r="DG34" s="136"/>
      <c r="DH34" s="1"/>
      <c r="DI34" s="3"/>
      <c r="DJ34" s="8"/>
      <c r="DK34" s="8"/>
      <c r="DL34" s="7"/>
      <c r="DM34" s="7"/>
      <c r="DN34" s="8"/>
      <c r="DO34" s="8"/>
      <c r="DP34" s="8"/>
      <c r="DQ34" s="3"/>
      <c r="DR34" s="142" t="s">
        <v>164</v>
      </c>
      <c r="DS34" s="177">
        <v>0.05</v>
      </c>
      <c r="DT34" s="177">
        <v>0</v>
      </c>
      <c r="DU34" s="177">
        <v>0</v>
      </c>
      <c r="DV34" s="177">
        <v>0</v>
      </c>
      <c r="DW34" s="177">
        <v>0</v>
      </c>
      <c r="DX34" s="177">
        <v>0</v>
      </c>
      <c r="DY34" s="177">
        <v>1</v>
      </c>
      <c r="DZ34" s="177">
        <v>1</v>
      </c>
      <c r="EA34" s="177">
        <v>0</v>
      </c>
      <c r="EB34" s="177">
        <v>0</v>
      </c>
      <c r="EC34" s="177">
        <v>0</v>
      </c>
      <c r="ED34" s="177">
        <v>0</v>
      </c>
      <c r="EE34" s="177">
        <v>0.25</v>
      </c>
      <c r="EF34" s="130">
        <v>0</v>
      </c>
      <c r="EG34" s="177">
        <v>0</v>
      </c>
      <c r="EH34" s="161">
        <v>0</v>
      </c>
      <c r="EI34" s="177">
        <v>0</v>
      </c>
      <c r="EJ34" s="177">
        <v>0</v>
      </c>
      <c r="EK34" s="177">
        <v>0.25</v>
      </c>
      <c r="EL34" s="177">
        <v>0.25</v>
      </c>
      <c r="EM34" s="177">
        <v>0</v>
      </c>
      <c r="EN34" s="177">
        <v>0</v>
      </c>
      <c r="EO34" s="177">
        <v>0</v>
      </c>
      <c r="EP34" s="130">
        <v>0</v>
      </c>
      <c r="EQ34" s="177">
        <v>0</v>
      </c>
      <c r="ER34" s="177">
        <v>0</v>
      </c>
      <c r="ES34" s="161">
        <v>0</v>
      </c>
      <c r="ET34" s="161">
        <v>0</v>
      </c>
      <c r="EU34" s="161">
        <v>1</v>
      </c>
      <c r="EV34" s="130">
        <v>1</v>
      </c>
      <c r="EW34" s="187">
        <v>0.2</v>
      </c>
      <c r="EX34" s="132">
        <v>0.2</v>
      </c>
      <c r="EY34" s="7"/>
      <c r="EZ34" s="27"/>
      <c r="FA34" s="27"/>
    </row>
    <row r="35" spans="1:157" s="566" customFormat="1" ht="17.25" customHeight="1">
      <c r="A35" s="181"/>
      <c r="B35" s="22"/>
      <c r="C35" s="70"/>
      <c r="D35" s="192" t="s">
        <v>165</v>
      </c>
      <c r="E35" s="191" t="s">
        <v>166</v>
      </c>
      <c r="F35" s="3"/>
      <c r="G35" s="3"/>
      <c r="H35" s="3"/>
      <c r="I35" s="27"/>
      <c r="J35" s="27"/>
      <c r="K35" s="27"/>
      <c r="L35" s="3"/>
      <c r="M35" s="3"/>
      <c r="N35" s="71"/>
      <c r="O35" s="14"/>
      <c r="P35" s="14"/>
      <c r="Q35" s="14"/>
      <c r="R35" s="193"/>
      <c r="S35" s="193"/>
      <c r="T35" s="193" t="s">
        <v>11</v>
      </c>
      <c r="U35" s="193" t="s">
        <v>12</v>
      </c>
      <c r="V35" s="193" t="s">
        <v>13</v>
      </c>
      <c r="W35" s="193" t="s">
        <v>14</v>
      </c>
      <c r="X35" s="193" t="s">
        <v>15</v>
      </c>
      <c r="Y35" s="193" t="s">
        <v>16</v>
      </c>
      <c r="Z35" s="193" t="s">
        <v>17</v>
      </c>
      <c r="AA35" s="193" t="s">
        <v>18</v>
      </c>
      <c r="AB35" s="193" t="s">
        <v>19</v>
      </c>
      <c r="AC35" s="193" t="s">
        <v>20</v>
      </c>
      <c r="AD35" s="193" t="s">
        <v>21</v>
      </c>
      <c r="AE35" s="193" t="s">
        <v>22</v>
      </c>
      <c r="AF35" s="193" t="s">
        <v>23</v>
      </c>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45"/>
      <c r="BE35" s="165" t="s">
        <v>11</v>
      </c>
      <c r="BF35" s="23">
        <v>21</v>
      </c>
      <c r="BG35" s="23">
        <v>16</v>
      </c>
      <c r="BH35" s="23">
        <v>6</v>
      </c>
      <c r="BI35" s="90" t="b">
        <f t="shared" si="53"/>
        <v>0</v>
      </c>
      <c r="BJ35" s="46" t="b">
        <f t="shared" si="58"/>
        <v>1</v>
      </c>
      <c r="BK35" s="166">
        <f t="shared" si="13"/>
        <v>7.3529411764705879</v>
      </c>
      <c r="BL35" s="175">
        <f>IF(SUM(BL$20:BL34,BK35)&gt;$BJ$4,0,BK35)</f>
        <v>7.3529411764705879</v>
      </c>
      <c r="BM35" s="23">
        <f t="shared" si="14"/>
        <v>0</v>
      </c>
      <c r="BN35" s="90">
        <f t="shared" si="15"/>
        <v>0</v>
      </c>
      <c r="BO35" s="24">
        <f t="shared" si="59"/>
        <v>0</v>
      </c>
      <c r="BP35" s="168">
        <f t="shared" si="16"/>
        <v>0</v>
      </c>
      <c r="BQ35" s="171">
        <f t="shared" si="17"/>
        <v>0</v>
      </c>
      <c r="BR35" s="170">
        <f t="shared" si="18"/>
        <v>0</v>
      </c>
      <c r="BS35" s="168">
        <f t="shared" si="19"/>
        <v>0</v>
      </c>
      <c r="BT35" s="171">
        <f t="shared" si="20"/>
        <v>0</v>
      </c>
      <c r="BU35" s="170">
        <f t="shared" si="21"/>
        <v>0</v>
      </c>
      <c r="BV35" s="168">
        <f t="shared" si="22"/>
        <v>0</v>
      </c>
      <c r="BW35" s="171">
        <f t="shared" si="23"/>
        <v>0</v>
      </c>
      <c r="BX35" s="170">
        <f t="shared" si="24"/>
        <v>0</v>
      </c>
      <c r="BY35" s="168">
        <f t="shared" si="25"/>
        <v>0</v>
      </c>
      <c r="BZ35" s="171">
        <f t="shared" si="26"/>
        <v>0</v>
      </c>
      <c r="CA35" s="170">
        <f t="shared" si="27"/>
        <v>0</v>
      </c>
      <c r="CB35" s="90">
        <f t="shared" si="28"/>
        <v>0</v>
      </c>
      <c r="CC35" s="171">
        <f t="shared" si="29"/>
        <v>0</v>
      </c>
      <c r="CD35" s="170">
        <f t="shared" si="30"/>
        <v>0</v>
      </c>
      <c r="CE35" s="90">
        <f t="shared" si="31"/>
        <v>0</v>
      </c>
      <c r="CF35" s="171">
        <f t="shared" si="32"/>
        <v>0</v>
      </c>
      <c r="CG35" s="170">
        <f t="shared" si="33"/>
        <v>0</v>
      </c>
      <c r="CH35" s="90">
        <f t="shared" si="34"/>
        <v>0</v>
      </c>
      <c r="CI35" s="171">
        <f t="shared" si="35"/>
        <v>0</v>
      </c>
      <c r="CJ35" s="170">
        <f t="shared" si="36"/>
        <v>0</v>
      </c>
      <c r="CK35" s="90">
        <f t="shared" si="37"/>
        <v>0</v>
      </c>
      <c r="CL35" s="171">
        <f t="shared" si="38"/>
        <v>0</v>
      </c>
      <c r="CM35" s="170">
        <f t="shared" si="39"/>
        <v>0</v>
      </c>
      <c r="CN35" s="90">
        <f t="shared" si="40"/>
        <v>0</v>
      </c>
      <c r="CO35" s="171">
        <f t="shared" si="41"/>
        <v>0</v>
      </c>
      <c r="CP35" s="170">
        <f t="shared" si="42"/>
        <v>0</v>
      </c>
      <c r="CQ35" s="90">
        <f t="shared" si="43"/>
        <v>0</v>
      </c>
      <c r="CR35" s="171">
        <f t="shared" si="44"/>
        <v>0</v>
      </c>
      <c r="CS35" s="170">
        <f t="shared" si="45"/>
        <v>0</v>
      </c>
      <c r="CT35" s="90">
        <f t="shared" si="46"/>
        <v>0</v>
      </c>
      <c r="CU35" s="171">
        <f t="shared" si="47"/>
        <v>0</v>
      </c>
      <c r="CV35" s="170">
        <f t="shared" si="48"/>
        <v>0</v>
      </c>
      <c r="CW35" s="90">
        <f t="shared" si="49"/>
        <v>0</v>
      </c>
      <c r="CX35" s="171">
        <f t="shared" si="50"/>
        <v>0</v>
      </c>
      <c r="CY35" s="170">
        <f t="shared" si="51"/>
        <v>0</v>
      </c>
      <c r="CZ35" s="168">
        <f t="shared" si="52"/>
        <v>0</v>
      </c>
      <c r="DA35" s="172">
        <f t="shared" si="54"/>
        <v>0</v>
      </c>
      <c r="DB35" s="173">
        <f t="shared" si="55"/>
        <v>0</v>
      </c>
      <c r="DC35" s="172">
        <f t="shared" si="56"/>
        <v>0</v>
      </c>
      <c r="DD35" s="172">
        <f t="shared" si="56"/>
        <v>0</v>
      </c>
      <c r="DE35" s="172">
        <f t="shared" si="56"/>
        <v>0</v>
      </c>
      <c r="DF35" s="172">
        <f t="shared" si="57"/>
        <v>0</v>
      </c>
      <c r="DG35" s="136"/>
      <c r="DH35" s="1"/>
      <c r="DI35" s="3"/>
      <c r="DJ35" s="8"/>
      <c r="DK35" s="8"/>
      <c r="DL35" s="7"/>
      <c r="DM35" s="7"/>
      <c r="DN35" s="8"/>
      <c r="DO35" s="8"/>
      <c r="DP35" s="8"/>
      <c r="DQ35" s="3"/>
      <c r="DR35" s="142" t="s">
        <v>167</v>
      </c>
      <c r="DS35" s="177">
        <v>0.05</v>
      </c>
      <c r="DT35" s="177">
        <v>0</v>
      </c>
      <c r="DU35" s="177">
        <v>0</v>
      </c>
      <c r="DV35" s="177">
        <v>0</v>
      </c>
      <c r="DW35" s="177">
        <v>0</v>
      </c>
      <c r="DX35" s="177">
        <v>0</v>
      </c>
      <c r="DY35" s="177">
        <v>1</v>
      </c>
      <c r="DZ35" s="177">
        <v>1</v>
      </c>
      <c r="EA35" s="177">
        <v>0</v>
      </c>
      <c r="EB35" s="177">
        <v>0</v>
      </c>
      <c r="EC35" s="177">
        <v>0</v>
      </c>
      <c r="ED35" s="177">
        <v>0</v>
      </c>
      <c r="EE35" s="177">
        <v>0</v>
      </c>
      <c r="EF35" s="130">
        <v>0</v>
      </c>
      <c r="EG35" s="177">
        <v>0</v>
      </c>
      <c r="EH35" s="161">
        <v>0</v>
      </c>
      <c r="EI35" s="177">
        <v>0</v>
      </c>
      <c r="EJ35" s="177">
        <v>0</v>
      </c>
      <c r="EK35" s="177">
        <v>0</v>
      </c>
      <c r="EL35" s="177">
        <v>0</v>
      </c>
      <c r="EM35" s="177">
        <v>0</v>
      </c>
      <c r="EN35" s="177">
        <v>0</v>
      </c>
      <c r="EO35" s="177">
        <v>0</v>
      </c>
      <c r="EP35" s="130">
        <v>0</v>
      </c>
      <c r="EQ35" s="177">
        <v>0</v>
      </c>
      <c r="ER35" s="177">
        <v>0</v>
      </c>
      <c r="ES35" s="177">
        <v>0</v>
      </c>
      <c r="ET35" s="177">
        <v>0</v>
      </c>
      <c r="EU35" s="161">
        <v>1</v>
      </c>
      <c r="EV35" s="130">
        <v>1</v>
      </c>
      <c r="EW35" s="187">
        <v>0.2</v>
      </c>
      <c r="EX35" s="132">
        <v>0.2</v>
      </c>
      <c r="EY35" s="7"/>
      <c r="EZ35" s="27"/>
      <c r="FA35" s="27"/>
    </row>
    <row r="36" spans="1:157" s="566" customFormat="1" ht="17.25" customHeight="1">
      <c r="A36" s="181"/>
      <c r="B36" s="22"/>
      <c r="C36" s="194" t="s">
        <v>168</v>
      </c>
      <c r="D36" s="195">
        <f>IFERROR(VLOOKUP($D$31,'Rainfall data'!$B$3:$O$33,'Potable Water Calculator'!O38,FALSE),"")</f>
        <v>125</v>
      </c>
      <c r="E36" s="195">
        <f>IFERROR(VLOOKUP($D$31,'Rainfall data'!$B$44:$P$74,'Potable Water Calculator'!O38,FALSE),"")</f>
        <v>17</v>
      </c>
      <c r="F36" s="3"/>
      <c r="G36" s="3"/>
      <c r="H36" s="3"/>
      <c r="I36" s="27"/>
      <c r="J36" s="27"/>
      <c r="K36" s="27"/>
      <c r="L36" s="3"/>
      <c r="M36" s="3"/>
      <c r="N36" s="71"/>
      <c r="O36" s="14"/>
      <c r="P36" s="14"/>
      <c r="Q36" s="14"/>
      <c r="R36" s="193"/>
      <c r="S36" s="193" t="s">
        <v>169</v>
      </c>
      <c r="T36" s="196">
        <v>31</v>
      </c>
      <c r="U36" s="196">
        <v>28</v>
      </c>
      <c r="V36" s="196">
        <v>31</v>
      </c>
      <c r="W36" s="196">
        <v>30</v>
      </c>
      <c r="X36" s="196">
        <v>31</v>
      </c>
      <c r="Y36" s="196">
        <v>30</v>
      </c>
      <c r="Z36" s="196">
        <v>31</v>
      </c>
      <c r="AA36" s="196">
        <v>31</v>
      </c>
      <c r="AB36" s="196">
        <v>30</v>
      </c>
      <c r="AC36" s="196">
        <v>31</v>
      </c>
      <c r="AD36" s="196">
        <v>30</v>
      </c>
      <c r="AE36" s="196">
        <v>31</v>
      </c>
      <c r="AF36" s="196" t="s">
        <v>170</v>
      </c>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45"/>
      <c r="BE36" s="165" t="s">
        <v>11</v>
      </c>
      <c r="BF36" s="23">
        <v>21</v>
      </c>
      <c r="BG36" s="23">
        <v>17</v>
      </c>
      <c r="BH36" s="23">
        <v>7</v>
      </c>
      <c r="BI36" s="90" t="b">
        <f t="shared" si="53"/>
        <v>0</v>
      </c>
      <c r="BJ36" s="46" t="b">
        <f t="shared" si="58"/>
        <v>0</v>
      </c>
      <c r="BK36" s="166">
        <f t="shared" si="13"/>
        <v>0</v>
      </c>
      <c r="BL36" s="175">
        <f>IF(SUM(BL$20:BL35,BK36)&gt;$BJ$4,0,BK36)</f>
        <v>0</v>
      </c>
      <c r="BM36" s="23">
        <f t="shared" si="14"/>
        <v>0</v>
      </c>
      <c r="BN36" s="90">
        <f t="shared" si="15"/>
        <v>0</v>
      </c>
      <c r="BO36" s="24">
        <f t="shared" si="59"/>
        <v>0</v>
      </c>
      <c r="BP36" s="168">
        <f t="shared" si="16"/>
        <v>0</v>
      </c>
      <c r="BQ36" s="171">
        <f t="shared" si="17"/>
        <v>0</v>
      </c>
      <c r="BR36" s="170">
        <f t="shared" si="18"/>
        <v>0</v>
      </c>
      <c r="BS36" s="168">
        <f t="shared" si="19"/>
        <v>0</v>
      </c>
      <c r="BT36" s="171">
        <f t="shared" si="20"/>
        <v>0</v>
      </c>
      <c r="BU36" s="170">
        <f t="shared" si="21"/>
        <v>0</v>
      </c>
      <c r="BV36" s="168">
        <f t="shared" si="22"/>
        <v>0</v>
      </c>
      <c r="BW36" s="171">
        <f t="shared" si="23"/>
        <v>0</v>
      </c>
      <c r="BX36" s="170">
        <f t="shared" si="24"/>
        <v>0</v>
      </c>
      <c r="BY36" s="168">
        <f t="shared" si="25"/>
        <v>0</v>
      </c>
      <c r="BZ36" s="171">
        <f t="shared" si="26"/>
        <v>0</v>
      </c>
      <c r="CA36" s="170">
        <f t="shared" si="27"/>
        <v>0</v>
      </c>
      <c r="CB36" s="90">
        <f t="shared" si="28"/>
        <v>0</v>
      </c>
      <c r="CC36" s="171">
        <f t="shared" si="29"/>
        <v>0</v>
      </c>
      <c r="CD36" s="170">
        <f t="shared" si="30"/>
        <v>0</v>
      </c>
      <c r="CE36" s="90">
        <f t="shared" si="31"/>
        <v>0</v>
      </c>
      <c r="CF36" s="171">
        <f t="shared" si="32"/>
        <v>0</v>
      </c>
      <c r="CG36" s="170">
        <f t="shared" si="33"/>
        <v>0</v>
      </c>
      <c r="CH36" s="90">
        <f t="shared" si="34"/>
        <v>0</v>
      </c>
      <c r="CI36" s="171">
        <f t="shared" si="35"/>
        <v>0</v>
      </c>
      <c r="CJ36" s="170">
        <f t="shared" si="36"/>
        <v>0</v>
      </c>
      <c r="CK36" s="90">
        <f t="shared" si="37"/>
        <v>0</v>
      </c>
      <c r="CL36" s="171">
        <f t="shared" si="38"/>
        <v>0</v>
      </c>
      <c r="CM36" s="170">
        <f t="shared" si="39"/>
        <v>0</v>
      </c>
      <c r="CN36" s="90">
        <f t="shared" si="40"/>
        <v>0</v>
      </c>
      <c r="CO36" s="171">
        <f t="shared" si="41"/>
        <v>0</v>
      </c>
      <c r="CP36" s="170">
        <f t="shared" si="42"/>
        <v>0</v>
      </c>
      <c r="CQ36" s="90">
        <f t="shared" si="43"/>
        <v>0</v>
      </c>
      <c r="CR36" s="171">
        <f t="shared" si="44"/>
        <v>0</v>
      </c>
      <c r="CS36" s="170">
        <f t="shared" si="45"/>
        <v>0</v>
      </c>
      <c r="CT36" s="90">
        <f t="shared" si="46"/>
        <v>0</v>
      </c>
      <c r="CU36" s="171">
        <f t="shared" si="47"/>
        <v>0</v>
      </c>
      <c r="CV36" s="170">
        <f t="shared" si="48"/>
        <v>0</v>
      </c>
      <c r="CW36" s="90">
        <f t="shared" si="49"/>
        <v>0</v>
      </c>
      <c r="CX36" s="171">
        <f t="shared" si="50"/>
        <v>0</v>
      </c>
      <c r="CY36" s="170">
        <f t="shared" si="51"/>
        <v>0</v>
      </c>
      <c r="CZ36" s="168">
        <f t="shared" si="52"/>
        <v>0</v>
      </c>
      <c r="DA36" s="172">
        <f t="shared" si="54"/>
        <v>0</v>
      </c>
      <c r="DB36" s="173">
        <f t="shared" si="55"/>
        <v>0</v>
      </c>
      <c r="DC36" s="172">
        <f t="shared" si="56"/>
        <v>0</v>
      </c>
      <c r="DD36" s="172">
        <f t="shared" si="56"/>
        <v>0</v>
      </c>
      <c r="DE36" s="172">
        <f t="shared" si="56"/>
        <v>0</v>
      </c>
      <c r="DF36" s="172">
        <f t="shared" si="57"/>
        <v>0</v>
      </c>
      <c r="DG36" s="136"/>
      <c r="DH36" s="1"/>
      <c r="DI36" s="27"/>
      <c r="DJ36" s="8"/>
      <c r="DK36" s="8"/>
      <c r="DL36" s="7"/>
      <c r="DM36" s="7"/>
      <c r="DN36" s="8"/>
      <c r="DO36" s="8"/>
      <c r="DP36" s="8"/>
      <c r="DQ36" s="3"/>
      <c r="DR36" s="142" t="s">
        <v>171</v>
      </c>
      <c r="DS36" s="177">
        <v>0</v>
      </c>
      <c r="DT36" s="177">
        <v>0</v>
      </c>
      <c r="DU36" s="177">
        <v>0</v>
      </c>
      <c r="DV36" s="177">
        <v>0</v>
      </c>
      <c r="DW36" s="177">
        <v>0</v>
      </c>
      <c r="DX36" s="177">
        <v>0</v>
      </c>
      <c r="DY36" s="177">
        <v>1</v>
      </c>
      <c r="DZ36" s="177">
        <v>1</v>
      </c>
      <c r="EA36" s="177">
        <v>0</v>
      </c>
      <c r="EB36" s="177">
        <v>0</v>
      </c>
      <c r="EC36" s="177">
        <v>0</v>
      </c>
      <c r="ED36" s="177">
        <v>0</v>
      </c>
      <c r="EE36" s="177">
        <v>0</v>
      </c>
      <c r="EF36" s="130">
        <v>0</v>
      </c>
      <c r="EG36" s="177">
        <v>0</v>
      </c>
      <c r="EH36" s="161">
        <v>0</v>
      </c>
      <c r="EI36" s="177">
        <v>0</v>
      </c>
      <c r="EJ36" s="177">
        <v>0</v>
      </c>
      <c r="EK36" s="177">
        <v>0</v>
      </c>
      <c r="EL36" s="177">
        <v>0</v>
      </c>
      <c r="EM36" s="177">
        <v>0</v>
      </c>
      <c r="EN36" s="177">
        <v>0</v>
      </c>
      <c r="EO36" s="177">
        <v>0</v>
      </c>
      <c r="EP36" s="130">
        <v>0</v>
      </c>
      <c r="EQ36" s="177">
        <v>0</v>
      </c>
      <c r="ER36" s="177">
        <v>0</v>
      </c>
      <c r="ES36" s="177">
        <v>0.25</v>
      </c>
      <c r="ET36" s="177">
        <v>0.25</v>
      </c>
      <c r="EU36" s="161">
        <v>0.5</v>
      </c>
      <c r="EV36" s="130">
        <v>1</v>
      </c>
      <c r="EW36" s="187">
        <v>0.2</v>
      </c>
      <c r="EX36" s="132">
        <v>0.2</v>
      </c>
      <c r="EY36" s="7"/>
      <c r="EZ36" s="27"/>
      <c r="FA36" s="27"/>
    </row>
    <row r="37" spans="1:157" s="566" customFormat="1" ht="17.25" customHeight="1">
      <c r="A37" s="181"/>
      <c r="B37" s="22"/>
      <c r="C37" s="194" t="s">
        <v>172</v>
      </c>
      <c r="D37" s="195">
        <f>IFERROR(VLOOKUP($D$31,'Rainfall data'!$B$3:$O$33,'Potable Water Calculator'!O39,FALSE),"")</f>
        <v>90</v>
      </c>
      <c r="E37" s="195">
        <f>IFERROR(VLOOKUP($D$31,'Rainfall data'!$B$44:$P$74,'Potable Water Calculator'!O39,FALSE),"")</f>
        <v>13</v>
      </c>
      <c r="F37" s="3"/>
      <c r="G37" s="3"/>
      <c r="H37" s="3"/>
      <c r="I37" s="27"/>
      <c r="J37" s="27"/>
      <c r="K37" s="27"/>
      <c r="L37" s="3"/>
      <c r="M37" s="3"/>
      <c r="N37" s="71"/>
      <c r="O37" s="71" t="s">
        <v>173</v>
      </c>
      <c r="P37" s="14"/>
      <c r="Q37" s="14"/>
      <c r="R37" s="193" t="s">
        <v>174</v>
      </c>
      <c r="S37" s="193" t="s">
        <v>175</v>
      </c>
      <c r="T37" s="196">
        <v>5</v>
      </c>
      <c r="U37" s="196">
        <v>4</v>
      </c>
      <c r="V37" s="196">
        <v>4</v>
      </c>
      <c r="W37" s="196">
        <v>4</v>
      </c>
      <c r="X37" s="196">
        <v>5</v>
      </c>
      <c r="Y37" s="196">
        <v>4</v>
      </c>
      <c r="Z37" s="196">
        <v>5</v>
      </c>
      <c r="AA37" s="196">
        <v>4</v>
      </c>
      <c r="AB37" s="196">
        <v>4</v>
      </c>
      <c r="AC37" s="196">
        <v>5</v>
      </c>
      <c r="AD37" s="196">
        <v>4</v>
      </c>
      <c r="AE37" s="196">
        <v>4</v>
      </c>
      <c r="AF37" s="196" t="s">
        <v>170</v>
      </c>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45"/>
      <c r="BE37" s="165" t="s">
        <v>11</v>
      </c>
      <c r="BF37" s="23">
        <v>21</v>
      </c>
      <c r="BG37" s="23">
        <v>18</v>
      </c>
      <c r="BH37" s="23">
        <v>1</v>
      </c>
      <c r="BI37" s="90" t="b">
        <f t="shared" si="53"/>
        <v>1</v>
      </c>
      <c r="BJ37" s="46" t="b">
        <f t="shared" si="58"/>
        <v>1</v>
      </c>
      <c r="BK37" s="166">
        <f t="shared" si="13"/>
        <v>7.3529411764705879</v>
      </c>
      <c r="BL37" s="175">
        <f>IF(SUM(BL$20:BL36,BK37)&gt;$BJ$4,0,BK37)</f>
        <v>7.3529411764705879</v>
      </c>
      <c r="BM37" s="23">
        <f t="shared" si="14"/>
        <v>0</v>
      </c>
      <c r="BN37" s="90">
        <f t="shared" si="15"/>
        <v>0</v>
      </c>
      <c r="BO37" s="24">
        <f t="shared" si="59"/>
        <v>0</v>
      </c>
      <c r="BP37" s="168">
        <f t="shared" si="16"/>
        <v>0</v>
      </c>
      <c r="BQ37" s="171">
        <f t="shared" si="17"/>
        <v>0</v>
      </c>
      <c r="BR37" s="170">
        <f t="shared" si="18"/>
        <v>0</v>
      </c>
      <c r="BS37" s="168">
        <f t="shared" si="19"/>
        <v>0</v>
      </c>
      <c r="BT37" s="171">
        <f t="shared" si="20"/>
        <v>0</v>
      </c>
      <c r="BU37" s="170">
        <f t="shared" si="21"/>
        <v>0</v>
      </c>
      <c r="BV37" s="168">
        <f t="shared" si="22"/>
        <v>0</v>
      </c>
      <c r="BW37" s="171">
        <f t="shared" si="23"/>
        <v>0</v>
      </c>
      <c r="BX37" s="170">
        <f t="shared" si="24"/>
        <v>0</v>
      </c>
      <c r="BY37" s="168">
        <f t="shared" si="25"/>
        <v>0</v>
      </c>
      <c r="BZ37" s="171">
        <f t="shared" si="26"/>
        <v>0</v>
      </c>
      <c r="CA37" s="170">
        <f t="shared" si="27"/>
        <v>0</v>
      </c>
      <c r="CB37" s="90">
        <f t="shared" si="28"/>
        <v>0</v>
      </c>
      <c r="CC37" s="171">
        <f t="shared" si="29"/>
        <v>0</v>
      </c>
      <c r="CD37" s="170">
        <f t="shared" si="30"/>
        <v>0</v>
      </c>
      <c r="CE37" s="90">
        <f t="shared" si="31"/>
        <v>0</v>
      </c>
      <c r="CF37" s="171">
        <f t="shared" si="32"/>
        <v>0</v>
      </c>
      <c r="CG37" s="170">
        <f t="shared" si="33"/>
        <v>0</v>
      </c>
      <c r="CH37" s="90">
        <f t="shared" si="34"/>
        <v>0</v>
      </c>
      <c r="CI37" s="171">
        <f t="shared" si="35"/>
        <v>0</v>
      </c>
      <c r="CJ37" s="170">
        <f t="shared" si="36"/>
        <v>0</v>
      </c>
      <c r="CK37" s="90">
        <f t="shared" si="37"/>
        <v>0</v>
      </c>
      <c r="CL37" s="171">
        <f t="shared" si="38"/>
        <v>0</v>
      </c>
      <c r="CM37" s="170">
        <f t="shared" si="39"/>
        <v>0</v>
      </c>
      <c r="CN37" s="90">
        <f t="shared" si="40"/>
        <v>0</v>
      </c>
      <c r="CO37" s="171">
        <f t="shared" si="41"/>
        <v>0</v>
      </c>
      <c r="CP37" s="170">
        <f t="shared" si="42"/>
        <v>0</v>
      </c>
      <c r="CQ37" s="90">
        <f t="shared" si="43"/>
        <v>0</v>
      </c>
      <c r="CR37" s="171">
        <f t="shared" si="44"/>
        <v>0</v>
      </c>
      <c r="CS37" s="170">
        <f t="shared" si="45"/>
        <v>0</v>
      </c>
      <c r="CT37" s="90">
        <f t="shared" si="46"/>
        <v>0</v>
      </c>
      <c r="CU37" s="171">
        <f t="shared" si="47"/>
        <v>0</v>
      </c>
      <c r="CV37" s="170">
        <f t="shared" si="48"/>
        <v>0</v>
      </c>
      <c r="CW37" s="90">
        <f t="shared" si="49"/>
        <v>0</v>
      </c>
      <c r="CX37" s="171">
        <f t="shared" si="50"/>
        <v>0</v>
      </c>
      <c r="CY37" s="170">
        <f t="shared" si="51"/>
        <v>0</v>
      </c>
      <c r="CZ37" s="168">
        <f t="shared" si="52"/>
        <v>0</v>
      </c>
      <c r="DA37" s="172">
        <f t="shared" si="54"/>
        <v>0</v>
      </c>
      <c r="DB37" s="173">
        <f t="shared" si="55"/>
        <v>0</v>
      </c>
      <c r="DC37" s="172">
        <f t="shared" ref="DC37:DE52" si="60">IF(DC36+$DB37&lt;0,0,IF(DC36+$DB37&gt;$F$405,$F$405,DC36+$DB37))</f>
        <v>0</v>
      </c>
      <c r="DD37" s="172">
        <f t="shared" si="60"/>
        <v>0</v>
      </c>
      <c r="DE37" s="172">
        <f t="shared" si="60"/>
        <v>0</v>
      </c>
      <c r="DF37" s="172">
        <f t="shared" si="57"/>
        <v>0</v>
      </c>
      <c r="DG37" s="136"/>
      <c r="DH37" s="1"/>
      <c r="DI37" s="27"/>
      <c r="DJ37" s="8"/>
      <c r="DK37" s="8"/>
      <c r="DL37" s="7"/>
      <c r="DM37" s="7"/>
      <c r="DN37" s="8"/>
      <c r="DO37" s="8"/>
      <c r="DP37" s="8"/>
      <c r="DQ37" s="3"/>
      <c r="DR37" s="142" t="s">
        <v>176</v>
      </c>
      <c r="DS37" s="177">
        <v>0</v>
      </c>
      <c r="DT37" s="177">
        <v>0</v>
      </c>
      <c r="DU37" s="177">
        <v>0</v>
      </c>
      <c r="DV37" s="177">
        <v>0</v>
      </c>
      <c r="DW37" s="177">
        <v>0</v>
      </c>
      <c r="DX37" s="177">
        <v>0</v>
      </c>
      <c r="DY37" s="177">
        <v>0.5</v>
      </c>
      <c r="DZ37" s="177">
        <v>0.5</v>
      </c>
      <c r="EA37" s="177">
        <v>0</v>
      </c>
      <c r="EB37" s="177">
        <v>0</v>
      </c>
      <c r="EC37" s="177">
        <v>0</v>
      </c>
      <c r="ED37" s="177">
        <v>0</v>
      </c>
      <c r="EE37" s="177">
        <v>0</v>
      </c>
      <c r="EF37" s="130">
        <v>0</v>
      </c>
      <c r="EG37" s="177">
        <v>0</v>
      </c>
      <c r="EH37" s="161">
        <v>0</v>
      </c>
      <c r="EI37" s="177">
        <v>0</v>
      </c>
      <c r="EJ37" s="177">
        <v>0</v>
      </c>
      <c r="EK37" s="177">
        <v>0</v>
      </c>
      <c r="EL37" s="177">
        <v>0</v>
      </c>
      <c r="EM37" s="177">
        <v>0</v>
      </c>
      <c r="EN37" s="177">
        <v>0</v>
      </c>
      <c r="EO37" s="177">
        <v>0</v>
      </c>
      <c r="EP37" s="130">
        <v>0</v>
      </c>
      <c r="EQ37" s="177">
        <v>0</v>
      </c>
      <c r="ER37" s="177">
        <v>0</v>
      </c>
      <c r="ES37" s="177">
        <v>0.75</v>
      </c>
      <c r="ET37" s="177">
        <v>0.75</v>
      </c>
      <c r="EU37" s="161">
        <v>0</v>
      </c>
      <c r="EV37" s="130">
        <v>0</v>
      </c>
      <c r="EW37" s="187">
        <v>0.2</v>
      </c>
      <c r="EX37" s="132">
        <v>0.2</v>
      </c>
      <c r="EY37" s="7"/>
      <c r="EZ37" s="27"/>
      <c r="FA37" s="27"/>
    </row>
    <row r="38" spans="1:157" s="566" customFormat="1" ht="17.25" customHeight="1">
      <c r="A38" s="197"/>
      <c r="B38" s="22"/>
      <c r="C38" s="194" t="s">
        <v>177</v>
      </c>
      <c r="D38" s="195">
        <f>IFERROR(VLOOKUP($D$31,'Rainfall data'!$B$3:$O$33,'Potable Water Calculator'!O40,FALSE),"")</f>
        <v>91</v>
      </c>
      <c r="E38" s="195">
        <f>IFERROR(VLOOKUP($D$31,'Rainfall data'!$B$44:$P$74,'Potable Water Calculator'!O40,FALSE),"")</f>
        <v>13</v>
      </c>
      <c r="F38" s="3"/>
      <c r="G38" s="3"/>
      <c r="H38" s="3"/>
      <c r="I38" s="27"/>
      <c r="J38" s="27"/>
      <c r="K38" s="27"/>
      <c r="L38" s="3"/>
      <c r="M38" s="3"/>
      <c r="N38" s="71"/>
      <c r="O38" s="71">
        <v>3</v>
      </c>
      <c r="P38" s="14"/>
      <c r="Q38" s="14"/>
      <c r="R38" s="193">
        <v>5</v>
      </c>
      <c r="S38" s="193" t="s">
        <v>178</v>
      </c>
      <c r="T38" s="196">
        <f t="shared" ref="T38:AE38" si="61">T36-(T37*(7-$R38))</f>
        <v>21</v>
      </c>
      <c r="U38" s="196">
        <f t="shared" si="61"/>
        <v>20</v>
      </c>
      <c r="V38" s="196">
        <f t="shared" si="61"/>
        <v>23</v>
      </c>
      <c r="W38" s="196">
        <f t="shared" si="61"/>
        <v>22</v>
      </c>
      <c r="X38" s="196">
        <f t="shared" si="61"/>
        <v>21</v>
      </c>
      <c r="Y38" s="196">
        <f t="shared" si="61"/>
        <v>22</v>
      </c>
      <c r="Z38" s="196">
        <f t="shared" si="61"/>
        <v>21</v>
      </c>
      <c r="AA38" s="196">
        <f t="shared" si="61"/>
        <v>23</v>
      </c>
      <c r="AB38" s="196">
        <f t="shared" si="61"/>
        <v>22</v>
      </c>
      <c r="AC38" s="196">
        <f t="shared" si="61"/>
        <v>21</v>
      </c>
      <c r="AD38" s="196">
        <f t="shared" si="61"/>
        <v>22</v>
      </c>
      <c r="AE38" s="196">
        <f t="shared" si="61"/>
        <v>23</v>
      </c>
      <c r="AF38" s="196">
        <f>SUM(T38:AE38)</f>
        <v>261</v>
      </c>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45"/>
      <c r="BE38" s="165" t="s">
        <v>11</v>
      </c>
      <c r="BF38" s="23">
        <v>21</v>
      </c>
      <c r="BG38" s="23">
        <v>19</v>
      </c>
      <c r="BH38" s="23">
        <v>2</v>
      </c>
      <c r="BI38" s="90" t="b">
        <f t="shared" si="53"/>
        <v>1</v>
      </c>
      <c r="BJ38" s="46" t="b">
        <f t="shared" si="58"/>
        <v>0</v>
      </c>
      <c r="BK38" s="166">
        <f t="shared" si="13"/>
        <v>0</v>
      </c>
      <c r="BL38" s="175">
        <f>IF(SUM(BL$20:BL37,BK38)&gt;$BJ$4,0,BK38)</f>
        <v>0</v>
      </c>
      <c r="BM38" s="23">
        <f t="shared" si="14"/>
        <v>0</v>
      </c>
      <c r="BN38" s="90">
        <f t="shared" si="15"/>
        <v>0</v>
      </c>
      <c r="BO38" s="24">
        <f t="shared" si="59"/>
        <v>0</v>
      </c>
      <c r="BP38" s="168">
        <f t="shared" si="16"/>
        <v>0</v>
      </c>
      <c r="BQ38" s="171">
        <f t="shared" si="17"/>
        <v>0</v>
      </c>
      <c r="BR38" s="170">
        <f t="shared" si="18"/>
        <v>0</v>
      </c>
      <c r="BS38" s="168">
        <f t="shared" si="19"/>
        <v>0</v>
      </c>
      <c r="BT38" s="171">
        <f t="shared" si="20"/>
        <v>0</v>
      </c>
      <c r="BU38" s="170">
        <f t="shared" si="21"/>
        <v>0</v>
      </c>
      <c r="BV38" s="168">
        <f t="shared" si="22"/>
        <v>0</v>
      </c>
      <c r="BW38" s="171">
        <f t="shared" si="23"/>
        <v>0</v>
      </c>
      <c r="BX38" s="170">
        <f t="shared" si="24"/>
        <v>0</v>
      </c>
      <c r="BY38" s="168">
        <f t="shared" si="25"/>
        <v>0</v>
      </c>
      <c r="BZ38" s="171">
        <f t="shared" si="26"/>
        <v>0</v>
      </c>
      <c r="CA38" s="170">
        <f t="shared" si="27"/>
        <v>0</v>
      </c>
      <c r="CB38" s="90">
        <f t="shared" si="28"/>
        <v>0</v>
      </c>
      <c r="CC38" s="171">
        <f t="shared" si="29"/>
        <v>0</v>
      </c>
      <c r="CD38" s="170">
        <f t="shared" si="30"/>
        <v>0</v>
      </c>
      <c r="CE38" s="90">
        <f t="shared" si="31"/>
        <v>0</v>
      </c>
      <c r="CF38" s="171">
        <f t="shared" si="32"/>
        <v>0</v>
      </c>
      <c r="CG38" s="170">
        <f t="shared" si="33"/>
        <v>0</v>
      </c>
      <c r="CH38" s="90">
        <f t="shared" si="34"/>
        <v>0</v>
      </c>
      <c r="CI38" s="171">
        <f t="shared" si="35"/>
        <v>0</v>
      </c>
      <c r="CJ38" s="170">
        <f t="shared" si="36"/>
        <v>0</v>
      </c>
      <c r="CK38" s="90">
        <f t="shared" si="37"/>
        <v>0</v>
      </c>
      <c r="CL38" s="171">
        <f t="shared" si="38"/>
        <v>0</v>
      </c>
      <c r="CM38" s="170">
        <f t="shared" si="39"/>
        <v>0</v>
      </c>
      <c r="CN38" s="90">
        <f t="shared" si="40"/>
        <v>0</v>
      </c>
      <c r="CO38" s="171">
        <f t="shared" si="41"/>
        <v>0</v>
      </c>
      <c r="CP38" s="170">
        <f t="shared" si="42"/>
        <v>0</v>
      </c>
      <c r="CQ38" s="90">
        <f t="shared" si="43"/>
        <v>0</v>
      </c>
      <c r="CR38" s="171">
        <f t="shared" si="44"/>
        <v>0</v>
      </c>
      <c r="CS38" s="170">
        <f t="shared" si="45"/>
        <v>0</v>
      </c>
      <c r="CT38" s="90">
        <f t="shared" si="46"/>
        <v>0</v>
      </c>
      <c r="CU38" s="171">
        <f t="shared" si="47"/>
        <v>0</v>
      </c>
      <c r="CV38" s="170">
        <f t="shared" si="48"/>
        <v>0</v>
      </c>
      <c r="CW38" s="90">
        <f t="shared" si="49"/>
        <v>0</v>
      </c>
      <c r="CX38" s="171">
        <f t="shared" si="50"/>
        <v>0</v>
      </c>
      <c r="CY38" s="170">
        <f t="shared" si="51"/>
        <v>0</v>
      </c>
      <c r="CZ38" s="168">
        <f t="shared" si="52"/>
        <v>0</v>
      </c>
      <c r="DA38" s="172">
        <f t="shared" si="54"/>
        <v>0</v>
      </c>
      <c r="DB38" s="173">
        <f t="shared" si="55"/>
        <v>0</v>
      </c>
      <c r="DC38" s="172">
        <f t="shared" si="60"/>
        <v>0</v>
      </c>
      <c r="DD38" s="172">
        <f t="shared" si="60"/>
        <v>0</v>
      </c>
      <c r="DE38" s="172">
        <f t="shared" si="60"/>
        <v>0</v>
      </c>
      <c r="DF38" s="172">
        <f t="shared" si="57"/>
        <v>0</v>
      </c>
      <c r="DG38" s="136"/>
      <c r="DH38" s="1"/>
      <c r="DI38" s="27"/>
      <c r="DJ38" s="8"/>
      <c r="DK38" s="8"/>
      <c r="DL38" s="7"/>
      <c r="DM38" s="7"/>
      <c r="DN38" s="7"/>
      <c r="DO38" s="7"/>
      <c r="DP38" s="7"/>
      <c r="DQ38" s="3"/>
      <c r="DR38" s="198" t="s">
        <v>179</v>
      </c>
      <c r="DS38" s="177">
        <v>0</v>
      </c>
      <c r="DT38" s="177">
        <v>0</v>
      </c>
      <c r="DU38" s="177">
        <v>0</v>
      </c>
      <c r="DV38" s="177">
        <v>0</v>
      </c>
      <c r="DW38" s="177">
        <v>0</v>
      </c>
      <c r="DX38" s="177">
        <v>0</v>
      </c>
      <c r="DY38" s="177">
        <v>0</v>
      </c>
      <c r="DZ38" s="177">
        <v>0</v>
      </c>
      <c r="EA38" s="177">
        <v>0</v>
      </c>
      <c r="EB38" s="177">
        <v>0</v>
      </c>
      <c r="EC38" s="177">
        <v>0</v>
      </c>
      <c r="ED38" s="177">
        <v>0</v>
      </c>
      <c r="EE38" s="177">
        <v>0</v>
      </c>
      <c r="EF38" s="130">
        <v>0</v>
      </c>
      <c r="EG38" s="177">
        <v>0</v>
      </c>
      <c r="EH38" s="161">
        <v>0</v>
      </c>
      <c r="EI38" s="177">
        <v>0</v>
      </c>
      <c r="EJ38" s="177">
        <v>0</v>
      </c>
      <c r="EK38" s="177">
        <v>0</v>
      </c>
      <c r="EL38" s="177">
        <v>0</v>
      </c>
      <c r="EM38" s="177">
        <v>0</v>
      </c>
      <c r="EN38" s="177">
        <v>0</v>
      </c>
      <c r="EO38" s="177">
        <v>0</v>
      </c>
      <c r="EP38" s="130">
        <v>0</v>
      </c>
      <c r="EQ38" s="177">
        <v>0</v>
      </c>
      <c r="ER38" s="177">
        <v>0</v>
      </c>
      <c r="ES38" s="177">
        <v>1</v>
      </c>
      <c r="ET38" s="177">
        <v>1</v>
      </c>
      <c r="EU38" s="161">
        <v>0</v>
      </c>
      <c r="EV38" s="130">
        <v>0</v>
      </c>
      <c r="EW38" s="187">
        <v>0.2</v>
      </c>
      <c r="EX38" s="132">
        <v>0.2</v>
      </c>
      <c r="EY38" s="7"/>
      <c r="EZ38" s="27"/>
      <c r="FA38" s="27"/>
    </row>
    <row r="39" spans="1:157" s="566" customFormat="1" ht="21" customHeight="1">
      <c r="A39" s="197"/>
      <c r="B39" s="22"/>
      <c r="C39" s="194" t="s">
        <v>180</v>
      </c>
      <c r="D39" s="195">
        <f>IFERROR(VLOOKUP($D$31,'Rainfall data'!$B$3:$O$33,'Potable Water Calculator'!O41,FALSE),"")</f>
        <v>54</v>
      </c>
      <c r="E39" s="195">
        <f>IFERROR(VLOOKUP($D$31,'Rainfall data'!$B$44:$P$74,'Potable Water Calculator'!O41,FALSE),"")</f>
        <v>7</v>
      </c>
      <c r="F39" s="3"/>
      <c r="G39" s="3"/>
      <c r="H39" s="3"/>
      <c r="I39" s="27"/>
      <c r="J39" s="27"/>
      <c r="K39" s="27"/>
      <c r="L39" s="3"/>
      <c r="M39" s="3"/>
      <c r="N39" s="71"/>
      <c r="O39" s="71">
        <v>4</v>
      </c>
      <c r="P39" s="14"/>
      <c r="Q39" s="14"/>
      <c r="R39" s="193">
        <v>6</v>
      </c>
      <c r="S39" s="193" t="s">
        <v>181</v>
      </c>
      <c r="T39" s="196">
        <f t="shared" ref="T39:AE39" si="62">T36-(T37*(7-$R39))</f>
        <v>26</v>
      </c>
      <c r="U39" s="196">
        <f t="shared" si="62"/>
        <v>24</v>
      </c>
      <c r="V39" s="196">
        <f t="shared" si="62"/>
        <v>27</v>
      </c>
      <c r="W39" s="196">
        <f t="shared" si="62"/>
        <v>26</v>
      </c>
      <c r="X39" s="196">
        <f t="shared" si="62"/>
        <v>26</v>
      </c>
      <c r="Y39" s="196">
        <f t="shared" si="62"/>
        <v>26</v>
      </c>
      <c r="Z39" s="196">
        <f t="shared" si="62"/>
        <v>26</v>
      </c>
      <c r="AA39" s="196">
        <f t="shared" si="62"/>
        <v>27</v>
      </c>
      <c r="AB39" s="196">
        <f t="shared" si="62"/>
        <v>26</v>
      </c>
      <c r="AC39" s="196">
        <f t="shared" si="62"/>
        <v>26</v>
      </c>
      <c r="AD39" s="196">
        <f t="shared" si="62"/>
        <v>26</v>
      </c>
      <c r="AE39" s="196">
        <f t="shared" si="62"/>
        <v>27</v>
      </c>
      <c r="AF39" s="196">
        <f>SUM(T39:AE39)</f>
        <v>313</v>
      </c>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45"/>
      <c r="BE39" s="165" t="s">
        <v>11</v>
      </c>
      <c r="BF39" s="23">
        <v>21</v>
      </c>
      <c r="BG39" s="23">
        <v>20</v>
      </c>
      <c r="BH39" s="23">
        <v>3</v>
      </c>
      <c r="BI39" s="90" t="b">
        <f t="shared" si="53"/>
        <v>1</v>
      </c>
      <c r="BJ39" s="46" t="b">
        <f t="shared" si="58"/>
        <v>1</v>
      </c>
      <c r="BK39" s="166">
        <f t="shared" si="13"/>
        <v>7.3529411764705879</v>
      </c>
      <c r="BL39" s="175">
        <f>IF(SUM(BL$20:BL38,BK39)&gt;$BJ$4,0,BK39)</f>
        <v>7.3529411764705879</v>
      </c>
      <c r="BM39" s="23">
        <f t="shared" si="14"/>
        <v>0</v>
      </c>
      <c r="BN39" s="90">
        <f t="shared" si="15"/>
        <v>0</v>
      </c>
      <c r="BO39" s="24">
        <f t="shared" si="59"/>
        <v>0</v>
      </c>
      <c r="BP39" s="168">
        <f t="shared" si="16"/>
        <v>0</v>
      </c>
      <c r="BQ39" s="171">
        <f t="shared" si="17"/>
        <v>0</v>
      </c>
      <c r="BR39" s="170">
        <f t="shared" si="18"/>
        <v>0</v>
      </c>
      <c r="BS39" s="168">
        <f t="shared" si="19"/>
        <v>0</v>
      </c>
      <c r="BT39" s="171">
        <f t="shared" si="20"/>
        <v>0</v>
      </c>
      <c r="BU39" s="170">
        <f t="shared" si="21"/>
        <v>0</v>
      </c>
      <c r="BV39" s="168">
        <f t="shared" si="22"/>
        <v>0</v>
      </c>
      <c r="BW39" s="171">
        <f t="shared" si="23"/>
        <v>0</v>
      </c>
      <c r="BX39" s="170">
        <f t="shared" si="24"/>
        <v>0</v>
      </c>
      <c r="BY39" s="168">
        <f t="shared" si="25"/>
        <v>0</v>
      </c>
      <c r="BZ39" s="171">
        <f t="shared" si="26"/>
        <v>0</v>
      </c>
      <c r="CA39" s="170">
        <f t="shared" si="27"/>
        <v>0</v>
      </c>
      <c r="CB39" s="90">
        <f t="shared" si="28"/>
        <v>0</v>
      </c>
      <c r="CC39" s="171">
        <f t="shared" si="29"/>
        <v>0</v>
      </c>
      <c r="CD39" s="170">
        <f t="shared" si="30"/>
        <v>0</v>
      </c>
      <c r="CE39" s="90">
        <f t="shared" si="31"/>
        <v>0</v>
      </c>
      <c r="CF39" s="171">
        <f t="shared" si="32"/>
        <v>0</v>
      </c>
      <c r="CG39" s="170">
        <f t="shared" si="33"/>
        <v>0</v>
      </c>
      <c r="CH39" s="90">
        <f t="shared" si="34"/>
        <v>0</v>
      </c>
      <c r="CI39" s="171">
        <f t="shared" si="35"/>
        <v>0</v>
      </c>
      <c r="CJ39" s="170">
        <f t="shared" si="36"/>
        <v>0</v>
      </c>
      <c r="CK39" s="90">
        <f t="shared" si="37"/>
        <v>0</v>
      </c>
      <c r="CL39" s="171">
        <f t="shared" si="38"/>
        <v>0</v>
      </c>
      <c r="CM39" s="170">
        <f t="shared" si="39"/>
        <v>0</v>
      </c>
      <c r="CN39" s="90">
        <f t="shared" si="40"/>
        <v>0</v>
      </c>
      <c r="CO39" s="171">
        <f t="shared" si="41"/>
        <v>0</v>
      </c>
      <c r="CP39" s="170">
        <f t="shared" si="42"/>
        <v>0</v>
      </c>
      <c r="CQ39" s="90">
        <f t="shared" si="43"/>
        <v>0</v>
      </c>
      <c r="CR39" s="171">
        <f t="shared" si="44"/>
        <v>0</v>
      </c>
      <c r="CS39" s="170">
        <f t="shared" si="45"/>
        <v>0</v>
      </c>
      <c r="CT39" s="90">
        <f t="shared" si="46"/>
        <v>0</v>
      </c>
      <c r="CU39" s="171">
        <f t="shared" si="47"/>
        <v>0</v>
      </c>
      <c r="CV39" s="170">
        <f t="shared" si="48"/>
        <v>0</v>
      </c>
      <c r="CW39" s="90">
        <f t="shared" si="49"/>
        <v>0</v>
      </c>
      <c r="CX39" s="171">
        <f t="shared" si="50"/>
        <v>0</v>
      </c>
      <c r="CY39" s="170">
        <f t="shared" si="51"/>
        <v>0</v>
      </c>
      <c r="CZ39" s="168">
        <f t="shared" si="52"/>
        <v>0</v>
      </c>
      <c r="DA39" s="172">
        <f t="shared" si="54"/>
        <v>0</v>
      </c>
      <c r="DB39" s="173">
        <f t="shared" si="55"/>
        <v>0</v>
      </c>
      <c r="DC39" s="172">
        <f t="shared" si="60"/>
        <v>0</v>
      </c>
      <c r="DD39" s="172">
        <f t="shared" si="60"/>
        <v>0</v>
      </c>
      <c r="DE39" s="172">
        <f t="shared" si="60"/>
        <v>0</v>
      </c>
      <c r="DF39" s="172">
        <f t="shared" si="57"/>
        <v>0</v>
      </c>
      <c r="DG39" s="136"/>
      <c r="DH39" s="1"/>
      <c r="DI39" s="27"/>
      <c r="DJ39" s="7"/>
      <c r="DK39" s="7"/>
      <c r="DL39" s="7"/>
      <c r="DM39" s="7"/>
      <c r="DN39" s="7"/>
      <c r="DO39" s="7"/>
      <c r="DP39" s="7"/>
      <c r="DQ39" s="3"/>
      <c r="DR39" s="199" t="s">
        <v>182</v>
      </c>
      <c r="DS39" s="200">
        <f t="shared" ref="DS39:EX39" si="63">SUM(DS15:DS38)</f>
        <v>9.5000000000000018</v>
      </c>
      <c r="DT39" s="200">
        <f t="shared" si="63"/>
        <v>0.44999999999999996</v>
      </c>
      <c r="DU39" s="200">
        <f t="shared" si="63"/>
        <v>7.1</v>
      </c>
      <c r="DV39" s="200">
        <f t="shared" si="63"/>
        <v>7.1</v>
      </c>
      <c r="DW39" s="200">
        <f t="shared" si="63"/>
        <v>7.1</v>
      </c>
      <c r="DX39" s="200">
        <f t="shared" si="63"/>
        <v>0</v>
      </c>
      <c r="DY39" s="200">
        <f t="shared" si="63"/>
        <v>9.25</v>
      </c>
      <c r="DZ39" s="200">
        <f t="shared" si="63"/>
        <v>9.25</v>
      </c>
      <c r="EA39" s="200">
        <f t="shared" si="63"/>
        <v>3</v>
      </c>
      <c r="EB39" s="200">
        <f t="shared" si="63"/>
        <v>2</v>
      </c>
      <c r="EC39" s="200">
        <f t="shared" si="63"/>
        <v>8</v>
      </c>
      <c r="ED39" s="200">
        <f t="shared" si="63"/>
        <v>0</v>
      </c>
      <c r="EE39" s="200">
        <f t="shared" si="63"/>
        <v>9</v>
      </c>
      <c r="EF39" s="200">
        <f t="shared" si="63"/>
        <v>0</v>
      </c>
      <c r="EG39" s="200">
        <f t="shared" si="63"/>
        <v>7.1</v>
      </c>
      <c r="EH39" s="200">
        <f t="shared" si="63"/>
        <v>0</v>
      </c>
      <c r="EI39" s="200">
        <f t="shared" si="63"/>
        <v>7.1</v>
      </c>
      <c r="EJ39" s="200">
        <f t="shared" si="63"/>
        <v>0</v>
      </c>
      <c r="EK39" s="200">
        <f t="shared" si="63"/>
        <v>9</v>
      </c>
      <c r="EL39" s="200">
        <f t="shared" si="63"/>
        <v>9</v>
      </c>
      <c r="EM39" s="200">
        <f t="shared" si="63"/>
        <v>8</v>
      </c>
      <c r="EN39" s="200">
        <f t="shared" si="63"/>
        <v>0</v>
      </c>
      <c r="EO39" s="200">
        <f t="shared" si="63"/>
        <v>8</v>
      </c>
      <c r="EP39" s="200">
        <f t="shared" si="63"/>
        <v>0</v>
      </c>
      <c r="EQ39" s="200">
        <f t="shared" si="63"/>
        <v>8</v>
      </c>
      <c r="ER39" s="200">
        <f t="shared" si="63"/>
        <v>0</v>
      </c>
      <c r="ES39" s="200">
        <f t="shared" ref="ES39:ET39" si="64">SUM(ES15:ES38)</f>
        <v>10.25</v>
      </c>
      <c r="ET39" s="200">
        <f t="shared" si="64"/>
        <v>10.25</v>
      </c>
      <c r="EU39" s="200">
        <f t="shared" si="63"/>
        <v>7.25</v>
      </c>
      <c r="EV39" s="200">
        <f t="shared" si="63"/>
        <v>14</v>
      </c>
      <c r="EW39" s="200">
        <f t="shared" si="63"/>
        <v>11.899999999999995</v>
      </c>
      <c r="EX39" s="200">
        <f t="shared" si="63"/>
        <v>4.8000000000000016</v>
      </c>
      <c r="EY39" s="7"/>
      <c r="EZ39" s="27"/>
      <c r="FA39" s="27"/>
    </row>
    <row r="40" spans="1:157" s="566" customFormat="1" ht="18" customHeight="1">
      <c r="A40" s="197"/>
      <c r="B40" s="22"/>
      <c r="C40" s="194" t="s">
        <v>15</v>
      </c>
      <c r="D40" s="195">
        <f>IFERROR(VLOOKUP($D$31,'Rainfall data'!$B$3:$O$33,'Potable Water Calculator'!O42,FALSE),"")</f>
        <v>13</v>
      </c>
      <c r="E40" s="195">
        <f>IFERROR(VLOOKUP($D$31,'Rainfall data'!$B$44:$P$74,'Potable Water Calculator'!O42,FALSE),"")</f>
        <v>2</v>
      </c>
      <c r="F40" s="3"/>
      <c r="G40" s="3"/>
      <c r="H40" s="3"/>
      <c r="I40" s="27"/>
      <c r="J40" s="27"/>
      <c r="K40" s="27"/>
      <c r="L40" s="3"/>
      <c r="M40" s="3"/>
      <c r="N40" s="71"/>
      <c r="O40" s="71">
        <v>5</v>
      </c>
      <c r="P40" s="14"/>
      <c r="Q40" s="14"/>
      <c r="R40" s="193">
        <v>7</v>
      </c>
      <c r="S40" s="193" t="s">
        <v>183</v>
      </c>
      <c r="T40" s="196">
        <f t="shared" ref="T40:AE40" si="65">T36-(T37*(7-$R40))</f>
        <v>31</v>
      </c>
      <c r="U40" s="196">
        <f t="shared" si="65"/>
        <v>28</v>
      </c>
      <c r="V40" s="196">
        <f t="shared" si="65"/>
        <v>31</v>
      </c>
      <c r="W40" s="196">
        <f t="shared" si="65"/>
        <v>30</v>
      </c>
      <c r="X40" s="196">
        <f t="shared" si="65"/>
        <v>31</v>
      </c>
      <c r="Y40" s="196">
        <f t="shared" si="65"/>
        <v>30</v>
      </c>
      <c r="Z40" s="196">
        <f t="shared" si="65"/>
        <v>31</v>
      </c>
      <c r="AA40" s="196">
        <f t="shared" si="65"/>
        <v>31</v>
      </c>
      <c r="AB40" s="196">
        <f t="shared" si="65"/>
        <v>30</v>
      </c>
      <c r="AC40" s="196">
        <f t="shared" si="65"/>
        <v>31</v>
      </c>
      <c r="AD40" s="196">
        <f t="shared" si="65"/>
        <v>30</v>
      </c>
      <c r="AE40" s="196">
        <f t="shared" si="65"/>
        <v>31</v>
      </c>
      <c r="AF40" s="196">
        <f>SUM(T40:AE40)</f>
        <v>365</v>
      </c>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45"/>
      <c r="BE40" s="165" t="s">
        <v>11</v>
      </c>
      <c r="BF40" s="23">
        <v>21</v>
      </c>
      <c r="BG40" s="23">
        <v>21</v>
      </c>
      <c r="BH40" s="23">
        <v>4</v>
      </c>
      <c r="BI40" s="90" t="b">
        <f t="shared" si="53"/>
        <v>1</v>
      </c>
      <c r="BJ40" s="46" t="b">
        <f t="shared" si="58"/>
        <v>0</v>
      </c>
      <c r="BK40" s="166">
        <f t="shared" si="13"/>
        <v>0</v>
      </c>
      <c r="BL40" s="175">
        <f>IF(SUM(BL$20:BL39,BK40)&gt;$BJ$4,0,BK40)</f>
        <v>0</v>
      </c>
      <c r="BM40" s="23">
        <f t="shared" si="14"/>
        <v>0</v>
      </c>
      <c r="BN40" s="90">
        <f t="shared" si="15"/>
        <v>0</v>
      </c>
      <c r="BO40" s="24">
        <f t="shared" si="59"/>
        <v>0</v>
      </c>
      <c r="BP40" s="168">
        <f t="shared" si="16"/>
        <v>0</v>
      </c>
      <c r="BQ40" s="171">
        <f t="shared" si="17"/>
        <v>0</v>
      </c>
      <c r="BR40" s="170">
        <f t="shared" si="18"/>
        <v>0</v>
      </c>
      <c r="BS40" s="168">
        <f t="shared" si="19"/>
        <v>0</v>
      </c>
      <c r="BT40" s="171">
        <f t="shared" si="20"/>
        <v>0</v>
      </c>
      <c r="BU40" s="170">
        <f t="shared" si="21"/>
        <v>0</v>
      </c>
      <c r="BV40" s="168">
        <f t="shared" si="22"/>
        <v>0</v>
      </c>
      <c r="BW40" s="171">
        <f t="shared" si="23"/>
        <v>0</v>
      </c>
      <c r="BX40" s="170">
        <f t="shared" si="24"/>
        <v>0</v>
      </c>
      <c r="BY40" s="168">
        <f t="shared" si="25"/>
        <v>0</v>
      </c>
      <c r="BZ40" s="171">
        <f t="shared" si="26"/>
        <v>0</v>
      </c>
      <c r="CA40" s="170">
        <f t="shared" si="27"/>
        <v>0</v>
      </c>
      <c r="CB40" s="90">
        <f t="shared" si="28"/>
        <v>0</v>
      </c>
      <c r="CC40" s="171">
        <f t="shared" si="29"/>
        <v>0</v>
      </c>
      <c r="CD40" s="170">
        <f t="shared" si="30"/>
        <v>0</v>
      </c>
      <c r="CE40" s="90">
        <f t="shared" si="31"/>
        <v>0</v>
      </c>
      <c r="CF40" s="171">
        <f t="shared" si="32"/>
        <v>0</v>
      </c>
      <c r="CG40" s="170">
        <f t="shared" si="33"/>
        <v>0</v>
      </c>
      <c r="CH40" s="90">
        <f t="shared" si="34"/>
        <v>0</v>
      </c>
      <c r="CI40" s="171">
        <f t="shared" si="35"/>
        <v>0</v>
      </c>
      <c r="CJ40" s="170">
        <f t="shared" si="36"/>
        <v>0</v>
      </c>
      <c r="CK40" s="90">
        <f t="shared" si="37"/>
        <v>0</v>
      </c>
      <c r="CL40" s="171">
        <f t="shared" si="38"/>
        <v>0</v>
      </c>
      <c r="CM40" s="170">
        <f t="shared" si="39"/>
        <v>0</v>
      </c>
      <c r="CN40" s="90">
        <f t="shared" si="40"/>
        <v>0</v>
      </c>
      <c r="CO40" s="171">
        <f t="shared" si="41"/>
        <v>0</v>
      </c>
      <c r="CP40" s="170">
        <f t="shared" si="42"/>
        <v>0</v>
      </c>
      <c r="CQ40" s="90">
        <f t="shared" si="43"/>
        <v>0</v>
      </c>
      <c r="CR40" s="171">
        <f t="shared" si="44"/>
        <v>0</v>
      </c>
      <c r="CS40" s="170">
        <f t="shared" si="45"/>
        <v>0</v>
      </c>
      <c r="CT40" s="90">
        <f t="shared" si="46"/>
        <v>0</v>
      </c>
      <c r="CU40" s="171">
        <f t="shared" si="47"/>
        <v>0</v>
      </c>
      <c r="CV40" s="170">
        <f t="shared" si="48"/>
        <v>0</v>
      </c>
      <c r="CW40" s="90">
        <f t="shared" si="49"/>
        <v>0</v>
      </c>
      <c r="CX40" s="171">
        <f t="shared" si="50"/>
        <v>0</v>
      </c>
      <c r="CY40" s="170">
        <f t="shared" si="51"/>
        <v>0</v>
      </c>
      <c r="CZ40" s="168">
        <f t="shared" si="52"/>
        <v>0</v>
      </c>
      <c r="DA40" s="172">
        <f t="shared" si="54"/>
        <v>0</v>
      </c>
      <c r="DB40" s="173">
        <f t="shared" si="55"/>
        <v>0</v>
      </c>
      <c r="DC40" s="172">
        <f t="shared" si="60"/>
        <v>0</v>
      </c>
      <c r="DD40" s="172">
        <f t="shared" si="60"/>
        <v>0</v>
      </c>
      <c r="DE40" s="172">
        <f t="shared" si="60"/>
        <v>0</v>
      </c>
      <c r="DF40" s="172">
        <f t="shared" si="57"/>
        <v>0</v>
      </c>
      <c r="DG40" s="136"/>
      <c r="DH40" s="1"/>
      <c r="DI40" s="27"/>
      <c r="DJ40" s="7"/>
      <c r="DK40" s="7"/>
      <c r="DL40" s="7"/>
      <c r="DM40" s="7"/>
      <c r="DN40" s="7"/>
      <c r="DO40" s="7"/>
      <c r="DP40" s="7"/>
      <c r="DQ40" s="3"/>
      <c r="DR40" s="199" t="s">
        <v>184</v>
      </c>
      <c r="DS40" s="201">
        <f t="shared" ref="DS40:EX40" si="66">MAX(DS15:DS38)</f>
        <v>1</v>
      </c>
      <c r="DT40" s="201">
        <f t="shared" si="66"/>
        <v>0.05</v>
      </c>
      <c r="DU40" s="201">
        <f t="shared" si="66"/>
        <v>1</v>
      </c>
      <c r="DV40" s="201">
        <f t="shared" si="66"/>
        <v>1</v>
      </c>
      <c r="DW40" s="201">
        <f t="shared" si="66"/>
        <v>1</v>
      </c>
      <c r="DX40" s="201">
        <f t="shared" si="66"/>
        <v>0</v>
      </c>
      <c r="DY40" s="201">
        <f t="shared" si="66"/>
        <v>1</v>
      </c>
      <c r="DZ40" s="201">
        <f t="shared" si="66"/>
        <v>1</v>
      </c>
      <c r="EA40" s="201">
        <f t="shared" si="66"/>
        <v>1</v>
      </c>
      <c r="EB40" s="201">
        <f t="shared" si="66"/>
        <v>0.25</v>
      </c>
      <c r="EC40" s="201">
        <f t="shared" si="66"/>
        <v>1</v>
      </c>
      <c r="ED40" s="201">
        <f t="shared" si="66"/>
        <v>0</v>
      </c>
      <c r="EE40" s="201">
        <f t="shared" si="66"/>
        <v>1</v>
      </c>
      <c r="EF40" s="201">
        <f t="shared" si="66"/>
        <v>0</v>
      </c>
      <c r="EG40" s="201">
        <f t="shared" si="66"/>
        <v>1</v>
      </c>
      <c r="EH40" s="201">
        <f t="shared" si="66"/>
        <v>0</v>
      </c>
      <c r="EI40" s="201">
        <f t="shared" si="66"/>
        <v>1</v>
      </c>
      <c r="EJ40" s="201">
        <f t="shared" si="66"/>
        <v>0</v>
      </c>
      <c r="EK40" s="201">
        <f t="shared" si="66"/>
        <v>1</v>
      </c>
      <c r="EL40" s="201">
        <f t="shared" si="66"/>
        <v>1</v>
      </c>
      <c r="EM40" s="201">
        <f t="shared" si="66"/>
        <v>1</v>
      </c>
      <c r="EN40" s="201">
        <f t="shared" si="66"/>
        <v>0</v>
      </c>
      <c r="EO40" s="201">
        <f t="shared" si="66"/>
        <v>1</v>
      </c>
      <c r="EP40" s="201">
        <f t="shared" si="66"/>
        <v>0</v>
      </c>
      <c r="EQ40" s="201">
        <f t="shared" si="66"/>
        <v>1</v>
      </c>
      <c r="ER40" s="201">
        <f t="shared" si="66"/>
        <v>0</v>
      </c>
      <c r="ES40" s="201">
        <f t="shared" ref="ES40:ET40" si="67">MAX(ES15:ES38)</f>
        <v>1</v>
      </c>
      <c r="ET40" s="201">
        <f t="shared" si="67"/>
        <v>1</v>
      </c>
      <c r="EU40" s="201">
        <f t="shared" si="66"/>
        <v>1</v>
      </c>
      <c r="EV40" s="201">
        <f t="shared" si="66"/>
        <v>1</v>
      </c>
      <c r="EW40" s="201">
        <f t="shared" si="66"/>
        <v>1</v>
      </c>
      <c r="EX40" s="201">
        <f t="shared" si="66"/>
        <v>0.2</v>
      </c>
      <c r="EY40" s="7"/>
      <c r="EZ40" s="27"/>
      <c r="FA40" s="27"/>
    </row>
    <row r="41" spans="1:157" s="566" customFormat="1" ht="17.25" customHeight="1">
      <c r="A41" s="197"/>
      <c r="B41" s="22"/>
      <c r="C41" s="194" t="s">
        <v>185</v>
      </c>
      <c r="D41" s="195">
        <f>IFERROR(VLOOKUP($D$31,'Rainfall data'!$B$3:$O$33,'Potable Water Calculator'!O43,FALSE),"")</f>
        <v>9</v>
      </c>
      <c r="E41" s="195">
        <f>IFERROR(VLOOKUP($D$31,'Rainfall data'!$B$44:$P$74,'Potable Water Calculator'!O43,FALSE),"")</f>
        <v>1</v>
      </c>
      <c r="F41" s="3"/>
      <c r="G41" s="3"/>
      <c r="H41" s="3"/>
      <c r="I41" s="27"/>
      <c r="J41" s="27"/>
      <c r="K41" s="27"/>
      <c r="L41" s="3"/>
      <c r="M41" s="3"/>
      <c r="N41" s="71"/>
      <c r="O41" s="71">
        <v>6</v>
      </c>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45"/>
      <c r="BE41" s="165" t="s">
        <v>11</v>
      </c>
      <c r="BF41" s="23">
        <v>21</v>
      </c>
      <c r="BG41" s="23">
        <v>22</v>
      </c>
      <c r="BH41" s="23">
        <v>5</v>
      </c>
      <c r="BI41" s="90" t="b">
        <f t="shared" si="53"/>
        <v>1</v>
      </c>
      <c r="BJ41" s="46" t="b">
        <f t="shared" si="58"/>
        <v>1</v>
      </c>
      <c r="BK41" s="166">
        <f t="shared" si="13"/>
        <v>7.3529411764705879</v>
      </c>
      <c r="BL41" s="175">
        <f>IF(SUM(BL$20:BL40,BK41)&gt;$BJ$4,0,BK41)</f>
        <v>7.3529411764705879</v>
      </c>
      <c r="BM41" s="23">
        <f t="shared" si="14"/>
        <v>0</v>
      </c>
      <c r="BN41" s="90">
        <f t="shared" si="15"/>
        <v>0</v>
      </c>
      <c r="BO41" s="24">
        <f t="shared" si="59"/>
        <v>0</v>
      </c>
      <c r="BP41" s="168">
        <f t="shared" si="16"/>
        <v>0</v>
      </c>
      <c r="BQ41" s="171">
        <f t="shared" si="17"/>
        <v>0</v>
      </c>
      <c r="BR41" s="170">
        <f t="shared" si="18"/>
        <v>0</v>
      </c>
      <c r="BS41" s="168">
        <f t="shared" si="19"/>
        <v>0</v>
      </c>
      <c r="BT41" s="171">
        <f t="shared" si="20"/>
        <v>0</v>
      </c>
      <c r="BU41" s="170">
        <f t="shared" si="21"/>
        <v>0</v>
      </c>
      <c r="BV41" s="168">
        <f t="shared" si="22"/>
        <v>0</v>
      </c>
      <c r="BW41" s="171">
        <f t="shared" si="23"/>
        <v>0</v>
      </c>
      <c r="BX41" s="170">
        <f t="shared" si="24"/>
        <v>0</v>
      </c>
      <c r="BY41" s="168">
        <f t="shared" si="25"/>
        <v>0</v>
      </c>
      <c r="BZ41" s="171">
        <f t="shared" si="26"/>
        <v>0</v>
      </c>
      <c r="CA41" s="170">
        <f t="shared" si="27"/>
        <v>0</v>
      </c>
      <c r="CB41" s="90">
        <f t="shared" si="28"/>
        <v>0</v>
      </c>
      <c r="CC41" s="171">
        <f t="shared" si="29"/>
        <v>0</v>
      </c>
      <c r="CD41" s="170">
        <f t="shared" si="30"/>
        <v>0</v>
      </c>
      <c r="CE41" s="90">
        <f t="shared" si="31"/>
        <v>0</v>
      </c>
      <c r="CF41" s="171">
        <f t="shared" si="32"/>
        <v>0</v>
      </c>
      <c r="CG41" s="170">
        <f t="shared" si="33"/>
        <v>0</v>
      </c>
      <c r="CH41" s="90">
        <f t="shared" si="34"/>
        <v>0</v>
      </c>
      <c r="CI41" s="171">
        <f t="shared" si="35"/>
        <v>0</v>
      </c>
      <c r="CJ41" s="170">
        <f t="shared" si="36"/>
        <v>0</v>
      </c>
      <c r="CK41" s="90">
        <f t="shared" si="37"/>
        <v>0</v>
      </c>
      <c r="CL41" s="171">
        <f t="shared" si="38"/>
        <v>0</v>
      </c>
      <c r="CM41" s="170">
        <f t="shared" si="39"/>
        <v>0</v>
      </c>
      <c r="CN41" s="90">
        <f t="shared" si="40"/>
        <v>0</v>
      </c>
      <c r="CO41" s="171">
        <f t="shared" si="41"/>
        <v>0</v>
      </c>
      <c r="CP41" s="170">
        <f t="shared" si="42"/>
        <v>0</v>
      </c>
      <c r="CQ41" s="90">
        <f t="shared" si="43"/>
        <v>0</v>
      </c>
      <c r="CR41" s="171">
        <f t="shared" si="44"/>
        <v>0</v>
      </c>
      <c r="CS41" s="170">
        <f t="shared" si="45"/>
        <v>0</v>
      </c>
      <c r="CT41" s="90">
        <f t="shared" si="46"/>
        <v>0</v>
      </c>
      <c r="CU41" s="171">
        <f t="shared" si="47"/>
        <v>0</v>
      </c>
      <c r="CV41" s="170">
        <f t="shared" si="48"/>
        <v>0</v>
      </c>
      <c r="CW41" s="90">
        <f t="shared" si="49"/>
        <v>0</v>
      </c>
      <c r="CX41" s="171">
        <f t="shared" si="50"/>
        <v>0</v>
      </c>
      <c r="CY41" s="170">
        <f t="shared" si="51"/>
        <v>0</v>
      </c>
      <c r="CZ41" s="168">
        <f t="shared" si="52"/>
        <v>0</v>
      </c>
      <c r="DA41" s="172">
        <f t="shared" si="54"/>
        <v>0</v>
      </c>
      <c r="DB41" s="173">
        <f t="shared" si="55"/>
        <v>0</v>
      </c>
      <c r="DC41" s="172">
        <f t="shared" si="60"/>
        <v>0</v>
      </c>
      <c r="DD41" s="172">
        <f t="shared" si="60"/>
        <v>0</v>
      </c>
      <c r="DE41" s="172">
        <f t="shared" si="60"/>
        <v>0</v>
      </c>
      <c r="DF41" s="172">
        <f t="shared" si="57"/>
        <v>0</v>
      </c>
      <c r="DG41" s="136"/>
      <c r="DH41" s="1"/>
      <c r="DI41" s="27"/>
      <c r="DJ41" s="7"/>
      <c r="DK41" s="7"/>
      <c r="DL41" s="7"/>
      <c r="DM41" s="7"/>
      <c r="DN41" s="7"/>
      <c r="DO41" s="7"/>
      <c r="DP41" s="7"/>
      <c r="DQ41" s="3"/>
      <c r="DR41" s="8"/>
      <c r="DS41" s="8"/>
      <c r="DT41" s="8"/>
      <c r="DU41" s="8"/>
      <c r="DV41" s="8"/>
      <c r="DW41" s="8"/>
      <c r="DX41" s="8"/>
      <c r="DY41" s="8"/>
      <c r="DZ41" s="8"/>
      <c r="EA41" s="8"/>
      <c r="EB41" s="8"/>
      <c r="EC41" s="8"/>
      <c r="ED41" s="8"/>
      <c r="EE41" s="8"/>
      <c r="EF41" s="8"/>
      <c r="EG41" s="7"/>
      <c r="EH41" s="7"/>
      <c r="EI41" s="7"/>
      <c r="EJ41" s="7"/>
      <c r="EK41" s="7"/>
      <c r="EL41" s="7"/>
      <c r="EM41" s="7"/>
      <c r="EN41" s="7"/>
      <c r="EO41" s="7"/>
      <c r="EP41" s="7"/>
      <c r="EQ41" s="7"/>
      <c r="ER41" s="7"/>
      <c r="ES41" s="7"/>
      <c r="ET41" s="7"/>
      <c r="EU41" s="7"/>
      <c r="EV41" s="7"/>
      <c r="EW41" s="7"/>
      <c r="EX41" s="7"/>
      <c r="EY41" s="7"/>
      <c r="EZ41" s="51"/>
      <c r="FA41" s="51"/>
    </row>
    <row r="42" spans="1:157" s="566" customFormat="1" ht="17.25" customHeight="1">
      <c r="A42" s="197"/>
      <c r="B42" s="22"/>
      <c r="C42" s="194" t="s">
        <v>186</v>
      </c>
      <c r="D42" s="195">
        <f>IFERROR(VLOOKUP($D$31,'Rainfall data'!$B$3:$O$33,'Potable Water Calculator'!O44,FALSE),"")</f>
        <v>4</v>
      </c>
      <c r="E42" s="195">
        <f>IFERROR(VLOOKUP($D$31,'Rainfall data'!$B$44:$P$74,'Potable Water Calculator'!O44,FALSE),"")</f>
        <v>1</v>
      </c>
      <c r="F42" s="3"/>
      <c r="G42" s="3"/>
      <c r="H42" s="3"/>
      <c r="I42" s="27"/>
      <c r="J42" s="27"/>
      <c r="K42" s="27"/>
      <c r="L42" s="3"/>
      <c r="M42" s="3"/>
      <c r="N42" s="71"/>
      <c r="O42" s="71">
        <v>7</v>
      </c>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45"/>
      <c r="BE42" s="165" t="s">
        <v>11</v>
      </c>
      <c r="BF42" s="23">
        <v>21</v>
      </c>
      <c r="BG42" s="23">
        <v>23</v>
      </c>
      <c r="BH42" s="23">
        <v>6</v>
      </c>
      <c r="BI42" s="90" t="b">
        <f t="shared" si="53"/>
        <v>0</v>
      </c>
      <c r="BJ42" s="46" t="b">
        <f t="shared" si="58"/>
        <v>0</v>
      </c>
      <c r="BK42" s="166">
        <f t="shared" si="13"/>
        <v>0</v>
      </c>
      <c r="BL42" s="175">
        <f>IF(SUM(BL$20:BL41,BK42)&gt;$BJ$4,0,BK42)</f>
        <v>0</v>
      </c>
      <c r="BM42" s="23">
        <f t="shared" si="14"/>
        <v>0</v>
      </c>
      <c r="BN42" s="90">
        <f t="shared" si="15"/>
        <v>0</v>
      </c>
      <c r="BO42" s="24">
        <f t="shared" si="59"/>
        <v>0</v>
      </c>
      <c r="BP42" s="168">
        <f t="shared" si="16"/>
        <v>0</v>
      </c>
      <c r="BQ42" s="171">
        <f t="shared" si="17"/>
        <v>0</v>
      </c>
      <c r="BR42" s="170">
        <f t="shared" si="18"/>
        <v>0</v>
      </c>
      <c r="BS42" s="168">
        <f t="shared" si="19"/>
        <v>0</v>
      </c>
      <c r="BT42" s="171">
        <f t="shared" si="20"/>
        <v>0</v>
      </c>
      <c r="BU42" s="170">
        <f t="shared" si="21"/>
        <v>0</v>
      </c>
      <c r="BV42" s="168">
        <f t="shared" si="22"/>
        <v>0</v>
      </c>
      <c r="BW42" s="171">
        <f t="shared" si="23"/>
        <v>0</v>
      </c>
      <c r="BX42" s="170">
        <f t="shared" si="24"/>
        <v>0</v>
      </c>
      <c r="BY42" s="168">
        <f t="shared" si="25"/>
        <v>0</v>
      </c>
      <c r="BZ42" s="171">
        <f t="shared" si="26"/>
        <v>0</v>
      </c>
      <c r="CA42" s="170">
        <f t="shared" si="27"/>
        <v>0</v>
      </c>
      <c r="CB42" s="90">
        <f t="shared" si="28"/>
        <v>0</v>
      </c>
      <c r="CC42" s="171">
        <f t="shared" si="29"/>
        <v>0</v>
      </c>
      <c r="CD42" s="170">
        <f t="shared" si="30"/>
        <v>0</v>
      </c>
      <c r="CE42" s="90">
        <f t="shared" si="31"/>
        <v>0</v>
      </c>
      <c r="CF42" s="171">
        <f t="shared" si="32"/>
        <v>0</v>
      </c>
      <c r="CG42" s="170">
        <f t="shared" si="33"/>
        <v>0</v>
      </c>
      <c r="CH42" s="90">
        <f t="shared" si="34"/>
        <v>0</v>
      </c>
      <c r="CI42" s="171">
        <f t="shared" si="35"/>
        <v>0</v>
      </c>
      <c r="CJ42" s="170">
        <f t="shared" si="36"/>
        <v>0</v>
      </c>
      <c r="CK42" s="90">
        <f t="shared" si="37"/>
        <v>0</v>
      </c>
      <c r="CL42" s="171">
        <f t="shared" si="38"/>
        <v>0</v>
      </c>
      <c r="CM42" s="170">
        <f t="shared" si="39"/>
        <v>0</v>
      </c>
      <c r="CN42" s="90">
        <f t="shared" si="40"/>
        <v>0</v>
      </c>
      <c r="CO42" s="171">
        <f t="shared" si="41"/>
        <v>0</v>
      </c>
      <c r="CP42" s="170">
        <f t="shared" si="42"/>
        <v>0</v>
      </c>
      <c r="CQ42" s="90">
        <f t="shared" si="43"/>
        <v>0</v>
      </c>
      <c r="CR42" s="171">
        <f t="shared" si="44"/>
        <v>0</v>
      </c>
      <c r="CS42" s="170">
        <f t="shared" si="45"/>
        <v>0</v>
      </c>
      <c r="CT42" s="90">
        <f t="shared" si="46"/>
        <v>0</v>
      </c>
      <c r="CU42" s="171">
        <f t="shared" si="47"/>
        <v>0</v>
      </c>
      <c r="CV42" s="170">
        <f t="shared" si="48"/>
        <v>0</v>
      </c>
      <c r="CW42" s="90">
        <f t="shared" si="49"/>
        <v>0</v>
      </c>
      <c r="CX42" s="171">
        <f t="shared" si="50"/>
        <v>0</v>
      </c>
      <c r="CY42" s="170">
        <f t="shared" si="51"/>
        <v>0</v>
      </c>
      <c r="CZ42" s="168">
        <f t="shared" si="52"/>
        <v>0</v>
      </c>
      <c r="DA42" s="172">
        <f t="shared" si="54"/>
        <v>0</v>
      </c>
      <c r="DB42" s="173">
        <f t="shared" si="55"/>
        <v>0</v>
      </c>
      <c r="DC42" s="172">
        <f t="shared" si="60"/>
        <v>0</v>
      </c>
      <c r="DD42" s="172">
        <f t="shared" si="60"/>
        <v>0</v>
      </c>
      <c r="DE42" s="172">
        <f t="shared" si="60"/>
        <v>0</v>
      </c>
      <c r="DF42" s="172">
        <f t="shared" si="57"/>
        <v>0</v>
      </c>
      <c r="DG42" s="136"/>
      <c r="DH42" s="1"/>
      <c r="DI42" s="27"/>
      <c r="DJ42" s="7"/>
      <c r="DK42" s="7"/>
      <c r="DL42" s="7"/>
      <c r="DM42" s="7"/>
      <c r="DN42" s="7"/>
      <c r="DO42" s="7"/>
      <c r="DP42" s="7"/>
      <c r="DQ42" s="3"/>
      <c r="DR42" s="8"/>
      <c r="DS42" s="8"/>
      <c r="DT42" s="8"/>
      <c r="DU42" s="8"/>
      <c r="DV42" s="8"/>
      <c r="DW42" s="8"/>
      <c r="DX42" s="8"/>
      <c r="DY42" s="8"/>
      <c r="DZ42" s="8"/>
      <c r="EA42" s="8"/>
      <c r="EB42" s="8"/>
      <c r="EC42" s="8"/>
      <c r="ED42" s="8"/>
      <c r="EE42" s="8"/>
      <c r="EF42" s="8"/>
      <c r="EG42" s="7"/>
      <c r="EH42" s="7"/>
      <c r="EI42" s="7"/>
      <c r="EJ42" s="7"/>
      <c r="EK42" s="7"/>
      <c r="EL42" s="7"/>
      <c r="EM42" s="7"/>
      <c r="EN42" s="7"/>
      <c r="EO42" s="7"/>
      <c r="EP42" s="7"/>
      <c r="EQ42" s="7"/>
      <c r="ER42" s="7"/>
      <c r="ES42" s="7"/>
      <c r="ET42" s="7"/>
      <c r="EU42" s="7"/>
      <c r="EV42" s="7"/>
      <c r="EW42" s="7"/>
      <c r="EX42" s="7"/>
      <c r="EY42" s="7"/>
      <c r="EZ42" s="51"/>
      <c r="FA42" s="51"/>
    </row>
    <row r="43" spans="1:157" s="566" customFormat="1" ht="17.25" customHeight="1">
      <c r="A43" s="197"/>
      <c r="B43" s="22"/>
      <c r="C43" s="194" t="s">
        <v>187</v>
      </c>
      <c r="D43" s="195">
        <f>IFERROR(VLOOKUP($D$31,'Rainfall data'!$B$3:$O$33,'Potable Water Calculator'!O45,FALSE),"")</f>
        <v>6</v>
      </c>
      <c r="E43" s="195">
        <f>IFERROR(VLOOKUP($D$31,'Rainfall data'!$B$44:$P$74,'Potable Water Calculator'!O45,FALSE),"")</f>
        <v>1</v>
      </c>
      <c r="F43" s="3"/>
      <c r="G43" s="3"/>
      <c r="H43" s="3"/>
      <c r="I43" s="27"/>
      <c r="J43" s="27"/>
      <c r="K43" s="27"/>
      <c r="L43" s="3"/>
      <c r="M43" s="3"/>
      <c r="N43" s="71"/>
      <c r="O43" s="71">
        <v>8</v>
      </c>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45"/>
      <c r="BE43" s="165" t="s">
        <v>11</v>
      </c>
      <c r="BF43" s="23">
        <v>21</v>
      </c>
      <c r="BG43" s="23">
        <v>24</v>
      </c>
      <c r="BH43" s="23">
        <v>7</v>
      </c>
      <c r="BI43" s="90" t="b">
        <f t="shared" si="53"/>
        <v>0</v>
      </c>
      <c r="BJ43" s="46" t="b">
        <f t="shared" si="58"/>
        <v>1</v>
      </c>
      <c r="BK43" s="166">
        <f t="shared" si="13"/>
        <v>7.3529411764705879</v>
      </c>
      <c r="BL43" s="175">
        <f>IF(SUM(BL$20:BL42,BK43)&gt;$BJ$4,0,BK43)</f>
        <v>7.3529411764705879</v>
      </c>
      <c r="BM43" s="23">
        <f t="shared" si="14"/>
        <v>0</v>
      </c>
      <c r="BN43" s="90">
        <f t="shared" si="15"/>
        <v>0</v>
      </c>
      <c r="BO43" s="24">
        <f t="shared" si="59"/>
        <v>0</v>
      </c>
      <c r="BP43" s="168">
        <f t="shared" si="16"/>
        <v>0</v>
      </c>
      <c r="BQ43" s="171">
        <f t="shared" si="17"/>
        <v>0</v>
      </c>
      <c r="BR43" s="170">
        <f t="shared" si="18"/>
        <v>0</v>
      </c>
      <c r="BS43" s="168">
        <f t="shared" si="19"/>
        <v>0</v>
      </c>
      <c r="BT43" s="171">
        <f t="shared" si="20"/>
        <v>0</v>
      </c>
      <c r="BU43" s="170">
        <f t="shared" si="21"/>
        <v>0</v>
      </c>
      <c r="BV43" s="168">
        <f t="shared" si="22"/>
        <v>0</v>
      </c>
      <c r="BW43" s="171">
        <f t="shared" si="23"/>
        <v>0</v>
      </c>
      <c r="BX43" s="170">
        <f t="shared" si="24"/>
        <v>0</v>
      </c>
      <c r="BY43" s="168">
        <f t="shared" si="25"/>
        <v>0</v>
      </c>
      <c r="BZ43" s="171">
        <f t="shared" si="26"/>
        <v>0</v>
      </c>
      <c r="CA43" s="170">
        <f t="shared" si="27"/>
        <v>0</v>
      </c>
      <c r="CB43" s="90">
        <f t="shared" si="28"/>
        <v>0</v>
      </c>
      <c r="CC43" s="171">
        <f t="shared" si="29"/>
        <v>0</v>
      </c>
      <c r="CD43" s="170">
        <f t="shared" si="30"/>
        <v>0</v>
      </c>
      <c r="CE43" s="90">
        <f t="shared" si="31"/>
        <v>0</v>
      </c>
      <c r="CF43" s="171">
        <f t="shared" si="32"/>
        <v>0</v>
      </c>
      <c r="CG43" s="170">
        <f t="shared" si="33"/>
        <v>0</v>
      </c>
      <c r="CH43" s="90">
        <f t="shared" si="34"/>
        <v>0</v>
      </c>
      <c r="CI43" s="171">
        <f t="shared" si="35"/>
        <v>0</v>
      </c>
      <c r="CJ43" s="170">
        <f t="shared" si="36"/>
        <v>0</v>
      </c>
      <c r="CK43" s="90">
        <f t="shared" si="37"/>
        <v>0</v>
      </c>
      <c r="CL43" s="171">
        <f t="shared" si="38"/>
        <v>0</v>
      </c>
      <c r="CM43" s="170">
        <f t="shared" si="39"/>
        <v>0</v>
      </c>
      <c r="CN43" s="90">
        <f t="shared" si="40"/>
        <v>0</v>
      </c>
      <c r="CO43" s="171">
        <f t="shared" si="41"/>
        <v>0</v>
      </c>
      <c r="CP43" s="170">
        <f t="shared" si="42"/>
        <v>0</v>
      </c>
      <c r="CQ43" s="90">
        <f t="shared" si="43"/>
        <v>0</v>
      </c>
      <c r="CR43" s="171">
        <f t="shared" si="44"/>
        <v>0</v>
      </c>
      <c r="CS43" s="170">
        <f t="shared" si="45"/>
        <v>0</v>
      </c>
      <c r="CT43" s="90">
        <f t="shared" si="46"/>
        <v>0</v>
      </c>
      <c r="CU43" s="171">
        <f t="shared" si="47"/>
        <v>0</v>
      </c>
      <c r="CV43" s="170">
        <f t="shared" si="48"/>
        <v>0</v>
      </c>
      <c r="CW43" s="90">
        <f t="shared" si="49"/>
        <v>0</v>
      </c>
      <c r="CX43" s="171">
        <f t="shared" si="50"/>
        <v>0</v>
      </c>
      <c r="CY43" s="170">
        <f t="shared" si="51"/>
        <v>0</v>
      </c>
      <c r="CZ43" s="168">
        <f t="shared" si="52"/>
        <v>0</v>
      </c>
      <c r="DA43" s="172">
        <f t="shared" si="54"/>
        <v>0</v>
      </c>
      <c r="DB43" s="173">
        <f t="shared" si="55"/>
        <v>0</v>
      </c>
      <c r="DC43" s="172">
        <f t="shared" si="60"/>
        <v>0</v>
      </c>
      <c r="DD43" s="172">
        <f t="shared" si="60"/>
        <v>0</v>
      </c>
      <c r="DE43" s="172">
        <f t="shared" si="60"/>
        <v>0</v>
      </c>
      <c r="DF43" s="172">
        <f t="shared" si="57"/>
        <v>0</v>
      </c>
      <c r="DG43" s="136"/>
      <c r="DH43" s="136"/>
      <c r="DI43" s="27"/>
      <c r="DJ43" s="7"/>
      <c r="DK43" s="7"/>
      <c r="DL43" s="7"/>
      <c r="DM43" s="7"/>
      <c r="DN43" s="7"/>
      <c r="DO43" s="7"/>
      <c r="DP43" s="7"/>
      <c r="DQ43" s="3"/>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51"/>
      <c r="FA43" s="51"/>
    </row>
    <row r="44" spans="1:157" s="566" customFormat="1" ht="17.25" customHeight="1">
      <c r="A44" s="197"/>
      <c r="B44" s="22"/>
      <c r="C44" s="194" t="s">
        <v>188</v>
      </c>
      <c r="D44" s="195">
        <f>IFERROR(VLOOKUP($D$31,'Rainfall data'!$B$3:$O$33,'Potable Water Calculator'!O46,FALSE),"")</f>
        <v>27</v>
      </c>
      <c r="E44" s="195">
        <f>IFERROR(VLOOKUP($D$31,'Rainfall data'!$B$44:$P$74,'Potable Water Calculator'!O46,FALSE),"")</f>
        <v>4</v>
      </c>
      <c r="F44" s="3"/>
      <c r="G44" s="3"/>
      <c r="H44" s="3"/>
      <c r="I44" s="27"/>
      <c r="J44" s="27"/>
      <c r="K44" s="27"/>
      <c r="L44" s="3"/>
      <c r="M44" s="3"/>
      <c r="N44" s="71"/>
      <c r="O44" s="71">
        <v>9</v>
      </c>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45"/>
      <c r="BE44" s="165" t="s">
        <v>11</v>
      </c>
      <c r="BF44" s="23">
        <v>21</v>
      </c>
      <c r="BG44" s="23">
        <v>25</v>
      </c>
      <c r="BH44" s="23">
        <v>1</v>
      </c>
      <c r="BI44" s="90" t="b">
        <f t="shared" si="53"/>
        <v>1</v>
      </c>
      <c r="BJ44" s="46" t="b">
        <f t="shared" si="58"/>
        <v>0</v>
      </c>
      <c r="BK44" s="166">
        <f t="shared" si="13"/>
        <v>0</v>
      </c>
      <c r="BL44" s="175">
        <f>IF(SUM(BL$20:BL43,BK44)&gt;$BJ$4,0,BK44)</f>
        <v>0</v>
      </c>
      <c r="BM44" s="23">
        <f t="shared" si="14"/>
        <v>0</v>
      </c>
      <c r="BN44" s="90">
        <f t="shared" si="15"/>
        <v>0</v>
      </c>
      <c r="BO44" s="24">
        <f t="shared" si="59"/>
        <v>0</v>
      </c>
      <c r="BP44" s="168">
        <f t="shared" si="16"/>
        <v>0</v>
      </c>
      <c r="BQ44" s="171">
        <f t="shared" si="17"/>
        <v>0</v>
      </c>
      <c r="BR44" s="170">
        <f t="shared" si="18"/>
        <v>0</v>
      </c>
      <c r="BS44" s="168">
        <f t="shared" si="19"/>
        <v>0</v>
      </c>
      <c r="BT44" s="171">
        <f t="shared" si="20"/>
        <v>0</v>
      </c>
      <c r="BU44" s="170">
        <f t="shared" si="21"/>
        <v>0</v>
      </c>
      <c r="BV44" s="168">
        <f t="shared" si="22"/>
        <v>0</v>
      </c>
      <c r="BW44" s="171">
        <f t="shared" si="23"/>
        <v>0</v>
      </c>
      <c r="BX44" s="170">
        <f t="shared" si="24"/>
        <v>0</v>
      </c>
      <c r="BY44" s="168">
        <f t="shared" si="25"/>
        <v>0</v>
      </c>
      <c r="BZ44" s="171">
        <f t="shared" si="26"/>
        <v>0</v>
      </c>
      <c r="CA44" s="170">
        <f t="shared" si="27"/>
        <v>0</v>
      </c>
      <c r="CB44" s="90">
        <f t="shared" si="28"/>
        <v>0</v>
      </c>
      <c r="CC44" s="171">
        <f t="shared" si="29"/>
        <v>0</v>
      </c>
      <c r="CD44" s="170">
        <f t="shared" si="30"/>
        <v>0</v>
      </c>
      <c r="CE44" s="90">
        <f t="shared" si="31"/>
        <v>0</v>
      </c>
      <c r="CF44" s="171">
        <f t="shared" si="32"/>
        <v>0</v>
      </c>
      <c r="CG44" s="170">
        <f t="shared" si="33"/>
        <v>0</v>
      </c>
      <c r="CH44" s="90">
        <f t="shared" si="34"/>
        <v>0</v>
      </c>
      <c r="CI44" s="171">
        <f t="shared" si="35"/>
        <v>0</v>
      </c>
      <c r="CJ44" s="170">
        <f t="shared" si="36"/>
        <v>0</v>
      </c>
      <c r="CK44" s="90">
        <f t="shared" si="37"/>
        <v>0</v>
      </c>
      <c r="CL44" s="171">
        <f t="shared" si="38"/>
        <v>0</v>
      </c>
      <c r="CM44" s="170">
        <f t="shared" si="39"/>
        <v>0</v>
      </c>
      <c r="CN44" s="90">
        <f t="shared" si="40"/>
        <v>0</v>
      </c>
      <c r="CO44" s="171">
        <f t="shared" si="41"/>
        <v>0</v>
      </c>
      <c r="CP44" s="170">
        <f t="shared" si="42"/>
        <v>0</v>
      </c>
      <c r="CQ44" s="90">
        <f t="shared" si="43"/>
        <v>0</v>
      </c>
      <c r="CR44" s="171">
        <f t="shared" si="44"/>
        <v>0</v>
      </c>
      <c r="CS44" s="170">
        <f t="shared" si="45"/>
        <v>0</v>
      </c>
      <c r="CT44" s="90">
        <f t="shared" si="46"/>
        <v>0</v>
      </c>
      <c r="CU44" s="171">
        <f t="shared" si="47"/>
        <v>0</v>
      </c>
      <c r="CV44" s="170">
        <f t="shared" si="48"/>
        <v>0</v>
      </c>
      <c r="CW44" s="90">
        <f t="shared" si="49"/>
        <v>0</v>
      </c>
      <c r="CX44" s="171">
        <f t="shared" si="50"/>
        <v>0</v>
      </c>
      <c r="CY44" s="170">
        <f t="shared" si="51"/>
        <v>0</v>
      </c>
      <c r="CZ44" s="168">
        <f t="shared" si="52"/>
        <v>0</v>
      </c>
      <c r="DA44" s="172">
        <f t="shared" si="54"/>
        <v>0</v>
      </c>
      <c r="DB44" s="173">
        <f t="shared" si="55"/>
        <v>0</v>
      </c>
      <c r="DC44" s="172">
        <f t="shared" si="60"/>
        <v>0</v>
      </c>
      <c r="DD44" s="172">
        <f t="shared" si="60"/>
        <v>0</v>
      </c>
      <c r="DE44" s="172">
        <f t="shared" si="60"/>
        <v>0</v>
      </c>
      <c r="DF44" s="172">
        <f t="shared" si="57"/>
        <v>0</v>
      </c>
      <c r="DG44" s="136"/>
      <c r="DH44" s="136"/>
      <c r="DI44" s="27"/>
      <c r="DJ44" s="7"/>
      <c r="DK44" s="7"/>
      <c r="DL44" s="7"/>
      <c r="DM44" s="7"/>
      <c r="DN44" s="7"/>
      <c r="DO44" s="7"/>
      <c r="DP44" s="7"/>
      <c r="DQ44" s="3"/>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51"/>
      <c r="FA44" s="51"/>
    </row>
    <row r="45" spans="1:157" s="566" customFormat="1" ht="17.25" customHeight="1">
      <c r="A45" s="197"/>
      <c r="B45" s="22"/>
      <c r="C45" s="194" t="s">
        <v>189</v>
      </c>
      <c r="D45" s="195">
        <f>IFERROR(VLOOKUP($D$31,'Rainfall data'!$B$3:$O$33,'Potable Water Calculator'!O47,FALSE),"")</f>
        <v>72</v>
      </c>
      <c r="E45" s="195">
        <f>IFERROR(VLOOKUP($D$31,'Rainfall data'!$B$44:$P$74,'Potable Water Calculator'!O47,FALSE),"")</f>
        <v>10</v>
      </c>
      <c r="F45" s="3"/>
      <c r="G45" s="3"/>
      <c r="H45" s="3"/>
      <c r="I45" s="27"/>
      <c r="J45" s="27"/>
      <c r="K45" s="27"/>
      <c r="L45" s="3"/>
      <c r="M45" s="3"/>
      <c r="N45" s="71"/>
      <c r="O45" s="71">
        <v>10</v>
      </c>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45"/>
      <c r="BE45" s="165" t="s">
        <v>11</v>
      </c>
      <c r="BF45" s="23">
        <v>21</v>
      </c>
      <c r="BG45" s="23">
        <v>26</v>
      </c>
      <c r="BH45" s="23">
        <v>2</v>
      </c>
      <c r="BI45" s="90" t="b">
        <f t="shared" si="53"/>
        <v>1</v>
      </c>
      <c r="BJ45" s="46" t="b">
        <f t="shared" si="58"/>
        <v>1</v>
      </c>
      <c r="BK45" s="166">
        <f t="shared" si="13"/>
        <v>7.3529411764705879</v>
      </c>
      <c r="BL45" s="175">
        <f>IF(SUM(BL$20:BL44,BK45)&gt;$BJ$4,0,BK45)</f>
        <v>7.3529411764705879</v>
      </c>
      <c r="BM45" s="23">
        <f t="shared" si="14"/>
        <v>0</v>
      </c>
      <c r="BN45" s="90">
        <f t="shared" si="15"/>
        <v>0</v>
      </c>
      <c r="BO45" s="24">
        <f t="shared" si="59"/>
        <v>0</v>
      </c>
      <c r="BP45" s="168">
        <f t="shared" si="16"/>
        <v>0</v>
      </c>
      <c r="BQ45" s="171">
        <f t="shared" si="17"/>
        <v>0</v>
      </c>
      <c r="BR45" s="170">
        <f t="shared" si="18"/>
        <v>0</v>
      </c>
      <c r="BS45" s="168">
        <f t="shared" si="19"/>
        <v>0</v>
      </c>
      <c r="BT45" s="171">
        <f t="shared" si="20"/>
        <v>0</v>
      </c>
      <c r="BU45" s="170">
        <f t="shared" si="21"/>
        <v>0</v>
      </c>
      <c r="BV45" s="168">
        <f t="shared" si="22"/>
        <v>0</v>
      </c>
      <c r="BW45" s="171">
        <f t="shared" si="23"/>
        <v>0</v>
      </c>
      <c r="BX45" s="170">
        <f t="shared" si="24"/>
        <v>0</v>
      </c>
      <c r="BY45" s="168">
        <f t="shared" si="25"/>
        <v>0</v>
      </c>
      <c r="BZ45" s="171">
        <f t="shared" si="26"/>
        <v>0</v>
      </c>
      <c r="CA45" s="170">
        <f t="shared" si="27"/>
        <v>0</v>
      </c>
      <c r="CB45" s="90">
        <f t="shared" si="28"/>
        <v>0</v>
      </c>
      <c r="CC45" s="171">
        <f t="shared" si="29"/>
        <v>0</v>
      </c>
      <c r="CD45" s="170">
        <f t="shared" si="30"/>
        <v>0</v>
      </c>
      <c r="CE45" s="90">
        <f t="shared" si="31"/>
        <v>0</v>
      </c>
      <c r="CF45" s="171">
        <f t="shared" si="32"/>
        <v>0</v>
      </c>
      <c r="CG45" s="170">
        <f t="shared" si="33"/>
        <v>0</v>
      </c>
      <c r="CH45" s="90">
        <f t="shared" si="34"/>
        <v>0</v>
      </c>
      <c r="CI45" s="171">
        <f t="shared" si="35"/>
        <v>0</v>
      </c>
      <c r="CJ45" s="170">
        <f t="shared" si="36"/>
        <v>0</v>
      </c>
      <c r="CK45" s="90">
        <f t="shared" si="37"/>
        <v>0</v>
      </c>
      <c r="CL45" s="171">
        <f t="shared" si="38"/>
        <v>0</v>
      </c>
      <c r="CM45" s="170">
        <f t="shared" si="39"/>
        <v>0</v>
      </c>
      <c r="CN45" s="90">
        <f t="shared" si="40"/>
        <v>0</v>
      </c>
      <c r="CO45" s="171">
        <f t="shared" si="41"/>
        <v>0</v>
      </c>
      <c r="CP45" s="170">
        <f t="shared" si="42"/>
        <v>0</v>
      </c>
      <c r="CQ45" s="90">
        <f t="shared" si="43"/>
        <v>0</v>
      </c>
      <c r="CR45" s="171">
        <f t="shared" si="44"/>
        <v>0</v>
      </c>
      <c r="CS45" s="170">
        <f t="shared" si="45"/>
        <v>0</v>
      </c>
      <c r="CT45" s="90">
        <f t="shared" si="46"/>
        <v>0</v>
      </c>
      <c r="CU45" s="171">
        <f t="shared" si="47"/>
        <v>0</v>
      </c>
      <c r="CV45" s="170">
        <f t="shared" si="48"/>
        <v>0</v>
      </c>
      <c r="CW45" s="90">
        <f t="shared" si="49"/>
        <v>0</v>
      </c>
      <c r="CX45" s="171">
        <f t="shared" si="50"/>
        <v>0</v>
      </c>
      <c r="CY45" s="170">
        <f t="shared" si="51"/>
        <v>0</v>
      </c>
      <c r="CZ45" s="168">
        <f t="shared" si="52"/>
        <v>0</v>
      </c>
      <c r="DA45" s="172">
        <f t="shared" si="54"/>
        <v>0</v>
      </c>
      <c r="DB45" s="173">
        <f t="shared" si="55"/>
        <v>0</v>
      </c>
      <c r="DC45" s="172">
        <f t="shared" si="60"/>
        <v>0</v>
      </c>
      <c r="DD45" s="172">
        <f t="shared" si="60"/>
        <v>0</v>
      </c>
      <c r="DE45" s="172">
        <f t="shared" si="60"/>
        <v>0</v>
      </c>
      <c r="DF45" s="172">
        <f t="shared" si="57"/>
        <v>0</v>
      </c>
      <c r="DG45" s="136"/>
      <c r="DH45" s="136"/>
      <c r="DI45" s="27"/>
      <c r="DJ45" s="7"/>
      <c r="DK45" s="7"/>
      <c r="DL45" s="7"/>
      <c r="DM45" s="7"/>
      <c r="DN45" s="7"/>
      <c r="DO45" s="7"/>
      <c r="DP45" s="7"/>
      <c r="DQ45" s="3"/>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51"/>
      <c r="FA45" s="51"/>
    </row>
    <row r="46" spans="1:157" s="566" customFormat="1" ht="17.25" customHeight="1">
      <c r="A46" s="197"/>
      <c r="B46" s="22"/>
      <c r="C46" s="194" t="s">
        <v>190</v>
      </c>
      <c r="D46" s="195">
        <f>IFERROR(VLOOKUP($D$31,'Rainfall data'!$B$3:$O$33,'Potable Water Calculator'!O48,FALSE),"")</f>
        <v>117</v>
      </c>
      <c r="E46" s="195">
        <f>IFERROR(VLOOKUP($D$31,'Rainfall data'!$B$44:$P$74,'Potable Water Calculator'!O48,FALSE),"")</f>
        <v>15</v>
      </c>
      <c r="F46" s="3"/>
      <c r="G46" s="3"/>
      <c r="H46" s="3"/>
      <c r="I46" s="27"/>
      <c r="J46" s="27"/>
      <c r="K46" s="27"/>
      <c r="L46" s="3"/>
      <c r="M46" s="3"/>
      <c r="N46" s="71"/>
      <c r="O46" s="71">
        <v>11</v>
      </c>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45"/>
      <c r="BE46" s="165" t="s">
        <v>11</v>
      </c>
      <c r="BF46" s="23">
        <v>21</v>
      </c>
      <c r="BG46" s="23">
        <v>27</v>
      </c>
      <c r="BH46" s="23">
        <v>3</v>
      </c>
      <c r="BI46" s="90" t="b">
        <f t="shared" si="53"/>
        <v>1</v>
      </c>
      <c r="BJ46" s="46" t="b">
        <f t="shared" si="58"/>
        <v>0</v>
      </c>
      <c r="BK46" s="166">
        <f t="shared" si="13"/>
        <v>0</v>
      </c>
      <c r="BL46" s="175">
        <f>IF(SUM(BL$20:BL45,BK46)&gt;$BJ$4,0,BK46)</f>
        <v>0</v>
      </c>
      <c r="BM46" s="23">
        <f t="shared" si="14"/>
        <v>0</v>
      </c>
      <c r="BN46" s="90">
        <f t="shared" si="15"/>
        <v>0</v>
      </c>
      <c r="BO46" s="24">
        <f t="shared" si="59"/>
        <v>0</v>
      </c>
      <c r="BP46" s="168">
        <f t="shared" si="16"/>
        <v>0</v>
      </c>
      <c r="BQ46" s="171">
        <f t="shared" si="17"/>
        <v>0</v>
      </c>
      <c r="BR46" s="170">
        <f t="shared" si="18"/>
        <v>0</v>
      </c>
      <c r="BS46" s="168">
        <f t="shared" si="19"/>
        <v>0</v>
      </c>
      <c r="BT46" s="171">
        <f t="shared" si="20"/>
        <v>0</v>
      </c>
      <c r="BU46" s="170">
        <f t="shared" si="21"/>
        <v>0</v>
      </c>
      <c r="BV46" s="168">
        <f t="shared" si="22"/>
        <v>0</v>
      </c>
      <c r="BW46" s="171">
        <f t="shared" si="23"/>
        <v>0</v>
      </c>
      <c r="BX46" s="170">
        <f t="shared" si="24"/>
        <v>0</v>
      </c>
      <c r="BY46" s="168">
        <f t="shared" si="25"/>
        <v>0</v>
      </c>
      <c r="BZ46" s="171">
        <f t="shared" si="26"/>
        <v>0</v>
      </c>
      <c r="CA46" s="170">
        <f t="shared" si="27"/>
        <v>0</v>
      </c>
      <c r="CB46" s="90">
        <f t="shared" si="28"/>
        <v>0</v>
      </c>
      <c r="CC46" s="171">
        <f t="shared" si="29"/>
        <v>0</v>
      </c>
      <c r="CD46" s="170">
        <f t="shared" si="30"/>
        <v>0</v>
      </c>
      <c r="CE46" s="90">
        <f t="shared" si="31"/>
        <v>0</v>
      </c>
      <c r="CF46" s="171">
        <f t="shared" si="32"/>
        <v>0</v>
      </c>
      <c r="CG46" s="170">
        <f t="shared" si="33"/>
        <v>0</v>
      </c>
      <c r="CH46" s="90">
        <f t="shared" si="34"/>
        <v>0</v>
      </c>
      <c r="CI46" s="171">
        <f t="shared" si="35"/>
        <v>0</v>
      </c>
      <c r="CJ46" s="170">
        <f t="shared" si="36"/>
        <v>0</v>
      </c>
      <c r="CK46" s="90">
        <f t="shared" si="37"/>
        <v>0</v>
      </c>
      <c r="CL46" s="171">
        <f t="shared" si="38"/>
        <v>0</v>
      </c>
      <c r="CM46" s="170">
        <f t="shared" si="39"/>
        <v>0</v>
      </c>
      <c r="CN46" s="90">
        <f t="shared" si="40"/>
        <v>0</v>
      </c>
      <c r="CO46" s="171">
        <f t="shared" si="41"/>
        <v>0</v>
      </c>
      <c r="CP46" s="170">
        <f t="shared" si="42"/>
        <v>0</v>
      </c>
      <c r="CQ46" s="90">
        <f t="shared" si="43"/>
        <v>0</v>
      </c>
      <c r="CR46" s="171">
        <f t="shared" si="44"/>
        <v>0</v>
      </c>
      <c r="CS46" s="170">
        <f t="shared" si="45"/>
        <v>0</v>
      </c>
      <c r="CT46" s="90">
        <f t="shared" si="46"/>
        <v>0</v>
      </c>
      <c r="CU46" s="171">
        <f t="shared" si="47"/>
        <v>0</v>
      </c>
      <c r="CV46" s="170">
        <f t="shared" si="48"/>
        <v>0</v>
      </c>
      <c r="CW46" s="90">
        <f t="shared" si="49"/>
        <v>0</v>
      </c>
      <c r="CX46" s="171">
        <f t="shared" si="50"/>
        <v>0</v>
      </c>
      <c r="CY46" s="170">
        <f t="shared" si="51"/>
        <v>0</v>
      </c>
      <c r="CZ46" s="168">
        <f t="shared" si="52"/>
        <v>0</v>
      </c>
      <c r="DA46" s="172">
        <f t="shared" si="54"/>
        <v>0</v>
      </c>
      <c r="DB46" s="173">
        <f t="shared" si="55"/>
        <v>0</v>
      </c>
      <c r="DC46" s="172">
        <f t="shared" si="60"/>
        <v>0</v>
      </c>
      <c r="DD46" s="172">
        <f t="shared" si="60"/>
        <v>0</v>
      </c>
      <c r="DE46" s="172">
        <f t="shared" si="60"/>
        <v>0</v>
      </c>
      <c r="DF46" s="172">
        <f t="shared" si="57"/>
        <v>0</v>
      </c>
      <c r="DG46" s="136"/>
      <c r="DH46" s="136"/>
      <c r="DI46" s="27"/>
      <c r="DJ46" s="7"/>
      <c r="DK46" s="7"/>
      <c r="DL46" s="7"/>
      <c r="DM46" s="7"/>
      <c r="DN46" s="7"/>
      <c r="DO46" s="7"/>
      <c r="DP46" s="7"/>
      <c r="DQ46" s="3"/>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51"/>
      <c r="FA46" s="51"/>
    </row>
    <row r="47" spans="1:157" s="566" customFormat="1" ht="17.25" customHeight="1">
      <c r="A47" s="197"/>
      <c r="B47" s="22"/>
      <c r="C47" s="194" t="s">
        <v>191</v>
      </c>
      <c r="D47" s="195">
        <f>IFERROR(VLOOKUP($D$31,'Rainfall data'!$B$3:$O$33,'Potable Water Calculator'!O49,FALSE),"")</f>
        <v>105</v>
      </c>
      <c r="E47" s="195">
        <f>IFERROR(VLOOKUP($D$31,'Rainfall data'!$B$44:$P$74,'Potable Water Calculator'!O49,FALSE),"")</f>
        <v>15</v>
      </c>
      <c r="F47" s="3"/>
      <c r="G47" s="3"/>
      <c r="H47" s="3"/>
      <c r="I47" s="27"/>
      <c r="J47" s="27"/>
      <c r="K47" s="27"/>
      <c r="L47" s="3"/>
      <c r="M47" s="3"/>
      <c r="N47" s="71"/>
      <c r="O47" s="71">
        <v>12</v>
      </c>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45"/>
      <c r="BE47" s="165" t="s">
        <v>11</v>
      </c>
      <c r="BF47" s="23">
        <v>21</v>
      </c>
      <c r="BG47" s="23">
        <v>28</v>
      </c>
      <c r="BH47" s="23">
        <v>4</v>
      </c>
      <c r="BI47" s="90" t="b">
        <f t="shared" si="53"/>
        <v>1</v>
      </c>
      <c r="BJ47" s="46" t="b">
        <f t="shared" si="58"/>
        <v>1</v>
      </c>
      <c r="BK47" s="166">
        <f t="shared" si="13"/>
        <v>7.3529411764705879</v>
      </c>
      <c r="BL47" s="175">
        <f>IF(SUM(BL$20:BL46,BK47)&gt;$BJ$4,0,BK47)</f>
        <v>7.3529411764705879</v>
      </c>
      <c r="BM47" s="23">
        <f t="shared" si="14"/>
        <v>0</v>
      </c>
      <c r="BN47" s="90">
        <f t="shared" si="15"/>
        <v>0</v>
      </c>
      <c r="BO47" s="24">
        <f t="shared" si="59"/>
        <v>0</v>
      </c>
      <c r="BP47" s="168">
        <f t="shared" si="16"/>
        <v>0</v>
      </c>
      <c r="BQ47" s="171">
        <f t="shared" si="17"/>
        <v>0</v>
      </c>
      <c r="BR47" s="170">
        <f t="shared" si="18"/>
        <v>0</v>
      </c>
      <c r="BS47" s="168">
        <f t="shared" si="19"/>
        <v>0</v>
      </c>
      <c r="BT47" s="171">
        <f t="shared" si="20"/>
        <v>0</v>
      </c>
      <c r="BU47" s="170">
        <f t="shared" si="21"/>
        <v>0</v>
      </c>
      <c r="BV47" s="168">
        <f t="shared" si="22"/>
        <v>0</v>
      </c>
      <c r="BW47" s="171">
        <f t="shared" si="23"/>
        <v>0</v>
      </c>
      <c r="BX47" s="170">
        <f t="shared" si="24"/>
        <v>0</v>
      </c>
      <c r="BY47" s="168">
        <f t="shared" si="25"/>
        <v>0</v>
      </c>
      <c r="BZ47" s="171">
        <f t="shared" si="26"/>
        <v>0</v>
      </c>
      <c r="CA47" s="170">
        <f t="shared" si="27"/>
        <v>0</v>
      </c>
      <c r="CB47" s="90">
        <f t="shared" si="28"/>
        <v>0</v>
      </c>
      <c r="CC47" s="171">
        <f t="shared" si="29"/>
        <v>0</v>
      </c>
      <c r="CD47" s="170">
        <f t="shared" si="30"/>
        <v>0</v>
      </c>
      <c r="CE47" s="90">
        <f t="shared" si="31"/>
        <v>0</v>
      </c>
      <c r="CF47" s="171">
        <f t="shared" si="32"/>
        <v>0</v>
      </c>
      <c r="CG47" s="170">
        <f t="shared" si="33"/>
        <v>0</v>
      </c>
      <c r="CH47" s="90">
        <f t="shared" si="34"/>
        <v>0</v>
      </c>
      <c r="CI47" s="171">
        <f t="shared" si="35"/>
        <v>0</v>
      </c>
      <c r="CJ47" s="170">
        <f t="shared" si="36"/>
        <v>0</v>
      </c>
      <c r="CK47" s="90">
        <f t="shared" si="37"/>
        <v>0</v>
      </c>
      <c r="CL47" s="171">
        <f t="shared" si="38"/>
        <v>0</v>
      </c>
      <c r="CM47" s="170">
        <f t="shared" si="39"/>
        <v>0</v>
      </c>
      <c r="CN47" s="90">
        <f t="shared" si="40"/>
        <v>0</v>
      </c>
      <c r="CO47" s="171">
        <f t="shared" si="41"/>
        <v>0</v>
      </c>
      <c r="CP47" s="170">
        <f t="shared" si="42"/>
        <v>0</v>
      </c>
      <c r="CQ47" s="90">
        <f t="shared" si="43"/>
        <v>0</v>
      </c>
      <c r="CR47" s="171">
        <f t="shared" si="44"/>
        <v>0</v>
      </c>
      <c r="CS47" s="170">
        <f t="shared" si="45"/>
        <v>0</v>
      </c>
      <c r="CT47" s="90">
        <f t="shared" si="46"/>
        <v>0</v>
      </c>
      <c r="CU47" s="171">
        <f t="shared" si="47"/>
        <v>0</v>
      </c>
      <c r="CV47" s="170">
        <f t="shared" si="48"/>
        <v>0</v>
      </c>
      <c r="CW47" s="90">
        <f t="shared" si="49"/>
        <v>0</v>
      </c>
      <c r="CX47" s="171">
        <f t="shared" si="50"/>
        <v>0</v>
      </c>
      <c r="CY47" s="170">
        <f t="shared" si="51"/>
        <v>0</v>
      </c>
      <c r="CZ47" s="168">
        <f t="shared" si="52"/>
        <v>0</v>
      </c>
      <c r="DA47" s="172">
        <f t="shared" si="54"/>
        <v>0</v>
      </c>
      <c r="DB47" s="173">
        <f t="shared" si="55"/>
        <v>0</v>
      </c>
      <c r="DC47" s="172">
        <f t="shared" si="60"/>
        <v>0</v>
      </c>
      <c r="DD47" s="172">
        <f t="shared" si="60"/>
        <v>0</v>
      </c>
      <c r="DE47" s="172">
        <f t="shared" si="60"/>
        <v>0</v>
      </c>
      <c r="DF47" s="172">
        <f>IF(DA47-(DE46+CZ47)&lt;0,0,DA47-(DE46+CZ47))</f>
        <v>0</v>
      </c>
      <c r="DG47" s="136"/>
      <c r="DH47" s="136"/>
      <c r="DI47" s="27"/>
      <c r="DJ47" s="7"/>
      <c r="DK47" s="7"/>
      <c r="DL47" s="7"/>
      <c r="DM47" s="7"/>
      <c r="DN47" s="7"/>
      <c r="DO47" s="7"/>
      <c r="DP47" s="7"/>
      <c r="DQ47" s="3"/>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51"/>
      <c r="FA47" s="51"/>
    </row>
    <row r="48" spans="1:157" s="566" customFormat="1" ht="14.25" customHeight="1">
      <c r="A48" s="197"/>
      <c r="B48" s="22"/>
      <c r="C48" s="202" t="s">
        <v>23</v>
      </c>
      <c r="D48" s="203">
        <f>SUM(D36:D47)</f>
        <v>713</v>
      </c>
      <c r="E48" s="203">
        <f>SUM(E36:E47)</f>
        <v>99</v>
      </c>
      <c r="F48" s="3"/>
      <c r="G48" s="3"/>
      <c r="H48" s="3"/>
      <c r="I48" s="27"/>
      <c r="J48" s="27"/>
      <c r="K48" s="27"/>
      <c r="L48" s="3"/>
      <c r="M48" s="3"/>
      <c r="N48" s="71"/>
      <c r="O48" s="71">
        <v>13</v>
      </c>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45"/>
      <c r="BE48" s="165" t="s">
        <v>11</v>
      </c>
      <c r="BF48" s="23">
        <v>21</v>
      </c>
      <c r="BG48" s="23">
        <v>29</v>
      </c>
      <c r="BH48" s="23">
        <v>5</v>
      </c>
      <c r="BI48" s="90" t="b">
        <f t="shared" si="53"/>
        <v>1</v>
      </c>
      <c r="BJ48" s="46" t="b">
        <f t="shared" si="58"/>
        <v>0</v>
      </c>
      <c r="BK48" s="166">
        <f t="shared" si="13"/>
        <v>0</v>
      </c>
      <c r="BL48" s="175">
        <f>IF(SUM(BL$20:BL47,BK48)&gt;$BJ$4,0,BK48)</f>
        <v>0</v>
      </c>
      <c r="BM48" s="23">
        <f t="shared" si="14"/>
        <v>0</v>
      </c>
      <c r="BN48" s="90">
        <f t="shared" si="15"/>
        <v>0</v>
      </c>
      <c r="BO48" s="24">
        <f t="shared" si="59"/>
        <v>0</v>
      </c>
      <c r="BP48" s="168">
        <f t="shared" si="16"/>
        <v>0</v>
      </c>
      <c r="BQ48" s="171">
        <f t="shared" si="17"/>
        <v>0</v>
      </c>
      <c r="BR48" s="170">
        <f t="shared" si="18"/>
        <v>0</v>
      </c>
      <c r="BS48" s="168">
        <f t="shared" si="19"/>
        <v>0</v>
      </c>
      <c r="BT48" s="171">
        <f t="shared" si="20"/>
        <v>0</v>
      </c>
      <c r="BU48" s="170">
        <f t="shared" si="21"/>
        <v>0</v>
      </c>
      <c r="BV48" s="168">
        <f t="shared" si="22"/>
        <v>0</v>
      </c>
      <c r="BW48" s="171">
        <f t="shared" si="23"/>
        <v>0</v>
      </c>
      <c r="BX48" s="170">
        <f t="shared" si="24"/>
        <v>0</v>
      </c>
      <c r="BY48" s="168">
        <f t="shared" si="25"/>
        <v>0</v>
      </c>
      <c r="BZ48" s="171">
        <f t="shared" si="26"/>
        <v>0</v>
      </c>
      <c r="CA48" s="170">
        <f t="shared" si="27"/>
        <v>0</v>
      </c>
      <c r="CB48" s="90">
        <f t="shared" si="28"/>
        <v>0</v>
      </c>
      <c r="CC48" s="171">
        <f t="shared" si="29"/>
        <v>0</v>
      </c>
      <c r="CD48" s="170">
        <f t="shared" si="30"/>
        <v>0</v>
      </c>
      <c r="CE48" s="90">
        <f t="shared" si="31"/>
        <v>0</v>
      </c>
      <c r="CF48" s="171">
        <f t="shared" si="32"/>
        <v>0</v>
      </c>
      <c r="CG48" s="170">
        <f t="shared" si="33"/>
        <v>0</v>
      </c>
      <c r="CH48" s="90">
        <f t="shared" si="34"/>
        <v>0</v>
      </c>
      <c r="CI48" s="171">
        <f t="shared" si="35"/>
        <v>0</v>
      </c>
      <c r="CJ48" s="170">
        <f t="shared" si="36"/>
        <v>0</v>
      </c>
      <c r="CK48" s="90">
        <f t="shared" si="37"/>
        <v>0</v>
      </c>
      <c r="CL48" s="171">
        <f t="shared" si="38"/>
        <v>0</v>
      </c>
      <c r="CM48" s="170">
        <f t="shared" si="39"/>
        <v>0</v>
      </c>
      <c r="CN48" s="90">
        <f t="shared" si="40"/>
        <v>0</v>
      </c>
      <c r="CO48" s="171">
        <f t="shared" si="41"/>
        <v>0</v>
      </c>
      <c r="CP48" s="170">
        <f t="shared" si="42"/>
        <v>0</v>
      </c>
      <c r="CQ48" s="90">
        <f t="shared" si="43"/>
        <v>0</v>
      </c>
      <c r="CR48" s="171">
        <f t="shared" si="44"/>
        <v>0</v>
      </c>
      <c r="CS48" s="170">
        <f t="shared" si="45"/>
        <v>0</v>
      </c>
      <c r="CT48" s="90">
        <f t="shared" si="46"/>
        <v>0</v>
      </c>
      <c r="CU48" s="171">
        <f t="shared" si="47"/>
        <v>0</v>
      </c>
      <c r="CV48" s="170">
        <f t="shared" si="48"/>
        <v>0</v>
      </c>
      <c r="CW48" s="90">
        <f t="shared" si="49"/>
        <v>0</v>
      </c>
      <c r="CX48" s="171">
        <f t="shared" si="50"/>
        <v>0</v>
      </c>
      <c r="CY48" s="170">
        <f t="shared" si="51"/>
        <v>0</v>
      </c>
      <c r="CZ48" s="168">
        <f t="shared" si="52"/>
        <v>0</v>
      </c>
      <c r="DA48" s="172">
        <f t="shared" si="54"/>
        <v>0</v>
      </c>
      <c r="DB48" s="173">
        <f t="shared" si="55"/>
        <v>0</v>
      </c>
      <c r="DC48" s="172">
        <f t="shared" si="60"/>
        <v>0</v>
      </c>
      <c r="DD48" s="172">
        <f t="shared" si="60"/>
        <v>0</v>
      </c>
      <c r="DE48" s="172">
        <f t="shared" si="60"/>
        <v>0</v>
      </c>
      <c r="DF48" s="172">
        <f t="shared" si="57"/>
        <v>0</v>
      </c>
      <c r="DG48" s="136"/>
      <c r="DH48" s="136"/>
      <c r="DI48" s="27"/>
      <c r="DJ48" s="7"/>
      <c r="DK48" s="7"/>
      <c r="DL48" s="7"/>
      <c r="DM48" s="7"/>
      <c r="DN48" s="7"/>
      <c r="DO48" s="7"/>
      <c r="DP48" s="7"/>
      <c r="DQ48" s="3"/>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51"/>
      <c r="FA48" s="51"/>
    </row>
    <row r="49" spans="1:157" s="566" customFormat="1">
      <c r="A49" s="197"/>
      <c r="B49" s="27"/>
      <c r="C49" s="27"/>
      <c r="D49" s="27"/>
      <c r="E49" s="3"/>
      <c r="F49" s="70"/>
      <c r="G49" s="70"/>
      <c r="H49" s="70"/>
      <c r="I49" s="70"/>
      <c r="J49" s="70"/>
      <c r="K49" s="70"/>
      <c r="L49" s="70"/>
      <c r="M49" s="70"/>
      <c r="N49" s="71"/>
      <c r="O49" s="71">
        <v>14</v>
      </c>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45"/>
      <c r="BE49" s="165" t="s">
        <v>11</v>
      </c>
      <c r="BF49" s="23">
        <v>21</v>
      </c>
      <c r="BG49" s="23">
        <v>30</v>
      </c>
      <c r="BH49" s="23">
        <v>6</v>
      </c>
      <c r="BI49" s="90" t="b">
        <f t="shared" si="53"/>
        <v>0</v>
      </c>
      <c r="BJ49" s="46" t="b">
        <f t="shared" si="58"/>
        <v>1</v>
      </c>
      <c r="BK49" s="166">
        <f t="shared" si="13"/>
        <v>7.3529411764705879</v>
      </c>
      <c r="BL49" s="175">
        <f>IF(SUM(BL$20:BL48,BK49)&gt;$BJ$4,0,BK49)</f>
        <v>7.3529411764705879</v>
      </c>
      <c r="BM49" s="23">
        <f t="shared" si="14"/>
        <v>0</v>
      </c>
      <c r="BN49" s="90">
        <f t="shared" si="15"/>
        <v>0</v>
      </c>
      <c r="BO49" s="24">
        <f t="shared" si="59"/>
        <v>0</v>
      </c>
      <c r="BP49" s="168">
        <f t="shared" si="16"/>
        <v>0</v>
      </c>
      <c r="BQ49" s="171">
        <f t="shared" si="17"/>
        <v>0</v>
      </c>
      <c r="BR49" s="170">
        <f t="shared" si="18"/>
        <v>0</v>
      </c>
      <c r="BS49" s="168">
        <f t="shared" si="19"/>
        <v>0</v>
      </c>
      <c r="BT49" s="171">
        <f t="shared" si="20"/>
        <v>0</v>
      </c>
      <c r="BU49" s="170">
        <f t="shared" si="21"/>
        <v>0</v>
      </c>
      <c r="BV49" s="168">
        <f t="shared" si="22"/>
        <v>0</v>
      </c>
      <c r="BW49" s="171">
        <f t="shared" si="23"/>
        <v>0</v>
      </c>
      <c r="BX49" s="170">
        <f t="shared" si="24"/>
        <v>0</v>
      </c>
      <c r="BY49" s="168">
        <f t="shared" si="25"/>
        <v>0</v>
      </c>
      <c r="BZ49" s="171">
        <f t="shared" si="26"/>
        <v>0</v>
      </c>
      <c r="CA49" s="170">
        <f t="shared" si="27"/>
        <v>0</v>
      </c>
      <c r="CB49" s="90">
        <f t="shared" si="28"/>
        <v>0</v>
      </c>
      <c r="CC49" s="171">
        <f t="shared" si="29"/>
        <v>0</v>
      </c>
      <c r="CD49" s="170">
        <f t="shared" si="30"/>
        <v>0</v>
      </c>
      <c r="CE49" s="90">
        <f t="shared" si="31"/>
        <v>0</v>
      </c>
      <c r="CF49" s="171">
        <f t="shared" si="32"/>
        <v>0</v>
      </c>
      <c r="CG49" s="170">
        <f t="shared" si="33"/>
        <v>0</v>
      </c>
      <c r="CH49" s="90">
        <f t="shared" si="34"/>
        <v>0</v>
      </c>
      <c r="CI49" s="171">
        <f t="shared" si="35"/>
        <v>0</v>
      </c>
      <c r="CJ49" s="170">
        <f t="shared" si="36"/>
        <v>0</v>
      </c>
      <c r="CK49" s="90">
        <f t="shared" si="37"/>
        <v>0</v>
      </c>
      <c r="CL49" s="171">
        <f t="shared" si="38"/>
        <v>0</v>
      </c>
      <c r="CM49" s="170">
        <f t="shared" si="39"/>
        <v>0</v>
      </c>
      <c r="CN49" s="90">
        <f t="shared" si="40"/>
        <v>0</v>
      </c>
      <c r="CO49" s="171">
        <f t="shared" si="41"/>
        <v>0</v>
      </c>
      <c r="CP49" s="170">
        <f t="shared" si="42"/>
        <v>0</v>
      </c>
      <c r="CQ49" s="90">
        <f t="shared" si="43"/>
        <v>0</v>
      </c>
      <c r="CR49" s="171">
        <f t="shared" si="44"/>
        <v>0</v>
      </c>
      <c r="CS49" s="170">
        <f t="shared" si="45"/>
        <v>0</v>
      </c>
      <c r="CT49" s="90">
        <f t="shared" si="46"/>
        <v>0</v>
      </c>
      <c r="CU49" s="171">
        <f t="shared" si="47"/>
        <v>0</v>
      </c>
      <c r="CV49" s="170">
        <f t="shared" si="48"/>
        <v>0</v>
      </c>
      <c r="CW49" s="90">
        <f t="shared" si="49"/>
        <v>0</v>
      </c>
      <c r="CX49" s="171">
        <f t="shared" si="50"/>
        <v>0</v>
      </c>
      <c r="CY49" s="170">
        <f t="shared" si="51"/>
        <v>0</v>
      </c>
      <c r="CZ49" s="168">
        <f t="shared" si="52"/>
        <v>0</v>
      </c>
      <c r="DA49" s="172">
        <f t="shared" si="54"/>
        <v>0</v>
      </c>
      <c r="DB49" s="173">
        <f t="shared" si="55"/>
        <v>0</v>
      </c>
      <c r="DC49" s="172">
        <f t="shared" si="60"/>
        <v>0</v>
      </c>
      <c r="DD49" s="172">
        <f t="shared" si="60"/>
        <v>0</v>
      </c>
      <c r="DE49" s="172">
        <f t="shared" si="60"/>
        <v>0</v>
      </c>
      <c r="DF49" s="172">
        <f t="shared" si="57"/>
        <v>0</v>
      </c>
      <c r="DG49" s="136"/>
      <c r="DH49" s="136"/>
      <c r="DI49" s="27"/>
      <c r="DJ49" s="7"/>
      <c r="DK49" s="7"/>
      <c r="DL49" s="7"/>
      <c r="DM49" s="7"/>
      <c r="DN49" s="7"/>
      <c r="DO49" s="7"/>
      <c r="DP49" s="7"/>
      <c r="DQ49" s="3"/>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51"/>
      <c r="FA49" s="51"/>
    </row>
    <row r="50" spans="1:157" s="565" customFormat="1">
      <c r="A50" s="204"/>
      <c r="B50" s="205"/>
      <c r="C50" s="70"/>
      <c r="D50" s="70"/>
      <c r="E50" s="70"/>
      <c r="F50" s="70"/>
      <c r="G50" s="70"/>
      <c r="H50" s="70"/>
      <c r="I50" s="70"/>
      <c r="J50" s="70"/>
      <c r="K50" s="70"/>
      <c r="L50" s="70"/>
      <c r="M50" s="70"/>
      <c r="N50" s="71"/>
      <c r="O50" s="71">
        <v>15</v>
      </c>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45"/>
      <c r="BE50" s="165" t="s">
        <v>11</v>
      </c>
      <c r="BF50" s="23">
        <v>21</v>
      </c>
      <c r="BG50" s="23">
        <v>31</v>
      </c>
      <c r="BH50" s="23">
        <v>7</v>
      </c>
      <c r="BI50" s="90" t="b">
        <f t="shared" si="53"/>
        <v>0</v>
      </c>
      <c r="BJ50" s="46" t="b">
        <f t="shared" si="58"/>
        <v>0</v>
      </c>
      <c r="BK50" s="166">
        <f t="shared" si="13"/>
        <v>0</v>
      </c>
      <c r="BL50" s="167">
        <f>$BJ$4-SUM(BL20:BL49)</f>
        <v>14.705882352941146</v>
      </c>
      <c r="BM50" s="23">
        <f t="shared" si="14"/>
        <v>0</v>
      </c>
      <c r="BN50" s="90">
        <f t="shared" si="15"/>
        <v>0</v>
      </c>
      <c r="BO50" s="24">
        <f t="shared" si="59"/>
        <v>0</v>
      </c>
      <c r="BP50" s="168">
        <f t="shared" si="16"/>
        <v>0</v>
      </c>
      <c r="BQ50" s="171">
        <f t="shared" si="17"/>
        <v>0</v>
      </c>
      <c r="BR50" s="170">
        <f t="shared" si="18"/>
        <v>0</v>
      </c>
      <c r="BS50" s="168">
        <f t="shared" si="19"/>
        <v>0</v>
      </c>
      <c r="BT50" s="171">
        <f t="shared" si="20"/>
        <v>0</v>
      </c>
      <c r="BU50" s="170">
        <f t="shared" si="21"/>
        <v>0</v>
      </c>
      <c r="BV50" s="168">
        <f t="shared" si="22"/>
        <v>0</v>
      </c>
      <c r="BW50" s="171">
        <f t="shared" si="23"/>
        <v>0</v>
      </c>
      <c r="BX50" s="170">
        <f t="shared" si="24"/>
        <v>0</v>
      </c>
      <c r="BY50" s="168">
        <f t="shared" si="25"/>
        <v>0</v>
      </c>
      <c r="BZ50" s="171">
        <f t="shared" si="26"/>
        <v>0</v>
      </c>
      <c r="CA50" s="170">
        <f t="shared" si="27"/>
        <v>0</v>
      </c>
      <c r="CB50" s="90">
        <f t="shared" si="28"/>
        <v>0</v>
      </c>
      <c r="CC50" s="171">
        <f t="shared" si="29"/>
        <v>0</v>
      </c>
      <c r="CD50" s="170">
        <f t="shared" si="30"/>
        <v>0</v>
      </c>
      <c r="CE50" s="90">
        <f t="shared" si="31"/>
        <v>0</v>
      </c>
      <c r="CF50" s="171">
        <f t="shared" si="32"/>
        <v>0</v>
      </c>
      <c r="CG50" s="170">
        <f t="shared" si="33"/>
        <v>0</v>
      </c>
      <c r="CH50" s="90">
        <f t="shared" si="34"/>
        <v>0</v>
      </c>
      <c r="CI50" s="171">
        <f t="shared" si="35"/>
        <v>0</v>
      </c>
      <c r="CJ50" s="170">
        <f t="shared" si="36"/>
        <v>0</v>
      </c>
      <c r="CK50" s="90">
        <f t="shared" si="37"/>
        <v>0</v>
      </c>
      <c r="CL50" s="171">
        <f t="shared" si="38"/>
        <v>0</v>
      </c>
      <c r="CM50" s="170">
        <f t="shared" si="39"/>
        <v>0</v>
      </c>
      <c r="CN50" s="90">
        <f t="shared" si="40"/>
        <v>0</v>
      </c>
      <c r="CO50" s="171">
        <f t="shared" si="41"/>
        <v>0</v>
      </c>
      <c r="CP50" s="170">
        <f t="shared" si="42"/>
        <v>0</v>
      </c>
      <c r="CQ50" s="90">
        <f t="shared" si="43"/>
        <v>0</v>
      </c>
      <c r="CR50" s="171">
        <f t="shared" si="44"/>
        <v>0</v>
      </c>
      <c r="CS50" s="170">
        <f t="shared" si="45"/>
        <v>0</v>
      </c>
      <c r="CT50" s="90">
        <f t="shared" si="46"/>
        <v>0</v>
      </c>
      <c r="CU50" s="171">
        <f t="shared" si="47"/>
        <v>0</v>
      </c>
      <c r="CV50" s="170">
        <f t="shared" si="48"/>
        <v>0</v>
      </c>
      <c r="CW50" s="90">
        <f t="shared" si="49"/>
        <v>0</v>
      </c>
      <c r="CX50" s="171">
        <f t="shared" si="50"/>
        <v>0</v>
      </c>
      <c r="CY50" s="170">
        <f t="shared" si="51"/>
        <v>0</v>
      </c>
      <c r="CZ50" s="168">
        <f t="shared" si="52"/>
        <v>0</v>
      </c>
      <c r="DA50" s="172">
        <f t="shared" si="54"/>
        <v>0</v>
      </c>
      <c r="DB50" s="173">
        <f t="shared" si="55"/>
        <v>0</v>
      </c>
      <c r="DC50" s="172">
        <f t="shared" si="60"/>
        <v>0</v>
      </c>
      <c r="DD50" s="172">
        <f t="shared" si="60"/>
        <v>0</v>
      </c>
      <c r="DE50" s="172">
        <f t="shared" si="60"/>
        <v>0</v>
      </c>
      <c r="DF50" s="172">
        <f t="shared" si="57"/>
        <v>0</v>
      </c>
      <c r="DG50" s="1"/>
      <c r="DH50" s="1"/>
      <c r="DI50" s="27"/>
      <c r="DJ50" s="7"/>
      <c r="DK50" s="7"/>
      <c r="DL50" s="7"/>
      <c r="DM50" s="7"/>
      <c r="DN50" s="7"/>
      <c r="DO50" s="7"/>
      <c r="DP50" s="7"/>
      <c r="DQ50" s="27"/>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3"/>
      <c r="FA50" s="3"/>
    </row>
    <row r="51" spans="1:157" s="565" customFormat="1" ht="12">
      <c r="A51" s="181"/>
      <c r="B51" s="70"/>
      <c r="C51" s="70"/>
      <c r="D51" s="70"/>
      <c r="E51" s="70"/>
      <c r="F51" s="70"/>
      <c r="G51" s="70"/>
      <c r="H51" s="70"/>
      <c r="I51" s="70"/>
      <c r="J51" s="70"/>
      <c r="K51" s="70"/>
      <c r="L51" s="70"/>
      <c r="M51" s="70"/>
      <c r="N51" s="71"/>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45"/>
      <c r="BE51" s="165" t="s">
        <v>12</v>
      </c>
      <c r="BF51" s="23">
        <v>20</v>
      </c>
      <c r="BG51" s="23">
        <v>1</v>
      </c>
      <c r="BH51" s="23">
        <v>1</v>
      </c>
      <c r="BI51" s="90" t="b">
        <f t="shared" si="53"/>
        <v>1</v>
      </c>
      <c r="BJ51" s="46" t="b">
        <f t="shared" ref="BJ51:BJ78" si="68">MOD(BG51,$BK$7)=0</f>
        <v>0</v>
      </c>
      <c r="BK51" s="166">
        <f t="shared" ref="BK51:BK78" si="69">IF(BJ51,BK$8,0)</f>
        <v>0</v>
      </c>
      <c r="BL51" s="167">
        <f>BK51</f>
        <v>0</v>
      </c>
      <c r="BM51" s="23">
        <f t="shared" si="14"/>
        <v>0</v>
      </c>
      <c r="BN51" s="90">
        <f t="shared" si="15"/>
        <v>0</v>
      </c>
      <c r="BO51" s="24">
        <f t="shared" si="59"/>
        <v>0</v>
      </c>
      <c r="BP51" s="168">
        <f t="shared" ref="BP51:BP78" si="70">$Q$335/$BF$51*BR$16*$BI51</f>
        <v>0</v>
      </c>
      <c r="BQ51" s="169">
        <f t="shared" ref="BQ51:BQ78" si="71">AQ$370/$BF51*$BI51</f>
        <v>0</v>
      </c>
      <c r="BR51" s="170">
        <f t="shared" si="18"/>
        <v>0</v>
      </c>
      <c r="BS51" s="168">
        <f t="shared" ref="BS51:BS78" si="72">$R$335/$BF51*BU$16*$BI51</f>
        <v>0</v>
      </c>
      <c r="BT51" s="171">
        <f t="shared" ref="BT51:BT78" si="73">AR$370/$BF51*$BI51</f>
        <v>0</v>
      </c>
      <c r="BU51" s="170">
        <f t="shared" si="21"/>
        <v>0</v>
      </c>
      <c r="BV51" s="168">
        <f t="shared" ref="BV51:BV78" si="74">$S$335/$BF51*BX$16*$BI51</f>
        <v>0</v>
      </c>
      <c r="BW51" s="171">
        <f t="shared" ref="BW51:BW78" si="75">AS$370/$BF51*$BI51</f>
        <v>0</v>
      </c>
      <c r="BX51" s="170">
        <f t="shared" si="24"/>
        <v>0</v>
      </c>
      <c r="BY51" s="168">
        <f t="shared" ref="BY51:BY78" si="76">$T$335/$BF51*CA$16*$BI51</f>
        <v>0</v>
      </c>
      <c r="BZ51" s="171">
        <f t="shared" ref="BZ51:BZ78" si="77">AT$370/$BF51*$BI51</f>
        <v>0</v>
      </c>
      <c r="CA51" s="170">
        <f t="shared" si="27"/>
        <v>0</v>
      </c>
      <c r="CB51" s="90">
        <f t="shared" ref="CB51:CB78" si="78">$W$335/BF51*$C$419*BI51</f>
        <v>0</v>
      </c>
      <c r="CC51" s="171">
        <f t="shared" ref="CC51:CC78" si="79">AU$370/$BF51*$BI51</f>
        <v>0</v>
      </c>
      <c r="CD51" s="170">
        <f t="shared" si="30"/>
        <v>0</v>
      </c>
      <c r="CE51" s="90">
        <f t="shared" ref="CE51:CE78" si="80">$X$335/BF51*BI51*$C$420</f>
        <v>0</v>
      </c>
      <c r="CF51" s="171">
        <f t="shared" ref="CF51:CF78" si="81">AV$370/$BF51*$BI51</f>
        <v>0</v>
      </c>
      <c r="CG51" s="170">
        <f t="shared" si="33"/>
        <v>0</v>
      </c>
      <c r="CH51" s="90">
        <f t="shared" ref="CH51:CH78" si="82">$Y$335/BF51*BI51*$C$421</f>
        <v>0</v>
      </c>
      <c r="CI51" s="171">
        <f t="shared" ref="CI51:CI78" si="83">AW$370/$BF51*$BI51</f>
        <v>0</v>
      </c>
      <c r="CJ51" s="170">
        <f t="shared" si="36"/>
        <v>0</v>
      </c>
      <c r="CK51" s="90">
        <f t="shared" ref="CK51:CK78" si="84">$Z$335/BF51*BI51*$CM$16</f>
        <v>0</v>
      </c>
      <c r="CL51" s="171">
        <f t="shared" ref="CL51:CL78" si="85">AX$370/$BF51*$BI51</f>
        <v>0</v>
      </c>
      <c r="CM51" s="170">
        <f t="shared" si="39"/>
        <v>0</v>
      </c>
      <c r="CN51" s="90">
        <f t="shared" ref="CN51:CN78" si="86">$AA$335/BF51*BI51*$CP$16</f>
        <v>0</v>
      </c>
      <c r="CO51" s="171">
        <f t="shared" ref="CO51:CO78" si="87">$AY$370/$BF51*$BI51</f>
        <v>0</v>
      </c>
      <c r="CP51" s="170">
        <f t="shared" si="42"/>
        <v>0</v>
      </c>
      <c r="CQ51" s="90">
        <f t="shared" ref="CQ51:CQ78" si="88">$AB$335/BF51*BI51*$CS$16</f>
        <v>0</v>
      </c>
      <c r="CR51" s="171">
        <f t="shared" ref="CR51:CR78" si="89">AZ$370/$BF51*$BI51</f>
        <v>0</v>
      </c>
      <c r="CS51" s="170">
        <f t="shared" si="45"/>
        <v>0</v>
      </c>
      <c r="CT51" s="90">
        <f t="shared" ref="CT51:CT78" si="90">$AC$335/BF51*BI51*$CV$16</f>
        <v>0</v>
      </c>
      <c r="CU51" s="171">
        <f t="shared" ref="CU51:CU78" si="91">BA$370/$BF51*$BI51</f>
        <v>0</v>
      </c>
      <c r="CV51" s="170">
        <f t="shared" si="48"/>
        <v>0</v>
      </c>
      <c r="CW51" s="90">
        <f t="shared" ref="CW51:CW78" si="92">$AD$335/BF51*BI51*$CY$16</f>
        <v>0</v>
      </c>
      <c r="CX51" s="171">
        <f t="shared" ref="CX51:CX78" si="93">BB$370/$BF51*$BI51</f>
        <v>0</v>
      </c>
      <c r="CY51" s="170">
        <f t="shared" si="51"/>
        <v>0</v>
      </c>
      <c r="CZ51" s="168">
        <f t="shared" si="52"/>
        <v>0</v>
      </c>
      <c r="DA51" s="172">
        <f t="shared" si="54"/>
        <v>0</v>
      </c>
      <c r="DB51" s="173">
        <f t="shared" si="55"/>
        <v>0</v>
      </c>
      <c r="DC51" s="172">
        <f t="shared" si="60"/>
        <v>0</v>
      </c>
      <c r="DD51" s="172">
        <f t="shared" si="60"/>
        <v>0</v>
      </c>
      <c r="DE51" s="172">
        <f t="shared" si="60"/>
        <v>0</v>
      </c>
      <c r="DF51" s="172">
        <f>IF(DA51-(DE50+CZ51)&lt;0,0,DA51-(DE50+CZ51))</f>
        <v>0</v>
      </c>
      <c r="DG51" s="1"/>
      <c r="DH51" s="1"/>
      <c r="DI51" s="3"/>
      <c r="DJ51" s="8"/>
      <c r="DK51" s="8"/>
      <c r="DL51" s="8"/>
      <c r="DM51" s="8"/>
      <c r="DN51" s="8"/>
      <c r="DO51" s="8"/>
      <c r="DP51" s="8"/>
      <c r="DQ51" s="3"/>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3"/>
      <c r="FA51" s="3"/>
    </row>
    <row r="52" spans="1:157" s="571" customFormat="1" ht="17.25" customHeight="1">
      <c r="A52" s="181"/>
      <c r="B52" s="43" t="s">
        <v>192</v>
      </c>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5"/>
      <c r="BE52" s="206" t="s">
        <v>12</v>
      </c>
      <c r="BF52" s="207">
        <v>20</v>
      </c>
      <c r="BG52" s="207">
        <v>2</v>
      </c>
      <c r="BH52" s="207">
        <v>2</v>
      </c>
      <c r="BI52" s="208" t="b">
        <f t="shared" si="53"/>
        <v>1</v>
      </c>
      <c r="BJ52" s="209" t="b">
        <f t="shared" si="68"/>
        <v>1</v>
      </c>
      <c r="BK52" s="210">
        <f t="shared" si="69"/>
        <v>6.9230769230769234</v>
      </c>
      <c r="BL52" s="211">
        <f>IF(SUM(BL$51:BL51,BK52)&gt;$BK$4,0,BK52)</f>
        <v>6.9230769230769234</v>
      </c>
      <c r="BM52" s="207">
        <f t="shared" si="14"/>
        <v>0</v>
      </c>
      <c r="BN52" s="208">
        <f t="shared" si="15"/>
        <v>0</v>
      </c>
      <c r="BO52" s="212">
        <f t="shared" si="59"/>
        <v>0</v>
      </c>
      <c r="BP52" s="168">
        <f t="shared" si="70"/>
        <v>0</v>
      </c>
      <c r="BQ52" s="171">
        <f t="shared" si="71"/>
        <v>0</v>
      </c>
      <c r="BR52" s="170">
        <f t="shared" si="18"/>
        <v>0</v>
      </c>
      <c r="BS52" s="168">
        <f t="shared" si="72"/>
        <v>0</v>
      </c>
      <c r="BT52" s="171">
        <f t="shared" si="73"/>
        <v>0</v>
      </c>
      <c r="BU52" s="170">
        <f t="shared" si="21"/>
        <v>0</v>
      </c>
      <c r="BV52" s="168">
        <f t="shared" si="74"/>
        <v>0</v>
      </c>
      <c r="BW52" s="171">
        <f t="shared" si="75"/>
        <v>0</v>
      </c>
      <c r="BX52" s="170">
        <f t="shared" si="24"/>
        <v>0</v>
      </c>
      <c r="BY52" s="168">
        <f t="shared" si="76"/>
        <v>0</v>
      </c>
      <c r="BZ52" s="171">
        <f t="shared" si="77"/>
        <v>0</v>
      </c>
      <c r="CA52" s="170">
        <f t="shared" si="27"/>
        <v>0</v>
      </c>
      <c r="CB52" s="208">
        <f t="shared" si="78"/>
        <v>0</v>
      </c>
      <c r="CC52" s="171">
        <f t="shared" si="79"/>
        <v>0</v>
      </c>
      <c r="CD52" s="170">
        <f t="shared" si="30"/>
        <v>0</v>
      </c>
      <c r="CE52" s="208">
        <f t="shared" si="80"/>
        <v>0</v>
      </c>
      <c r="CF52" s="171">
        <f t="shared" si="81"/>
        <v>0</v>
      </c>
      <c r="CG52" s="170">
        <f t="shared" si="33"/>
        <v>0</v>
      </c>
      <c r="CH52" s="208">
        <f t="shared" si="82"/>
        <v>0</v>
      </c>
      <c r="CI52" s="171">
        <f t="shared" si="83"/>
        <v>0</v>
      </c>
      <c r="CJ52" s="170">
        <f t="shared" si="36"/>
        <v>0</v>
      </c>
      <c r="CK52" s="90">
        <f t="shared" si="84"/>
        <v>0</v>
      </c>
      <c r="CL52" s="171">
        <f t="shared" si="85"/>
        <v>0</v>
      </c>
      <c r="CM52" s="170">
        <f t="shared" si="39"/>
        <v>0</v>
      </c>
      <c r="CN52" s="90">
        <f t="shared" si="86"/>
        <v>0</v>
      </c>
      <c r="CO52" s="171">
        <f t="shared" si="87"/>
        <v>0</v>
      </c>
      <c r="CP52" s="170">
        <f t="shared" si="42"/>
        <v>0</v>
      </c>
      <c r="CQ52" s="90">
        <f t="shared" si="88"/>
        <v>0</v>
      </c>
      <c r="CR52" s="171">
        <f t="shared" si="89"/>
        <v>0</v>
      </c>
      <c r="CS52" s="170">
        <f t="shared" si="45"/>
        <v>0</v>
      </c>
      <c r="CT52" s="90">
        <f t="shared" si="90"/>
        <v>0</v>
      </c>
      <c r="CU52" s="171">
        <f t="shared" si="91"/>
        <v>0</v>
      </c>
      <c r="CV52" s="170">
        <f t="shared" si="48"/>
        <v>0</v>
      </c>
      <c r="CW52" s="90">
        <f t="shared" si="92"/>
        <v>0</v>
      </c>
      <c r="CX52" s="171">
        <f t="shared" si="93"/>
        <v>0</v>
      </c>
      <c r="CY52" s="170">
        <f t="shared" si="51"/>
        <v>0</v>
      </c>
      <c r="CZ52" s="213">
        <f t="shared" si="52"/>
        <v>0</v>
      </c>
      <c r="DA52" s="172">
        <f t="shared" si="54"/>
        <v>0</v>
      </c>
      <c r="DB52" s="214">
        <f t="shared" si="55"/>
        <v>0</v>
      </c>
      <c r="DC52" s="215">
        <f t="shared" si="60"/>
        <v>0</v>
      </c>
      <c r="DD52" s="215">
        <f t="shared" si="60"/>
        <v>0</v>
      </c>
      <c r="DE52" s="215">
        <f t="shared" si="60"/>
        <v>0</v>
      </c>
      <c r="DF52" s="215">
        <f t="shared" si="57"/>
        <v>0</v>
      </c>
      <c r="DG52" s="62"/>
      <c r="DH52" s="62"/>
      <c r="DI52" s="27"/>
      <c r="DJ52" s="7"/>
      <c r="DK52" s="7"/>
      <c r="DL52" s="7"/>
      <c r="DM52" s="7"/>
      <c r="DN52" s="7"/>
      <c r="DO52" s="7"/>
      <c r="DP52" s="7"/>
      <c r="DQ52" s="27"/>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22"/>
      <c r="FA52" s="22"/>
    </row>
    <row r="53" spans="1:157" s="565" customFormat="1">
      <c r="A53" s="216"/>
      <c r="B53" s="217" t="s">
        <v>193</v>
      </c>
      <c r="C53" s="218"/>
      <c r="D53" s="218"/>
      <c r="E53" s="218"/>
      <c r="F53" s="218"/>
      <c r="G53" s="218"/>
      <c r="H53" s="218"/>
      <c r="I53" s="218"/>
      <c r="J53" s="218"/>
      <c r="K53" s="218"/>
      <c r="L53" s="218"/>
      <c r="M53" s="218"/>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45"/>
      <c r="BE53" s="165" t="s">
        <v>12</v>
      </c>
      <c r="BF53" s="23">
        <v>20</v>
      </c>
      <c r="BG53" s="23">
        <v>3</v>
      </c>
      <c r="BH53" s="23">
        <v>3</v>
      </c>
      <c r="BI53" s="90" t="b">
        <f t="shared" si="53"/>
        <v>1</v>
      </c>
      <c r="BJ53" s="46" t="b">
        <f t="shared" si="68"/>
        <v>0</v>
      </c>
      <c r="BK53" s="166">
        <f t="shared" si="69"/>
        <v>0</v>
      </c>
      <c r="BL53" s="175">
        <f>IF(SUM(BL$51:BL52,BK53)&gt;$BK$4,0,BK53)</f>
        <v>0</v>
      </c>
      <c r="BM53" s="23">
        <f t="shared" si="14"/>
        <v>0</v>
      </c>
      <c r="BN53" s="90">
        <f t="shared" si="15"/>
        <v>0</v>
      </c>
      <c r="BO53" s="24">
        <f t="shared" si="59"/>
        <v>0</v>
      </c>
      <c r="BP53" s="168">
        <f t="shared" si="70"/>
        <v>0</v>
      </c>
      <c r="BQ53" s="171">
        <f t="shared" si="71"/>
        <v>0</v>
      </c>
      <c r="BR53" s="170">
        <f t="shared" si="18"/>
        <v>0</v>
      </c>
      <c r="BS53" s="168">
        <f t="shared" si="72"/>
        <v>0</v>
      </c>
      <c r="BT53" s="171">
        <f t="shared" si="73"/>
        <v>0</v>
      </c>
      <c r="BU53" s="170">
        <f t="shared" si="21"/>
        <v>0</v>
      </c>
      <c r="BV53" s="168">
        <f t="shared" si="74"/>
        <v>0</v>
      </c>
      <c r="BW53" s="171">
        <f t="shared" si="75"/>
        <v>0</v>
      </c>
      <c r="BX53" s="170">
        <f t="shared" si="24"/>
        <v>0</v>
      </c>
      <c r="BY53" s="168">
        <f t="shared" si="76"/>
        <v>0</v>
      </c>
      <c r="BZ53" s="171">
        <f t="shared" si="77"/>
        <v>0</v>
      </c>
      <c r="CA53" s="170">
        <f t="shared" si="27"/>
        <v>0</v>
      </c>
      <c r="CB53" s="90">
        <f t="shared" si="78"/>
        <v>0</v>
      </c>
      <c r="CC53" s="171">
        <f t="shared" si="79"/>
        <v>0</v>
      </c>
      <c r="CD53" s="170">
        <f t="shared" si="30"/>
        <v>0</v>
      </c>
      <c r="CE53" s="90">
        <f t="shared" si="80"/>
        <v>0</v>
      </c>
      <c r="CF53" s="171">
        <f t="shared" si="81"/>
        <v>0</v>
      </c>
      <c r="CG53" s="170">
        <f t="shared" si="33"/>
        <v>0</v>
      </c>
      <c r="CH53" s="90">
        <f t="shared" si="82"/>
        <v>0</v>
      </c>
      <c r="CI53" s="171">
        <f t="shared" si="83"/>
        <v>0</v>
      </c>
      <c r="CJ53" s="170">
        <f t="shared" si="36"/>
        <v>0</v>
      </c>
      <c r="CK53" s="90">
        <f t="shared" si="84"/>
        <v>0</v>
      </c>
      <c r="CL53" s="171">
        <f t="shared" si="85"/>
        <v>0</v>
      </c>
      <c r="CM53" s="170">
        <f t="shared" si="39"/>
        <v>0</v>
      </c>
      <c r="CN53" s="90">
        <f t="shared" si="86"/>
        <v>0</v>
      </c>
      <c r="CO53" s="171">
        <f t="shared" si="87"/>
        <v>0</v>
      </c>
      <c r="CP53" s="170">
        <f t="shared" si="42"/>
        <v>0</v>
      </c>
      <c r="CQ53" s="90">
        <f t="shared" si="88"/>
        <v>0</v>
      </c>
      <c r="CR53" s="171">
        <f t="shared" si="89"/>
        <v>0</v>
      </c>
      <c r="CS53" s="170">
        <f t="shared" si="45"/>
        <v>0</v>
      </c>
      <c r="CT53" s="90">
        <f t="shared" si="90"/>
        <v>0</v>
      </c>
      <c r="CU53" s="171">
        <f t="shared" si="91"/>
        <v>0</v>
      </c>
      <c r="CV53" s="170">
        <f t="shared" si="48"/>
        <v>0</v>
      </c>
      <c r="CW53" s="90">
        <f t="shared" si="92"/>
        <v>0</v>
      </c>
      <c r="CX53" s="171">
        <f t="shared" si="93"/>
        <v>0</v>
      </c>
      <c r="CY53" s="170">
        <f t="shared" si="51"/>
        <v>0</v>
      </c>
      <c r="CZ53" s="168">
        <f t="shared" si="52"/>
        <v>0</v>
      </c>
      <c r="DA53" s="172">
        <f t="shared" si="54"/>
        <v>0</v>
      </c>
      <c r="DB53" s="173">
        <f t="shared" si="55"/>
        <v>0</v>
      </c>
      <c r="DC53" s="172">
        <f t="shared" ref="DC53:DE68" si="94">IF(DC52+$DB53&lt;0,0,IF(DC52+$DB53&gt;$F$405,$F$405,DC52+$DB53))</f>
        <v>0</v>
      </c>
      <c r="DD53" s="172">
        <f t="shared" si="94"/>
        <v>0</v>
      </c>
      <c r="DE53" s="172">
        <f t="shared" si="94"/>
        <v>0</v>
      </c>
      <c r="DF53" s="172">
        <f t="shared" si="57"/>
        <v>0</v>
      </c>
      <c r="DG53" s="1"/>
      <c r="DH53" s="1"/>
      <c r="DI53" s="3"/>
      <c r="DJ53" s="8"/>
      <c r="DK53" s="8"/>
      <c r="DL53" s="8"/>
      <c r="DM53" s="8"/>
      <c r="DN53" s="8"/>
      <c r="DO53" s="8"/>
      <c r="DP53" s="8"/>
      <c r="DQ53" s="3"/>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3"/>
      <c r="FA53" s="3"/>
    </row>
    <row r="54" spans="1:157" s="565" customFormat="1" ht="20.25" hidden="1" customHeight="1">
      <c r="A54" s="41"/>
      <c r="B54" s="53" t="s">
        <v>194</v>
      </c>
      <c r="C54" s="22"/>
      <c r="D54" s="22"/>
      <c r="E54" s="22"/>
      <c r="F54" s="22"/>
      <c r="G54" s="22"/>
      <c r="H54" s="22"/>
      <c r="I54" s="22"/>
      <c r="J54" s="22"/>
      <c r="K54" s="22"/>
      <c r="L54" s="22"/>
      <c r="M54" s="22"/>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45"/>
      <c r="BE54" s="165" t="s">
        <v>12</v>
      </c>
      <c r="BF54" s="23">
        <v>20</v>
      </c>
      <c r="BG54" s="23">
        <v>4</v>
      </c>
      <c r="BH54" s="23">
        <v>4</v>
      </c>
      <c r="BI54" s="90" t="b">
        <f t="shared" si="53"/>
        <v>1</v>
      </c>
      <c r="BJ54" s="46" t="b">
        <f t="shared" si="68"/>
        <v>1</v>
      </c>
      <c r="BK54" s="166">
        <f t="shared" si="69"/>
        <v>6.9230769230769234</v>
      </c>
      <c r="BL54" s="175">
        <f>IF(SUM(BL$51:BL53,BK54)&gt;$BK$4,0,BK54)</f>
        <v>6.9230769230769234</v>
      </c>
      <c r="BM54" s="23">
        <f t="shared" si="14"/>
        <v>0</v>
      </c>
      <c r="BN54" s="90">
        <f t="shared" si="15"/>
        <v>0</v>
      </c>
      <c r="BO54" s="24">
        <f t="shared" si="59"/>
        <v>0</v>
      </c>
      <c r="BP54" s="168">
        <f t="shared" si="70"/>
        <v>0</v>
      </c>
      <c r="BQ54" s="171">
        <f t="shared" si="71"/>
        <v>0</v>
      </c>
      <c r="BR54" s="170">
        <f t="shared" si="18"/>
        <v>0</v>
      </c>
      <c r="BS54" s="168">
        <f t="shared" si="72"/>
        <v>0</v>
      </c>
      <c r="BT54" s="171">
        <f t="shared" si="73"/>
        <v>0</v>
      </c>
      <c r="BU54" s="170">
        <f t="shared" si="21"/>
        <v>0</v>
      </c>
      <c r="BV54" s="168">
        <f t="shared" si="74"/>
        <v>0</v>
      </c>
      <c r="BW54" s="171">
        <f t="shared" si="75"/>
        <v>0</v>
      </c>
      <c r="BX54" s="170">
        <f t="shared" si="24"/>
        <v>0</v>
      </c>
      <c r="BY54" s="168">
        <f t="shared" si="76"/>
        <v>0</v>
      </c>
      <c r="BZ54" s="171">
        <f t="shared" si="77"/>
        <v>0</v>
      </c>
      <c r="CA54" s="170">
        <f t="shared" si="27"/>
        <v>0</v>
      </c>
      <c r="CB54" s="90">
        <f t="shared" si="78"/>
        <v>0</v>
      </c>
      <c r="CC54" s="171">
        <f t="shared" si="79"/>
        <v>0</v>
      </c>
      <c r="CD54" s="170">
        <f t="shared" si="30"/>
        <v>0</v>
      </c>
      <c r="CE54" s="90">
        <f t="shared" si="80"/>
        <v>0</v>
      </c>
      <c r="CF54" s="171">
        <f t="shared" si="81"/>
        <v>0</v>
      </c>
      <c r="CG54" s="170">
        <f t="shared" si="33"/>
        <v>0</v>
      </c>
      <c r="CH54" s="90">
        <f t="shared" si="82"/>
        <v>0</v>
      </c>
      <c r="CI54" s="171">
        <f t="shared" si="83"/>
        <v>0</v>
      </c>
      <c r="CJ54" s="170">
        <f t="shared" si="36"/>
        <v>0</v>
      </c>
      <c r="CK54" s="90">
        <f t="shared" si="84"/>
        <v>0</v>
      </c>
      <c r="CL54" s="171">
        <f t="shared" si="85"/>
        <v>0</v>
      </c>
      <c r="CM54" s="170">
        <f t="shared" si="39"/>
        <v>0</v>
      </c>
      <c r="CN54" s="90">
        <f t="shared" si="86"/>
        <v>0</v>
      </c>
      <c r="CO54" s="171">
        <f t="shared" si="87"/>
        <v>0</v>
      </c>
      <c r="CP54" s="170">
        <f t="shared" si="42"/>
        <v>0</v>
      </c>
      <c r="CQ54" s="90">
        <f t="shared" si="88"/>
        <v>0</v>
      </c>
      <c r="CR54" s="171">
        <f t="shared" si="89"/>
        <v>0</v>
      </c>
      <c r="CS54" s="170">
        <f t="shared" si="45"/>
        <v>0</v>
      </c>
      <c r="CT54" s="90">
        <f t="shared" si="90"/>
        <v>0</v>
      </c>
      <c r="CU54" s="171">
        <f t="shared" si="91"/>
        <v>0</v>
      </c>
      <c r="CV54" s="170">
        <f t="shared" si="48"/>
        <v>0</v>
      </c>
      <c r="CW54" s="90">
        <f t="shared" si="92"/>
        <v>0</v>
      </c>
      <c r="CX54" s="171">
        <f t="shared" si="93"/>
        <v>0</v>
      </c>
      <c r="CY54" s="170">
        <f t="shared" si="51"/>
        <v>0</v>
      </c>
      <c r="CZ54" s="168">
        <f t="shared" si="52"/>
        <v>0</v>
      </c>
      <c r="DA54" s="172">
        <f t="shared" si="54"/>
        <v>0</v>
      </c>
      <c r="DB54" s="173">
        <f t="shared" si="55"/>
        <v>0</v>
      </c>
      <c r="DC54" s="172">
        <f t="shared" si="94"/>
        <v>0</v>
      </c>
      <c r="DD54" s="172">
        <f t="shared" si="94"/>
        <v>0</v>
      </c>
      <c r="DE54" s="172">
        <f t="shared" si="94"/>
        <v>0</v>
      </c>
      <c r="DF54" s="172">
        <f t="shared" si="57"/>
        <v>0</v>
      </c>
      <c r="DG54" s="1"/>
      <c r="DH54" s="1"/>
      <c r="DI54" s="27"/>
      <c r="DJ54" s="7"/>
      <c r="DK54" s="7"/>
      <c r="DL54" s="7"/>
      <c r="DM54" s="7"/>
      <c r="DN54" s="7"/>
      <c r="DO54" s="7"/>
      <c r="DP54" s="7"/>
      <c r="DQ54" s="27"/>
      <c r="DR54" s="8"/>
      <c r="DS54" s="8"/>
      <c r="DT54" s="8"/>
      <c r="DU54" s="8"/>
      <c r="DV54" s="8"/>
      <c r="DW54" s="8"/>
      <c r="DX54" s="219"/>
      <c r="DY54" s="219"/>
      <c r="DZ54" s="219"/>
      <c r="EA54" s="219"/>
      <c r="EB54" s="219"/>
      <c r="EC54" s="219"/>
      <c r="ED54" s="219"/>
      <c r="EE54" s="219"/>
      <c r="EF54" s="219"/>
      <c r="EG54" s="219"/>
      <c r="EH54" s="219"/>
      <c r="EI54" s="219"/>
      <c r="EJ54" s="8"/>
      <c r="EK54" s="8"/>
      <c r="EL54" s="8"/>
      <c r="EM54" s="8"/>
      <c r="EN54" s="8"/>
      <c r="EO54" s="8"/>
      <c r="EP54" s="8"/>
      <c r="EQ54" s="8"/>
      <c r="ER54" s="8"/>
      <c r="ES54" s="8"/>
      <c r="ET54" s="8"/>
      <c r="EU54" s="8"/>
      <c r="EV54" s="8"/>
      <c r="EW54" s="8"/>
      <c r="EX54" s="8"/>
      <c r="EY54" s="8"/>
      <c r="EZ54" s="3"/>
      <c r="FA54" s="3"/>
    </row>
    <row r="55" spans="1:157" s="565" customFormat="1" ht="11.25" hidden="1">
      <c r="A55" s="51"/>
      <c r="B55" s="3"/>
      <c r="C55" s="3"/>
      <c r="D55" s="3"/>
      <c r="E55" s="3"/>
      <c r="F55" s="3"/>
      <c r="G55" s="3"/>
      <c r="H55" s="3"/>
      <c r="I55" s="3"/>
      <c r="J55" s="3"/>
      <c r="K55" s="3"/>
      <c r="L55" s="3"/>
      <c r="M55" s="3"/>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45"/>
      <c r="BE55" s="165" t="s">
        <v>12</v>
      </c>
      <c r="BF55" s="23">
        <v>20</v>
      </c>
      <c r="BG55" s="23">
        <v>5</v>
      </c>
      <c r="BH55" s="23">
        <v>5</v>
      </c>
      <c r="BI55" s="90" t="b">
        <f t="shared" si="53"/>
        <v>1</v>
      </c>
      <c r="BJ55" s="46" t="b">
        <f t="shared" si="68"/>
        <v>0</v>
      </c>
      <c r="BK55" s="166">
        <f t="shared" si="69"/>
        <v>0</v>
      </c>
      <c r="BL55" s="175">
        <f>IF(SUM(BL$51:BL54,BK55)&gt;$BK$4,0,BK55)</f>
        <v>0</v>
      </c>
      <c r="BM55" s="23">
        <f t="shared" si="14"/>
        <v>0</v>
      </c>
      <c r="BN55" s="90">
        <f t="shared" si="15"/>
        <v>0</v>
      </c>
      <c r="BO55" s="24">
        <f t="shared" si="59"/>
        <v>0</v>
      </c>
      <c r="BP55" s="168">
        <f t="shared" si="70"/>
        <v>0</v>
      </c>
      <c r="BQ55" s="171">
        <f t="shared" si="71"/>
        <v>0</v>
      </c>
      <c r="BR55" s="170">
        <f t="shared" si="18"/>
        <v>0</v>
      </c>
      <c r="BS55" s="168">
        <f t="shared" si="72"/>
        <v>0</v>
      </c>
      <c r="BT55" s="171">
        <f t="shared" si="73"/>
        <v>0</v>
      </c>
      <c r="BU55" s="170">
        <f t="shared" si="21"/>
        <v>0</v>
      </c>
      <c r="BV55" s="168">
        <f t="shared" si="74"/>
        <v>0</v>
      </c>
      <c r="BW55" s="171">
        <f t="shared" si="75"/>
        <v>0</v>
      </c>
      <c r="BX55" s="170">
        <f t="shared" si="24"/>
        <v>0</v>
      </c>
      <c r="BY55" s="168">
        <f t="shared" si="76"/>
        <v>0</v>
      </c>
      <c r="BZ55" s="171">
        <f t="shared" si="77"/>
        <v>0</v>
      </c>
      <c r="CA55" s="170">
        <f t="shared" si="27"/>
        <v>0</v>
      </c>
      <c r="CB55" s="90">
        <f t="shared" si="78"/>
        <v>0</v>
      </c>
      <c r="CC55" s="171">
        <f t="shared" si="79"/>
        <v>0</v>
      </c>
      <c r="CD55" s="170">
        <f t="shared" si="30"/>
        <v>0</v>
      </c>
      <c r="CE55" s="90">
        <f t="shared" si="80"/>
        <v>0</v>
      </c>
      <c r="CF55" s="171">
        <f t="shared" si="81"/>
        <v>0</v>
      </c>
      <c r="CG55" s="170">
        <f t="shared" si="33"/>
        <v>0</v>
      </c>
      <c r="CH55" s="90">
        <f t="shared" si="82"/>
        <v>0</v>
      </c>
      <c r="CI55" s="171">
        <f t="shared" si="83"/>
        <v>0</v>
      </c>
      <c r="CJ55" s="170">
        <f t="shared" si="36"/>
        <v>0</v>
      </c>
      <c r="CK55" s="90">
        <f t="shared" si="84"/>
        <v>0</v>
      </c>
      <c r="CL55" s="171">
        <f t="shared" si="85"/>
        <v>0</v>
      </c>
      <c r="CM55" s="170">
        <f t="shared" si="39"/>
        <v>0</v>
      </c>
      <c r="CN55" s="90">
        <f t="shared" si="86"/>
        <v>0</v>
      </c>
      <c r="CO55" s="171">
        <f t="shared" si="87"/>
        <v>0</v>
      </c>
      <c r="CP55" s="170">
        <f t="shared" si="42"/>
        <v>0</v>
      </c>
      <c r="CQ55" s="90">
        <f t="shared" si="88"/>
        <v>0</v>
      </c>
      <c r="CR55" s="171">
        <f t="shared" si="89"/>
        <v>0</v>
      </c>
      <c r="CS55" s="170">
        <f t="shared" si="45"/>
        <v>0</v>
      </c>
      <c r="CT55" s="90">
        <f t="shared" si="90"/>
        <v>0</v>
      </c>
      <c r="CU55" s="171">
        <f t="shared" si="91"/>
        <v>0</v>
      </c>
      <c r="CV55" s="170">
        <f t="shared" si="48"/>
        <v>0</v>
      </c>
      <c r="CW55" s="90">
        <f t="shared" si="92"/>
        <v>0</v>
      </c>
      <c r="CX55" s="171">
        <f t="shared" si="93"/>
        <v>0</v>
      </c>
      <c r="CY55" s="170">
        <f t="shared" si="51"/>
        <v>0</v>
      </c>
      <c r="CZ55" s="168">
        <f t="shared" si="52"/>
        <v>0</v>
      </c>
      <c r="DA55" s="172">
        <f t="shared" si="54"/>
        <v>0</v>
      </c>
      <c r="DB55" s="173">
        <f t="shared" si="55"/>
        <v>0</v>
      </c>
      <c r="DC55" s="172">
        <f t="shared" si="94"/>
        <v>0</v>
      </c>
      <c r="DD55" s="172">
        <f t="shared" si="94"/>
        <v>0</v>
      </c>
      <c r="DE55" s="172">
        <f t="shared" si="94"/>
        <v>0</v>
      </c>
      <c r="DF55" s="172">
        <f t="shared" si="57"/>
        <v>0</v>
      </c>
      <c r="DG55" s="1"/>
      <c r="DH55" s="1"/>
      <c r="DI55" s="3"/>
      <c r="DJ55" s="8"/>
      <c r="DK55" s="8"/>
      <c r="DL55" s="8"/>
      <c r="DM55" s="8"/>
      <c r="DN55" s="8"/>
      <c r="DO55" s="8"/>
      <c r="DP55" s="8"/>
      <c r="DQ55" s="3"/>
      <c r="DR55" s="8"/>
      <c r="DS55" s="8"/>
      <c r="DT55" s="8"/>
      <c r="DU55" s="8"/>
      <c r="DV55" s="8"/>
      <c r="DW55" s="8"/>
      <c r="DX55" s="220"/>
      <c r="DY55" s="220"/>
      <c r="DZ55" s="220"/>
      <c r="EA55" s="220"/>
      <c r="EB55" s="220"/>
      <c r="EC55" s="220"/>
      <c r="ED55" s="220"/>
      <c r="EE55" s="220"/>
      <c r="EF55" s="220"/>
      <c r="EG55" s="220"/>
      <c r="EH55" s="220"/>
      <c r="EI55" s="220"/>
      <c r="EJ55" s="8"/>
      <c r="EK55" s="8"/>
      <c r="EL55" s="8"/>
      <c r="EM55" s="8"/>
      <c r="EN55" s="8"/>
      <c r="EO55" s="8"/>
      <c r="EP55" s="8"/>
      <c r="EQ55" s="8"/>
      <c r="ER55" s="8"/>
      <c r="ES55" s="8"/>
      <c r="ET55" s="8"/>
      <c r="EU55" s="8"/>
      <c r="EV55" s="8"/>
      <c r="EW55" s="8"/>
      <c r="EX55" s="8"/>
      <c r="EY55" s="8"/>
      <c r="EZ55" s="3"/>
      <c r="FA55" s="3"/>
    </row>
    <row r="56" spans="1:157" s="565" customFormat="1" ht="21" customHeight="1">
      <c r="A56" s="221"/>
      <c r="B56" s="222" t="s">
        <v>195</v>
      </c>
      <c r="C56" s="222"/>
      <c r="D56" s="222"/>
      <c r="E56" s="222"/>
      <c r="F56" s="222"/>
      <c r="G56" s="51"/>
      <c r="H56" s="3"/>
      <c r="I56" s="3"/>
      <c r="J56" s="3"/>
      <c r="K56" s="3"/>
      <c r="L56" s="3"/>
      <c r="M56" s="3"/>
      <c r="N56" s="14"/>
      <c r="O56" s="14"/>
      <c r="P56" s="742" t="s">
        <v>196</v>
      </c>
      <c r="Q56" s="742"/>
      <c r="R56" s="223">
        <f>$V$30</f>
        <v>0</v>
      </c>
      <c r="S56" s="14"/>
      <c r="T56" s="743" t="s">
        <v>197</v>
      </c>
      <c r="U56" s="743"/>
      <c r="V56" s="743"/>
      <c r="W56" s="743"/>
      <c r="X56" s="744" t="s">
        <v>36</v>
      </c>
      <c r="Y56" s="744"/>
      <c r="Z56" s="744"/>
      <c r="AA56" s="74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45"/>
      <c r="BE56" s="165" t="s">
        <v>12</v>
      </c>
      <c r="BF56" s="23">
        <v>20</v>
      </c>
      <c r="BG56" s="23">
        <v>6</v>
      </c>
      <c r="BH56" s="23">
        <v>6</v>
      </c>
      <c r="BI56" s="90" t="b">
        <f t="shared" si="53"/>
        <v>0</v>
      </c>
      <c r="BJ56" s="46" t="b">
        <f t="shared" si="68"/>
        <v>1</v>
      </c>
      <c r="BK56" s="166">
        <f t="shared" si="69"/>
        <v>6.9230769230769234</v>
      </c>
      <c r="BL56" s="175">
        <f>IF(SUM(BL$51:BL55,BK56)&gt;$BK$4,0,BK56)</f>
        <v>6.9230769230769234</v>
      </c>
      <c r="BM56" s="23">
        <f t="shared" si="14"/>
        <v>0</v>
      </c>
      <c r="BN56" s="90">
        <f t="shared" si="15"/>
        <v>0</v>
      </c>
      <c r="BO56" s="24">
        <f t="shared" si="59"/>
        <v>0</v>
      </c>
      <c r="BP56" s="168">
        <f t="shared" si="70"/>
        <v>0</v>
      </c>
      <c r="BQ56" s="171">
        <f t="shared" si="71"/>
        <v>0</v>
      </c>
      <c r="BR56" s="170">
        <f t="shared" si="18"/>
        <v>0</v>
      </c>
      <c r="BS56" s="168">
        <f t="shared" si="72"/>
        <v>0</v>
      </c>
      <c r="BT56" s="171">
        <f t="shared" si="73"/>
        <v>0</v>
      </c>
      <c r="BU56" s="170">
        <f t="shared" si="21"/>
        <v>0</v>
      </c>
      <c r="BV56" s="168">
        <f t="shared" si="74"/>
        <v>0</v>
      </c>
      <c r="BW56" s="171">
        <f t="shared" si="75"/>
        <v>0</v>
      </c>
      <c r="BX56" s="170">
        <f t="shared" si="24"/>
        <v>0</v>
      </c>
      <c r="BY56" s="168">
        <f t="shared" si="76"/>
        <v>0</v>
      </c>
      <c r="BZ56" s="171">
        <f t="shared" si="77"/>
        <v>0</v>
      </c>
      <c r="CA56" s="170">
        <f t="shared" si="27"/>
        <v>0</v>
      </c>
      <c r="CB56" s="90">
        <f t="shared" si="78"/>
        <v>0</v>
      </c>
      <c r="CC56" s="171">
        <f t="shared" si="79"/>
        <v>0</v>
      </c>
      <c r="CD56" s="170">
        <f t="shared" si="30"/>
        <v>0</v>
      </c>
      <c r="CE56" s="90">
        <f t="shared" si="80"/>
        <v>0</v>
      </c>
      <c r="CF56" s="171">
        <f t="shared" si="81"/>
        <v>0</v>
      </c>
      <c r="CG56" s="170">
        <f t="shared" si="33"/>
        <v>0</v>
      </c>
      <c r="CH56" s="90">
        <f t="shared" si="82"/>
        <v>0</v>
      </c>
      <c r="CI56" s="171">
        <f t="shared" si="83"/>
        <v>0</v>
      </c>
      <c r="CJ56" s="170">
        <f t="shared" si="36"/>
        <v>0</v>
      </c>
      <c r="CK56" s="90">
        <f t="shared" si="84"/>
        <v>0</v>
      </c>
      <c r="CL56" s="171">
        <f t="shared" si="85"/>
        <v>0</v>
      </c>
      <c r="CM56" s="170">
        <f t="shared" si="39"/>
        <v>0</v>
      </c>
      <c r="CN56" s="90">
        <f t="shared" si="86"/>
        <v>0</v>
      </c>
      <c r="CO56" s="171">
        <f t="shared" si="87"/>
        <v>0</v>
      </c>
      <c r="CP56" s="170">
        <f t="shared" si="42"/>
        <v>0</v>
      </c>
      <c r="CQ56" s="90">
        <f t="shared" si="88"/>
        <v>0</v>
      </c>
      <c r="CR56" s="171">
        <f t="shared" si="89"/>
        <v>0</v>
      </c>
      <c r="CS56" s="170">
        <f t="shared" si="45"/>
        <v>0</v>
      </c>
      <c r="CT56" s="90">
        <f t="shared" si="90"/>
        <v>0</v>
      </c>
      <c r="CU56" s="171">
        <f t="shared" si="91"/>
        <v>0</v>
      </c>
      <c r="CV56" s="170">
        <f t="shared" si="48"/>
        <v>0</v>
      </c>
      <c r="CW56" s="90">
        <f t="shared" si="92"/>
        <v>0</v>
      </c>
      <c r="CX56" s="171">
        <f t="shared" si="93"/>
        <v>0</v>
      </c>
      <c r="CY56" s="170">
        <f t="shared" si="51"/>
        <v>0</v>
      </c>
      <c r="CZ56" s="168">
        <f t="shared" si="52"/>
        <v>0</v>
      </c>
      <c r="DA56" s="172">
        <f t="shared" si="54"/>
        <v>0</v>
      </c>
      <c r="DB56" s="173">
        <f t="shared" si="55"/>
        <v>0</v>
      </c>
      <c r="DC56" s="172">
        <f t="shared" si="94"/>
        <v>0</v>
      </c>
      <c r="DD56" s="172">
        <f t="shared" si="94"/>
        <v>0</v>
      </c>
      <c r="DE56" s="172">
        <f t="shared" si="94"/>
        <v>0</v>
      </c>
      <c r="DF56" s="172">
        <f t="shared" si="57"/>
        <v>0</v>
      </c>
      <c r="DG56" s="1"/>
      <c r="DH56" s="1"/>
      <c r="DI56" s="3"/>
      <c r="DJ56" s="224"/>
      <c r="DK56" s="137"/>
      <c r="DL56" s="225"/>
      <c r="DM56" s="225"/>
      <c r="DN56" s="226"/>
      <c r="DO56" s="219"/>
      <c r="DP56" s="8"/>
      <c r="DQ56" s="3"/>
      <c r="DR56" s="8"/>
      <c r="DS56" s="8"/>
      <c r="DT56" s="8"/>
      <c r="DU56" s="8"/>
      <c r="DV56" s="8"/>
      <c r="DW56" s="8"/>
      <c r="DX56" s="227"/>
      <c r="DY56" s="227"/>
      <c r="DZ56" s="227"/>
      <c r="EA56" s="227"/>
      <c r="EB56" s="227"/>
      <c r="EC56" s="227"/>
      <c r="ED56" s="227"/>
      <c r="EE56" s="227"/>
      <c r="EF56" s="227"/>
      <c r="EG56" s="227"/>
      <c r="EH56" s="227"/>
      <c r="EI56" s="227"/>
      <c r="EJ56" s="8"/>
      <c r="EK56" s="8"/>
      <c r="EL56" s="8"/>
      <c r="EM56" s="8"/>
      <c r="EN56" s="8"/>
      <c r="EO56" s="8"/>
      <c r="EP56" s="8"/>
      <c r="EQ56" s="8"/>
      <c r="ER56" s="8"/>
      <c r="ES56" s="8"/>
      <c r="ET56" s="8"/>
      <c r="EU56" s="8"/>
      <c r="EV56" s="8"/>
      <c r="EW56" s="8"/>
      <c r="EX56" s="8"/>
      <c r="EY56" s="8"/>
      <c r="EZ56" s="3"/>
      <c r="FA56" s="3"/>
    </row>
    <row r="57" spans="1:157" s="565" customFormat="1" ht="15" hidden="1" customHeight="1">
      <c r="A57" s="51"/>
      <c r="B57" s="717" t="s">
        <v>198</v>
      </c>
      <c r="C57" s="717"/>
      <c r="D57" s="717"/>
      <c r="E57" s="190" t="s">
        <v>199</v>
      </c>
      <c r="F57" s="190" t="s">
        <v>200</v>
      </c>
      <c r="G57" s="51"/>
      <c r="H57" s="3"/>
      <c r="I57" s="27"/>
      <c r="J57" s="27"/>
      <c r="K57" s="70"/>
      <c r="L57" s="70"/>
      <c r="M57" s="70"/>
      <c r="N57" s="14"/>
      <c r="O57" s="14"/>
      <c r="P57" s="14"/>
      <c r="Q57" s="14"/>
      <c r="R57" s="736" t="s">
        <v>201</v>
      </c>
      <c r="S57" s="736" t="s">
        <v>202</v>
      </c>
      <c r="T57" s="736" t="s">
        <v>203</v>
      </c>
      <c r="U57" s="736" t="s">
        <v>204</v>
      </c>
      <c r="V57" s="736" t="s">
        <v>205</v>
      </c>
      <c r="W57" s="736" t="s">
        <v>206</v>
      </c>
      <c r="X57" s="736" t="s">
        <v>203</v>
      </c>
      <c r="Y57" s="736" t="s">
        <v>204</v>
      </c>
      <c r="Z57" s="736" t="s">
        <v>205</v>
      </c>
      <c r="AA57" s="736" t="s">
        <v>206</v>
      </c>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45"/>
      <c r="BE57" s="165" t="s">
        <v>12</v>
      </c>
      <c r="BF57" s="23">
        <v>20</v>
      </c>
      <c r="BG57" s="23">
        <v>7</v>
      </c>
      <c r="BH57" s="23">
        <v>7</v>
      </c>
      <c r="BI57" s="90" t="b">
        <f t="shared" si="53"/>
        <v>0</v>
      </c>
      <c r="BJ57" s="46" t="b">
        <f t="shared" si="68"/>
        <v>0</v>
      </c>
      <c r="BK57" s="166">
        <f t="shared" si="69"/>
        <v>0</v>
      </c>
      <c r="BL57" s="175">
        <f>IF(SUM(BL$51:BL56,BK57)&gt;$BK$4,0,BK57)</f>
        <v>0</v>
      </c>
      <c r="BM57" s="23">
        <f t="shared" si="14"/>
        <v>0</v>
      </c>
      <c r="BN57" s="90">
        <f t="shared" si="15"/>
        <v>0</v>
      </c>
      <c r="BO57" s="24">
        <f t="shared" si="59"/>
        <v>0</v>
      </c>
      <c r="BP57" s="168">
        <f t="shared" si="70"/>
        <v>0</v>
      </c>
      <c r="BQ57" s="171">
        <f t="shared" si="71"/>
        <v>0</v>
      </c>
      <c r="BR57" s="170">
        <f t="shared" si="18"/>
        <v>0</v>
      </c>
      <c r="BS57" s="168">
        <f t="shared" si="72"/>
        <v>0</v>
      </c>
      <c r="BT57" s="171">
        <f t="shared" si="73"/>
        <v>0</v>
      </c>
      <c r="BU57" s="170">
        <f t="shared" si="21"/>
        <v>0</v>
      </c>
      <c r="BV57" s="168">
        <f t="shared" si="74"/>
        <v>0</v>
      </c>
      <c r="BW57" s="171">
        <f t="shared" si="75"/>
        <v>0</v>
      </c>
      <c r="BX57" s="170">
        <f t="shared" si="24"/>
        <v>0</v>
      </c>
      <c r="BY57" s="168">
        <f t="shared" si="76"/>
        <v>0</v>
      </c>
      <c r="BZ57" s="171">
        <f t="shared" si="77"/>
        <v>0</v>
      </c>
      <c r="CA57" s="170">
        <f t="shared" si="27"/>
        <v>0</v>
      </c>
      <c r="CB57" s="90">
        <f t="shared" si="78"/>
        <v>0</v>
      </c>
      <c r="CC57" s="171">
        <f t="shared" si="79"/>
        <v>0</v>
      </c>
      <c r="CD57" s="170">
        <f t="shared" si="30"/>
        <v>0</v>
      </c>
      <c r="CE57" s="90">
        <f t="shared" si="80"/>
        <v>0</v>
      </c>
      <c r="CF57" s="171">
        <f t="shared" si="81"/>
        <v>0</v>
      </c>
      <c r="CG57" s="170">
        <f t="shared" si="33"/>
        <v>0</v>
      </c>
      <c r="CH57" s="90">
        <f t="shared" si="82"/>
        <v>0</v>
      </c>
      <c r="CI57" s="171">
        <f t="shared" si="83"/>
        <v>0</v>
      </c>
      <c r="CJ57" s="170">
        <f t="shared" si="36"/>
        <v>0</v>
      </c>
      <c r="CK57" s="90">
        <f t="shared" si="84"/>
        <v>0</v>
      </c>
      <c r="CL57" s="171">
        <f t="shared" si="85"/>
        <v>0</v>
      </c>
      <c r="CM57" s="170">
        <f t="shared" si="39"/>
        <v>0</v>
      </c>
      <c r="CN57" s="90">
        <f t="shared" si="86"/>
        <v>0</v>
      </c>
      <c r="CO57" s="171">
        <f t="shared" si="87"/>
        <v>0</v>
      </c>
      <c r="CP57" s="170">
        <f t="shared" si="42"/>
        <v>0</v>
      </c>
      <c r="CQ57" s="90">
        <f t="shared" si="88"/>
        <v>0</v>
      </c>
      <c r="CR57" s="171">
        <f t="shared" si="89"/>
        <v>0</v>
      </c>
      <c r="CS57" s="170">
        <f t="shared" si="45"/>
        <v>0</v>
      </c>
      <c r="CT57" s="90">
        <f t="shared" si="90"/>
        <v>0</v>
      </c>
      <c r="CU57" s="171">
        <f t="shared" si="91"/>
        <v>0</v>
      </c>
      <c r="CV57" s="170">
        <f t="shared" si="48"/>
        <v>0</v>
      </c>
      <c r="CW57" s="90">
        <f t="shared" si="92"/>
        <v>0</v>
      </c>
      <c r="CX57" s="171">
        <f t="shared" si="93"/>
        <v>0</v>
      </c>
      <c r="CY57" s="170">
        <f t="shared" si="51"/>
        <v>0</v>
      </c>
      <c r="CZ57" s="168">
        <f t="shared" si="52"/>
        <v>0</v>
      </c>
      <c r="DA57" s="172">
        <f t="shared" si="54"/>
        <v>0</v>
      </c>
      <c r="DB57" s="173">
        <f t="shared" si="55"/>
        <v>0</v>
      </c>
      <c r="DC57" s="172">
        <f t="shared" si="94"/>
        <v>0</v>
      </c>
      <c r="DD57" s="172">
        <f t="shared" si="94"/>
        <v>0</v>
      </c>
      <c r="DE57" s="172">
        <f t="shared" si="94"/>
        <v>0</v>
      </c>
      <c r="DF57" s="172">
        <f t="shared" si="57"/>
        <v>0</v>
      </c>
      <c r="DG57" s="1"/>
      <c r="DH57" s="1"/>
      <c r="DI57" s="3"/>
      <c r="DJ57" s="224"/>
      <c r="DK57" s="228" t="s">
        <v>207</v>
      </c>
      <c r="DL57" s="6" t="s">
        <v>208</v>
      </c>
      <c r="DM57" s="6" t="s">
        <v>201</v>
      </c>
      <c r="DN57" s="229" t="s">
        <v>209</v>
      </c>
      <c r="DO57" s="220"/>
      <c r="DP57" s="8"/>
      <c r="DQ57" s="3"/>
      <c r="DR57" s="8"/>
      <c r="DS57" s="8"/>
      <c r="DT57" s="8"/>
      <c r="DU57" s="8"/>
      <c r="DV57" s="8"/>
      <c r="DW57" s="8"/>
      <c r="DX57" s="227"/>
      <c r="DY57" s="227"/>
      <c r="DZ57" s="227"/>
      <c r="EA57" s="227"/>
      <c r="EB57" s="227"/>
      <c r="EC57" s="227"/>
      <c r="ED57" s="227"/>
      <c r="EE57" s="227"/>
      <c r="EF57" s="227"/>
      <c r="EG57" s="227"/>
      <c r="EH57" s="227"/>
      <c r="EI57" s="227"/>
      <c r="EJ57" s="8"/>
      <c r="EK57" s="8"/>
      <c r="EL57" s="8"/>
      <c r="EM57" s="8"/>
      <c r="EN57" s="8"/>
      <c r="EO57" s="8"/>
      <c r="EP57" s="8"/>
      <c r="EQ57" s="8"/>
      <c r="ER57" s="8"/>
      <c r="ES57" s="8"/>
      <c r="ET57" s="8"/>
      <c r="EU57" s="8"/>
      <c r="EV57" s="8"/>
      <c r="EW57" s="8"/>
      <c r="EX57" s="8"/>
      <c r="EY57" s="8"/>
      <c r="EZ57" s="3"/>
      <c r="FA57" s="3"/>
    </row>
    <row r="58" spans="1:157" s="565" customFormat="1" ht="13.5" hidden="1" customHeight="1">
      <c r="A58" s="230"/>
      <c r="B58" s="722" t="s">
        <v>210</v>
      </c>
      <c r="C58" s="723"/>
      <c r="D58" s="724"/>
      <c r="E58" s="231"/>
      <c r="F58" s="232">
        <v>1</v>
      </c>
      <c r="G58" s="51"/>
      <c r="H58" s="3"/>
      <c r="I58" s="70"/>
      <c r="J58" s="70"/>
      <c r="K58" s="70"/>
      <c r="L58" s="70"/>
      <c r="M58" s="70"/>
      <c r="N58" s="233"/>
      <c r="O58" s="233"/>
      <c r="P58" s="233"/>
      <c r="Q58" s="233"/>
      <c r="R58" s="737"/>
      <c r="S58" s="737"/>
      <c r="T58" s="737"/>
      <c r="U58" s="737"/>
      <c r="V58" s="737"/>
      <c r="W58" s="738"/>
      <c r="X58" s="737"/>
      <c r="Y58" s="737"/>
      <c r="Z58" s="737"/>
      <c r="AA58" s="738"/>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45"/>
      <c r="BE58" s="165" t="s">
        <v>12</v>
      </c>
      <c r="BF58" s="23">
        <v>20</v>
      </c>
      <c r="BG58" s="23">
        <v>8</v>
      </c>
      <c r="BH58" s="23">
        <v>1</v>
      </c>
      <c r="BI58" s="90" t="b">
        <f t="shared" si="53"/>
        <v>1</v>
      </c>
      <c r="BJ58" s="46" t="b">
        <f t="shared" si="68"/>
        <v>1</v>
      </c>
      <c r="BK58" s="166">
        <f t="shared" si="69"/>
        <v>6.9230769230769234</v>
      </c>
      <c r="BL58" s="175">
        <f>IF(SUM(BL$51:BL57,BK58)&gt;$BK$4,0,BK58)</f>
        <v>6.9230769230769234</v>
      </c>
      <c r="BM58" s="23">
        <f t="shared" si="14"/>
        <v>0</v>
      </c>
      <c r="BN58" s="90">
        <f t="shared" si="15"/>
        <v>0</v>
      </c>
      <c r="BO58" s="24">
        <f t="shared" si="59"/>
        <v>0</v>
      </c>
      <c r="BP58" s="168">
        <f t="shared" si="70"/>
        <v>0</v>
      </c>
      <c r="BQ58" s="171">
        <f t="shared" si="71"/>
        <v>0</v>
      </c>
      <c r="BR58" s="170">
        <f t="shared" si="18"/>
        <v>0</v>
      </c>
      <c r="BS58" s="168">
        <f t="shared" si="72"/>
        <v>0</v>
      </c>
      <c r="BT58" s="171">
        <f t="shared" si="73"/>
        <v>0</v>
      </c>
      <c r="BU58" s="170">
        <f t="shared" si="21"/>
        <v>0</v>
      </c>
      <c r="BV58" s="168">
        <f t="shared" si="74"/>
        <v>0</v>
      </c>
      <c r="BW58" s="171">
        <f t="shared" si="75"/>
        <v>0</v>
      </c>
      <c r="BX58" s="170">
        <f t="shared" si="24"/>
        <v>0</v>
      </c>
      <c r="BY58" s="168">
        <f t="shared" si="76"/>
        <v>0</v>
      </c>
      <c r="BZ58" s="171">
        <f t="shared" si="77"/>
        <v>0</v>
      </c>
      <c r="CA58" s="170">
        <f t="shared" si="27"/>
        <v>0</v>
      </c>
      <c r="CB58" s="90">
        <f t="shared" si="78"/>
        <v>0</v>
      </c>
      <c r="CC58" s="171">
        <f t="shared" si="79"/>
        <v>0</v>
      </c>
      <c r="CD58" s="170">
        <f t="shared" si="30"/>
        <v>0</v>
      </c>
      <c r="CE58" s="90">
        <f t="shared" si="80"/>
        <v>0</v>
      </c>
      <c r="CF58" s="171">
        <f t="shared" si="81"/>
        <v>0</v>
      </c>
      <c r="CG58" s="170">
        <f t="shared" si="33"/>
        <v>0</v>
      </c>
      <c r="CH58" s="90">
        <f t="shared" si="82"/>
        <v>0</v>
      </c>
      <c r="CI58" s="171">
        <f t="shared" si="83"/>
        <v>0</v>
      </c>
      <c r="CJ58" s="170">
        <f t="shared" si="36"/>
        <v>0</v>
      </c>
      <c r="CK58" s="90">
        <f t="shared" si="84"/>
        <v>0</v>
      </c>
      <c r="CL58" s="171">
        <f t="shared" si="85"/>
        <v>0</v>
      </c>
      <c r="CM58" s="170">
        <f t="shared" si="39"/>
        <v>0</v>
      </c>
      <c r="CN58" s="90">
        <f t="shared" si="86"/>
        <v>0</v>
      </c>
      <c r="CO58" s="171">
        <f t="shared" si="87"/>
        <v>0</v>
      </c>
      <c r="CP58" s="170">
        <f t="shared" si="42"/>
        <v>0</v>
      </c>
      <c r="CQ58" s="90">
        <f t="shared" si="88"/>
        <v>0</v>
      </c>
      <c r="CR58" s="171">
        <f t="shared" si="89"/>
        <v>0</v>
      </c>
      <c r="CS58" s="170">
        <f t="shared" si="45"/>
        <v>0</v>
      </c>
      <c r="CT58" s="90">
        <f t="shared" si="90"/>
        <v>0</v>
      </c>
      <c r="CU58" s="171">
        <f t="shared" si="91"/>
        <v>0</v>
      </c>
      <c r="CV58" s="170">
        <f t="shared" si="48"/>
        <v>0</v>
      </c>
      <c r="CW58" s="90">
        <f t="shared" si="92"/>
        <v>0</v>
      </c>
      <c r="CX58" s="171">
        <f t="shared" si="93"/>
        <v>0</v>
      </c>
      <c r="CY58" s="170">
        <f t="shared" si="51"/>
        <v>0</v>
      </c>
      <c r="CZ58" s="168">
        <f t="shared" si="52"/>
        <v>0</v>
      </c>
      <c r="DA58" s="172">
        <f t="shared" si="54"/>
        <v>0</v>
      </c>
      <c r="DB58" s="173">
        <f t="shared" si="55"/>
        <v>0</v>
      </c>
      <c r="DC58" s="172">
        <f t="shared" si="94"/>
        <v>0</v>
      </c>
      <c r="DD58" s="172">
        <f t="shared" si="94"/>
        <v>0</v>
      </c>
      <c r="DE58" s="172">
        <f t="shared" si="94"/>
        <v>0</v>
      </c>
      <c r="DF58" s="172">
        <f t="shared" si="57"/>
        <v>0</v>
      </c>
      <c r="DG58" s="1"/>
      <c r="DH58" s="1"/>
      <c r="DI58" s="3"/>
      <c r="DJ58" s="234" t="s">
        <v>211</v>
      </c>
      <c r="DK58" s="235">
        <v>5.5</v>
      </c>
      <c r="DL58" s="236">
        <v>2.2999999999999998</v>
      </c>
      <c r="DM58" s="237">
        <f>DL58/9.5</f>
        <v>0.24210526315789471</v>
      </c>
      <c r="DN58" s="238" t="s">
        <v>170</v>
      </c>
      <c r="DO58" s="227"/>
      <c r="DP58" s="8"/>
      <c r="DQ58" s="3"/>
      <c r="DR58" s="8"/>
      <c r="DS58" s="8"/>
      <c r="DT58" s="8"/>
      <c r="DU58" s="8"/>
      <c r="DV58" s="8"/>
      <c r="DW58" s="8"/>
      <c r="DX58" s="227"/>
      <c r="DY58" s="227"/>
      <c r="DZ58" s="227"/>
      <c r="EA58" s="227"/>
      <c r="EB58" s="227"/>
      <c r="EC58" s="227"/>
      <c r="ED58" s="227"/>
      <c r="EE58" s="227"/>
      <c r="EF58" s="227"/>
      <c r="EG58" s="227"/>
      <c r="EH58" s="227"/>
      <c r="EI58" s="227"/>
      <c r="EJ58" s="8"/>
      <c r="EK58" s="8"/>
      <c r="EL58" s="8"/>
      <c r="EM58" s="8"/>
      <c r="EN58" s="8"/>
      <c r="EO58" s="8"/>
      <c r="EP58" s="8"/>
      <c r="EQ58" s="8"/>
      <c r="ER58" s="8"/>
      <c r="ES58" s="8"/>
      <c r="ET58" s="8"/>
      <c r="EU58" s="8"/>
      <c r="EV58" s="8"/>
      <c r="EW58" s="8"/>
      <c r="EX58" s="8"/>
      <c r="EY58" s="8"/>
      <c r="EZ58" s="3"/>
      <c r="FA58" s="3"/>
    </row>
    <row r="59" spans="1:157" s="565" customFormat="1" ht="12.75" hidden="1">
      <c r="A59" s="181"/>
      <c r="B59" s="722" t="s">
        <v>212</v>
      </c>
      <c r="C59" s="723"/>
      <c r="D59" s="724"/>
      <c r="E59" s="231"/>
      <c r="F59" s="232"/>
      <c r="G59" s="51"/>
      <c r="H59" s="3"/>
      <c r="I59" s="70"/>
      <c r="J59" s="70"/>
      <c r="K59" s="70"/>
      <c r="L59" s="70"/>
      <c r="M59" s="70"/>
      <c r="N59" s="14"/>
      <c r="O59" s="14"/>
      <c r="P59" s="735" t="s">
        <v>213</v>
      </c>
      <c r="Q59" s="735"/>
      <c r="R59" s="239">
        <f>IF(D67="Yes",DM59,DM58)</f>
        <v>0.1368421052631579</v>
      </c>
      <c r="S59" s="240">
        <f>R59*$R$56</f>
        <v>0</v>
      </c>
      <c r="T59" s="240" t="s">
        <v>214</v>
      </c>
      <c r="U59" s="240" t="s">
        <v>214</v>
      </c>
      <c r="V59" s="241">
        <f>F58*E58+F59*E59+F60*E60+F61*E61</f>
        <v>0</v>
      </c>
      <c r="W59" s="185">
        <f>S59*V59/1000</f>
        <v>0</v>
      </c>
      <c r="X59" s="240" t="s">
        <v>214</v>
      </c>
      <c r="Y59" s="240" t="s">
        <v>214</v>
      </c>
      <c r="Z59" s="241">
        <f>DK58</f>
        <v>5.5</v>
      </c>
      <c r="AA59" s="242">
        <f>S59*Z59/1000</f>
        <v>0</v>
      </c>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45"/>
      <c r="BE59" s="165" t="s">
        <v>12</v>
      </c>
      <c r="BF59" s="23">
        <v>20</v>
      </c>
      <c r="BG59" s="23">
        <v>9</v>
      </c>
      <c r="BH59" s="23">
        <v>2</v>
      </c>
      <c r="BI59" s="90" t="b">
        <f t="shared" si="53"/>
        <v>1</v>
      </c>
      <c r="BJ59" s="46" t="b">
        <f t="shared" si="68"/>
        <v>0</v>
      </c>
      <c r="BK59" s="166">
        <f t="shared" si="69"/>
        <v>0</v>
      </c>
      <c r="BL59" s="175">
        <f>IF(SUM(BL$51:BL58,BK59)&gt;$BK$4,0,BK59)</f>
        <v>0</v>
      </c>
      <c r="BM59" s="23">
        <f t="shared" si="14"/>
        <v>0</v>
      </c>
      <c r="BN59" s="90">
        <f t="shared" si="15"/>
        <v>0</v>
      </c>
      <c r="BO59" s="24">
        <f t="shared" si="59"/>
        <v>0</v>
      </c>
      <c r="BP59" s="168">
        <f t="shared" si="70"/>
        <v>0</v>
      </c>
      <c r="BQ59" s="171">
        <f t="shared" si="71"/>
        <v>0</v>
      </c>
      <c r="BR59" s="170">
        <f t="shared" si="18"/>
        <v>0</v>
      </c>
      <c r="BS59" s="168">
        <f t="shared" si="72"/>
        <v>0</v>
      </c>
      <c r="BT59" s="171">
        <f t="shared" si="73"/>
        <v>0</v>
      </c>
      <c r="BU59" s="170">
        <f t="shared" si="21"/>
        <v>0</v>
      </c>
      <c r="BV59" s="168">
        <f t="shared" si="74"/>
        <v>0</v>
      </c>
      <c r="BW59" s="171">
        <f t="shared" si="75"/>
        <v>0</v>
      </c>
      <c r="BX59" s="170">
        <f t="shared" si="24"/>
        <v>0</v>
      </c>
      <c r="BY59" s="168">
        <f t="shared" si="76"/>
        <v>0</v>
      </c>
      <c r="BZ59" s="171">
        <f t="shared" si="77"/>
        <v>0</v>
      </c>
      <c r="CA59" s="170">
        <f t="shared" si="27"/>
        <v>0</v>
      </c>
      <c r="CB59" s="90">
        <f t="shared" si="78"/>
        <v>0</v>
      </c>
      <c r="CC59" s="171">
        <f t="shared" si="79"/>
        <v>0</v>
      </c>
      <c r="CD59" s="170">
        <f t="shared" si="30"/>
        <v>0</v>
      </c>
      <c r="CE59" s="90">
        <f t="shared" si="80"/>
        <v>0</v>
      </c>
      <c r="CF59" s="171">
        <f t="shared" si="81"/>
        <v>0</v>
      </c>
      <c r="CG59" s="170">
        <f t="shared" si="33"/>
        <v>0</v>
      </c>
      <c r="CH59" s="90">
        <f t="shared" si="82"/>
        <v>0</v>
      </c>
      <c r="CI59" s="171">
        <f t="shared" si="83"/>
        <v>0</v>
      </c>
      <c r="CJ59" s="170">
        <f t="shared" si="36"/>
        <v>0</v>
      </c>
      <c r="CK59" s="90">
        <f t="shared" si="84"/>
        <v>0</v>
      </c>
      <c r="CL59" s="171">
        <f t="shared" si="85"/>
        <v>0</v>
      </c>
      <c r="CM59" s="170">
        <f t="shared" si="39"/>
        <v>0</v>
      </c>
      <c r="CN59" s="90">
        <f t="shared" si="86"/>
        <v>0</v>
      </c>
      <c r="CO59" s="171">
        <f t="shared" si="87"/>
        <v>0</v>
      </c>
      <c r="CP59" s="170">
        <f t="shared" si="42"/>
        <v>0</v>
      </c>
      <c r="CQ59" s="90">
        <f t="shared" si="88"/>
        <v>0</v>
      </c>
      <c r="CR59" s="171">
        <f t="shared" si="89"/>
        <v>0</v>
      </c>
      <c r="CS59" s="170">
        <f t="shared" si="45"/>
        <v>0</v>
      </c>
      <c r="CT59" s="90">
        <f t="shared" si="90"/>
        <v>0</v>
      </c>
      <c r="CU59" s="171">
        <f t="shared" si="91"/>
        <v>0</v>
      </c>
      <c r="CV59" s="170">
        <f t="shared" si="48"/>
        <v>0</v>
      </c>
      <c r="CW59" s="90">
        <f t="shared" si="92"/>
        <v>0</v>
      </c>
      <c r="CX59" s="171">
        <f t="shared" si="93"/>
        <v>0</v>
      </c>
      <c r="CY59" s="170">
        <f t="shared" si="51"/>
        <v>0</v>
      </c>
      <c r="CZ59" s="168">
        <f t="shared" si="52"/>
        <v>0</v>
      </c>
      <c r="DA59" s="172">
        <f t="shared" si="54"/>
        <v>0</v>
      </c>
      <c r="DB59" s="173">
        <f t="shared" si="55"/>
        <v>0</v>
      </c>
      <c r="DC59" s="172">
        <f t="shared" si="94"/>
        <v>0</v>
      </c>
      <c r="DD59" s="172">
        <f t="shared" si="94"/>
        <v>0</v>
      </c>
      <c r="DE59" s="172">
        <f t="shared" si="94"/>
        <v>0</v>
      </c>
      <c r="DF59" s="172">
        <f t="shared" si="57"/>
        <v>0</v>
      </c>
      <c r="DG59" s="1"/>
      <c r="DH59" s="1"/>
      <c r="DI59" s="3"/>
      <c r="DJ59" s="234" t="s">
        <v>215</v>
      </c>
      <c r="DK59" s="235">
        <v>5.5</v>
      </c>
      <c r="DL59" s="236">
        <v>1.3</v>
      </c>
      <c r="DM59" s="237">
        <f>DL59/9.5</f>
        <v>0.1368421052631579</v>
      </c>
      <c r="DN59" s="238" t="s">
        <v>170</v>
      </c>
      <c r="DO59" s="227"/>
      <c r="DP59" s="8"/>
      <c r="DQ59" s="3"/>
      <c r="DR59" s="8"/>
      <c r="DS59" s="8"/>
      <c r="DT59" s="8"/>
      <c r="DU59" s="8"/>
      <c r="DV59" s="8"/>
      <c r="DW59" s="8"/>
      <c r="DX59" s="227"/>
      <c r="DY59" s="227"/>
      <c r="DZ59" s="227"/>
      <c r="EA59" s="227"/>
      <c r="EB59" s="227"/>
      <c r="EC59" s="227"/>
      <c r="ED59" s="227"/>
      <c r="EE59" s="227"/>
      <c r="EF59" s="227"/>
      <c r="EG59" s="227"/>
      <c r="EH59" s="227"/>
      <c r="EI59" s="227"/>
      <c r="EJ59" s="8"/>
      <c r="EK59" s="8"/>
      <c r="EL59" s="8"/>
      <c r="EM59" s="8"/>
      <c r="EN59" s="8"/>
      <c r="EO59" s="8"/>
      <c r="EP59" s="8"/>
      <c r="EQ59" s="8"/>
      <c r="ER59" s="8"/>
      <c r="ES59" s="8"/>
      <c r="ET59" s="8"/>
      <c r="EU59" s="8"/>
      <c r="EV59" s="8"/>
      <c r="EW59" s="8"/>
      <c r="EX59" s="8"/>
      <c r="EY59" s="8"/>
      <c r="EZ59" s="3"/>
      <c r="FA59" s="3"/>
    </row>
    <row r="60" spans="1:157" s="565" customFormat="1" ht="12.75" hidden="1">
      <c r="A60" s="243"/>
      <c r="B60" s="722" t="s">
        <v>216</v>
      </c>
      <c r="C60" s="723"/>
      <c r="D60" s="724"/>
      <c r="E60" s="231"/>
      <c r="F60" s="232"/>
      <c r="G60" s="181"/>
      <c r="H60" s="70"/>
      <c r="I60" s="70"/>
      <c r="J60" s="70"/>
      <c r="K60" s="70"/>
      <c r="L60" s="70"/>
      <c r="M60" s="70"/>
      <c r="N60" s="14"/>
      <c r="O60" s="14"/>
      <c r="P60" s="733" t="s">
        <v>217</v>
      </c>
      <c r="Q60" s="734"/>
      <c r="R60" s="239">
        <f>IF(D67="Yes",DM60,0)</f>
        <v>0.10526315789473684</v>
      </c>
      <c r="S60" s="240">
        <f>R60*R56</f>
        <v>0</v>
      </c>
      <c r="T60" s="240" t="s">
        <v>214</v>
      </c>
      <c r="U60" s="240" t="s">
        <v>214</v>
      </c>
      <c r="V60" s="241">
        <f>F69*E69+F70*E70+F71*E71+F72*E72</f>
        <v>0</v>
      </c>
      <c r="W60" s="185">
        <f>S60*V60/1000</f>
        <v>0</v>
      </c>
      <c r="X60" s="240" t="s">
        <v>214</v>
      </c>
      <c r="Y60" s="240" t="s">
        <v>214</v>
      </c>
      <c r="Z60" s="241">
        <f>DK60</f>
        <v>2.5</v>
      </c>
      <c r="AA60" s="242">
        <f>S60*Z60/1000</f>
        <v>0</v>
      </c>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45"/>
      <c r="BE60" s="165" t="s">
        <v>12</v>
      </c>
      <c r="BF60" s="23">
        <v>20</v>
      </c>
      <c r="BG60" s="23">
        <v>10</v>
      </c>
      <c r="BH60" s="23">
        <v>3</v>
      </c>
      <c r="BI60" s="90" t="b">
        <f t="shared" si="53"/>
        <v>1</v>
      </c>
      <c r="BJ60" s="46" t="b">
        <f t="shared" si="68"/>
        <v>1</v>
      </c>
      <c r="BK60" s="166">
        <f t="shared" si="69"/>
        <v>6.9230769230769234</v>
      </c>
      <c r="BL60" s="175">
        <f>IF(SUM(BL$51:BL59,BK60)&gt;$BK$4,0,BK60)</f>
        <v>6.9230769230769234</v>
      </c>
      <c r="BM60" s="23">
        <f t="shared" si="14"/>
        <v>0</v>
      </c>
      <c r="BN60" s="90">
        <f t="shared" si="15"/>
        <v>0</v>
      </c>
      <c r="BO60" s="24">
        <f t="shared" si="59"/>
        <v>0</v>
      </c>
      <c r="BP60" s="168">
        <f t="shared" si="70"/>
        <v>0</v>
      </c>
      <c r="BQ60" s="171">
        <f t="shared" si="71"/>
        <v>0</v>
      </c>
      <c r="BR60" s="170">
        <f t="shared" si="18"/>
        <v>0</v>
      </c>
      <c r="BS60" s="168">
        <f t="shared" si="72"/>
        <v>0</v>
      </c>
      <c r="BT60" s="171">
        <f t="shared" si="73"/>
        <v>0</v>
      </c>
      <c r="BU60" s="170">
        <f t="shared" si="21"/>
        <v>0</v>
      </c>
      <c r="BV60" s="168">
        <f t="shared" si="74"/>
        <v>0</v>
      </c>
      <c r="BW60" s="171">
        <f t="shared" si="75"/>
        <v>0</v>
      </c>
      <c r="BX60" s="170">
        <f t="shared" si="24"/>
        <v>0</v>
      </c>
      <c r="BY60" s="168">
        <f t="shared" si="76"/>
        <v>0</v>
      </c>
      <c r="BZ60" s="171">
        <f t="shared" si="77"/>
        <v>0</v>
      </c>
      <c r="CA60" s="170">
        <f t="shared" si="27"/>
        <v>0</v>
      </c>
      <c r="CB60" s="90">
        <f t="shared" si="78"/>
        <v>0</v>
      </c>
      <c r="CC60" s="171">
        <f t="shared" si="79"/>
        <v>0</v>
      </c>
      <c r="CD60" s="170">
        <f t="shared" si="30"/>
        <v>0</v>
      </c>
      <c r="CE60" s="90">
        <f t="shared" si="80"/>
        <v>0</v>
      </c>
      <c r="CF60" s="171">
        <f t="shared" si="81"/>
        <v>0</v>
      </c>
      <c r="CG60" s="170">
        <f t="shared" si="33"/>
        <v>0</v>
      </c>
      <c r="CH60" s="90">
        <f t="shared" si="82"/>
        <v>0</v>
      </c>
      <c r="CI60" s="171">
        <f t="shared" si="83"/>
        <v>0</v>
      </c>
      <c r="CJ60" s="170">
        <f t="shared" si="36"/>
        <v>0</v>
      </c>
      <c r="CK60" s="90">
        <f t="shared" si="84"/>
        <v>0</v>
      </c>
      <c r="CL60" s="171">
        <f t="shared" si="85"/>
        <v>0</v>
      </c>
      <c r="CM60" s="170">
        <f t="shared" si="39"/>
        <v>0</v>
      </c>
      <c r="CN60" s="90">
        <f t="shared" si="86"/>
        <v>0</v>
      </c>
      <c r="CO60" s="171">
        <f t="shared" si="87"/>
        <v>0</v>
      </c>
      <c r="CP60" s="170">
        <f t="shared" si="42"/>
        <v>0</v>
      </c>
      <c r="CQ60" s="90">
        <f t="shared" si="88"/>
        <v>0</v>
      </c>
      <c r="CR60" s="171">
        <f t="shared" si="89"/>
        <v>0</v>
      </c>
      <c r="CS60" s="170">
        <f t="shared" si="45"/>
        <v>0</v>
      </c>
      <c r="CT60" s="90">
        <f t="shared" si="90"/>
        <v>0</v>
      </c>
      <c r="CU60" s="171">
        <f t="shared" si="91"/>
        <v>0</v>
      </c>
      <c r="CV60" s="170">
        <f t="shared" si="48"/>
        <v>0</v>
      </c>
      <c r="CW60" s="90">
        <f t="shared" si="92"/>
        <v>0</v>
      </c>
      <c r="CX60" s="171">
        <f t="shared" si="93"/>
        <v>0</v>
      </c>
      <c r="CY60" s="170">
        <f t="shared" si="51"/>
        <v>0</v>
      </c>
      <c r="CZ60" s="168">
        <f t="shared" si="52"/>
        <v>0</v>
      </c>
      <c r="DA60" s="172">
        <f t="shared" si="54"/>
        <v>0</v>
      </c>
      <c r="DB60" s="173">
        <f t="shared" si="55"/>
        <v>0</v>
      </c>
      <c r="DC60" s="172">
        <f t="shared" si="94"/>
        <v>0</v>
      </c>
      <c r="DD60" s="172">
        <f t="shared" si="94"/>
        <v>0</v>
      </c>
      <c r="DE60" s="172">
        <f t="shared" si="94"/>
        <v>0</v>
      </c>
      <c r="DF60" s="172">
        <f t="shared" si="57"/>
        <v>0</v>
      </c>
      <c r="DG60" s="1"/>
      <c r="DH60" s="1"/>
      <c r="DI60" s="3"/>
      <c r="DJ60" s="234" t="s">
        <v>218</v>
      </c>
      <c r="DK60" s="235">
        <v>2.5</v>
      </c>
      <c r="DL60" s="236">
        <v>1</v>
      </c>
      <c r="DM60" s="237">
        <f>DL60/9.5</f>
        <v>0.10526315789473684</v>
      </c>
      <c r="DN60" s="238" t="s">
        <v>170</v>
      </c>
      <c r="DO60" s="227"/>
      <c r="DP60" s="8"/>
      <c r="DQ60" s="3"/>
      <c r="DR60" s="8"/>
      <c r="DS60" s="8"/>
      <c r="DT60" s="8"/>
      <c r="DU60" s="8"/>
      <c r="DV60" s="8"/>
      <c r="DW60" s="8"/>
      <c r="DX60" s="227"/>
      <c r="DY60" s="227"/>
      <c r="DZ60" s="227"/>
      <c r="EA60" s="227"/>
      <c r="EB60" s="227"/>
      <c r="EC60" s="227"/>
      <c r="ED60" s="227"/>
      <c r="EE60" s="227"/>
      <c r="EF60" s="227"/>
      <c r="EG60" s="227"/>
      <c r="EH60" s="227"/>
      <c r="EI60" s="227"/>
      <c r="EJ60" s="8"/>
      <c r="EK60" s="8"/>
      <c r="EL60" s="8"/>
      <c r="EM60" s="8"/>
      <c r="EN60" s="8"/>
      <c r="EO60" s="8"/>
      <c r="EP60" s="8"/>
      <c r="EQ60" s="8"/>
      <c r="ER60" s="8"/>
      <c r="ES60" s="8"/>
      <c r="ET60" s="8"/>
      <c r="EU60" s="8"/>
      <c r="EV60" s="8"/>
      <c r="EW60" s="8"/>
      <c r="EX60" s="8"/>
      <c r="EY60" s="8"/>
      <c r="EZ60" s="3"/>
      <c r="FA60" s="3"/>
    </row>
    <row r="61" spans="1:157" s="565" customFormat="1" ht="12.75" hidden="1">
      <c r="A61" s="123"/>
      <c r="B61" s="722" t="s">
        <v>219</v>
      </c>
      <c r="C61" s="723"/>
      <c r="D61" s="724"/>
      <c r="E61" s="231"/>
      <c r="F61" s="232"/>
      <c r="G61" s="181"/>
      <c r="H61" s="70"/>
      <c r="I61" s="70"/>
      <c r="J61" s="70"/>
      <c r="K61" s="70"/>
      <c r="L61" s="70"/>
      <c r="M61" s="70"/>
      <c r="N61" s="14" t="s">
        <v>220</v>
      </c>
      <c r="O61" s="233"/>
      <c r="P61" s="733" t="s">
        <v>221</v>
      </c>
      <c r="Q61" s="734"/>
      <c r="R61" s="239"/>
      <c r="S61" s="240">
        <f>365*C74</f>
        <v>0</v>
      </c>
      <c r="T61" s="240" t="s">
        <v>214</v>
      </c>
      <c r="U61" s="240" t="s">
        <v>214</v>
      </c>
      <c r="V61" s="241">
        <f>D74*E74</f>
        <v>0</v>
      </c>
      <c r="W61" s="185">
        <f>S61*V61/1000</f>
        <v>0</v>
      </c>
      <c r="X61" s="240"/>
      <c r="Y61" s="240"/>
      <c r="Z61" s="241"/>
      <c r="AA61" s="242"/>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45"/>
      <c r="BE61" s="165" t="s">
        <v>12</v>
      </c>
      <c r="BF61" s="23">
        <v>20</v>
      </c>
      <c r="BG61" s="23">
        <v>11</v>
      </c>
      <c r="BH61" s="23">
        <v>4</v>
      </c>
      <c r="BI61" s="90" t="b">
        <f t="shared" si="53"/>
        <v>1</v>
      </c>
      <c r="BJ61" s="46" t="b">
        <f t="shared" si="68"/>
        <v>0</v>
      </c>
      <c r="BK61" s="166">
        <f t="shared" si="69"/>
        <v>0</v>
      </c>
      <c r="BL61" s="175">
        <f>IF(SUM(BL$51:BL60,BK61)&gt;$BK$4,0,BK61)</f>
        <v>0</v>
      </c>
      <c r="BM61" s="23">
        <f t="shared" si="14"/>
        <v>0</v>
      </c>
      <c r="BN61" s="90">
        <f t="shared" si="15"/>
        <v>0</v>
      </c>
      <c r="BO61" s="24">
        <f t="shared" si="59"/>
        <v>0</v>
      </c>
      <c r="BP61" s="168">
        <f t="shared" si="70"/>
        <v>0</v>
      </c>
      <c r="BQ61" s="171">
        <f t="shared" si="71"/>
        <v>0</v>
      </c>
      <c r="BR61" s="170">
        <f t="shared" si="18"/>
        <v>0</v>
      </c>
      <c r="BS61" s="168">
        <f t="shared" si="72"/>
        <v>0</v>
      </c>
      <c r="BT61" s="171">
        <f t="shared" si="73"/>
        <v>0</v>
      </c>
      <c r="BU61" s="170">
        <f t="shared" si="21"/>
        <v>0</v>
      </c>
      <c r="BV61" s="168">
        <f t="shared" si="74"/>
        <v>0</v>
      </c>
      <c r="BW61" s="171">
        <f t="shared" si="75"/>
        <v>0</v>
      </c>
      <c r="BX61" s="170">
        <f t="shared" si="24"/>
        <v>0</v>
      </c>
      <c r="BY61" s="168">
        <f t="shared" si="76"/>
        <v>0</v>
      </c>
      <c r="BZ61" s="171">
        <f t="shared" si="77"/>
        <v>0</v>
      </c>
      <c r="CA61" s="170">
        <f t="shared" si="27"/>
        <v>0</v>
      </c>
      <c r="CB61" s="90">
        <f t="shared" si="78"/>
        <v>0</v>
      </c>
      <c r="CC61" s="171">
        <f t="shared" si="79"/>
        <v>0</v>
      </c>
      <c r="CD61" s="170">
        <f t="shared" si="30"/>
        <v>0</v>
      </c>
      <c r="CE61" s="90">
        <f t="shared" si="80"/>
        <v>0</v>
      </c>
      <c r="CF61" s="171">
        <f t="shared" si="81"/>
        <v>0</v>
      </c>
      <c r="CG61" s="170">
        <f t="shared" si="33"/>
        <v>0</v>
      </c>
      <c r="CH61" s="90">
        <f t="shared" si="82"/>
        <v>0</v>
      </c>
      <c r="CI61" s="171">
        <f t="shared" si="83"/>
        <v>0</v>
      </c>
      <c r="CJ61" s="170">
        <f t="shared" si="36"/>
        <v>0</v>
      </c>
      <c r="CK61" s="90">
        <f t="shared" si="84"/>
        <v>0</v>
      </c>
      <c r="CL61" s="171">
        <f t="shared" si="85"/>
        <v>0</v>
      </c>
      <c r="CM61" s="170">
        <f t="shared" si="39"/>
        <v>0</v>
      </c>
      <c r="CN61" s="90">
        <f t="shared" si="86"/>
        <v>0</v>
      </c>
      <c r="CO61" s="171">
        <f t="shared" si="87"/>
        <v>0</v>
      </c>
      <c r="CP61" s="170">
        <f t="shared" si="42"/>
        <v>0</v>
      </c>
      <c r="CQ61" s="90">
        <f t="shared" si="88"/>
        <v>0</v>
      </c>
      <c r="CR61" s="171">
        <f t="shared" si="89"/>
        <v>0</v>
      </c>
      <c r="CS61" s="170">
        <f t="shared" si="45"/>
        <v>0</v>
      </c>
      <c r="CT61" s="90">
        <f t="shared" si="90"/>
        <v>0</v>
      </c>
      <c r="CU61" s="171">
        <f t="shared" si="91"/>
        <v>0</v>
      </c>
      <c r="CV61" s="170">
        <f t="shared" si="48"/>
        <v>0</v>
      </c>
      <c r="CW61" s="90">
        <f t="shared" si="92"/>
        <v>0</v>
      </c>
      <c r="CX61" s="171">
        <f t="shared" si="93"/>
        <v>0</v>
      </c>
      <c r="CY61" s="170">
        <f t="shared" si="51"/>
        <v>0</v>
      </c>
      <c r="CZ61" s="168">
        <f t="shared" si="52"/>
        <v>0</v>
      </c>
      <c r="DA61" s="172">
        <f t="shared" si="54"/>
        <v>0</v>
      </c>
      <c r="DB61" s="173">
        <f t="shared" si="55"/>
        <v>0</v>
      </c>
      <c r="DC61" s="172">
        <f t="shared" si="94"/>
        <v>0</v>
      </c>
      <c r="DD61" s="172">
        <f t="shared" si="94"/>
        <v>0</v>
      </c>
      <c r="DE61" s="172">
        <f t="shared" si="94"/>
        <v>0</v>
      </c>
      <c r="DF61" s="172">
        <f t="shared" si="57"/>
        <v>0</v>
      </c>
      <c r="DG61" s="1"/>
      <c r="DH61" s="1"/>
      <c r="DI61" s="3"/>
      <c r="DJ61" s="234" t="s">
        <v>222</v>
      </c>
      <c r="DK61" s="235">
        <v>16</v>
      </c>
      <c r="DL61" s="238"/>
      <c r="DM61" s="238"/>
      <c r="DN61" s="238"/>
      <c r="DO61" s="227"/>
      <c r="DP61" s="8"/>
      <c r="DQ61" s="3"/>
      <c r="DR61" s="8"/>
      <c r="DS61" s="8"/>
      <c r="DT61" s="8"/>
      <c r="DU61" s="8"/>
      <c r="DV61" s="8"/>
      <c r="DW61" s="8"/>
      <c r="DX61" s="227"/>
      <c r="DY61" s="227"/>
      <c r="DZ61" s="227"/>
      <c r="EA61" s="227"/>
      <c r="EB61" s="227"/>
      <c r="EC61" s="227"/>
      <c r="ED61" s="227"/>
      <c r="EE61" s="227"/>
      <c r="EF61" s="227"/>
      <c r="EG61" s="227"/>
      <c r="EH61" s="227"/>
      <c r="EI61" s="227"/>
      <c r="EJ61" s="8"/>
      <c r="EK61" s="8"/>
      <c r="EL61" s="8"/>
      <c r="EM61" s="8"/>
      <c r="EN61" s="8"/>
      <c r="EO61" s="8"/>
      <c r="EP61" s="8"/>
      <c r="EQ61" s="8"/>
      <c r="ER61" s="8"/>
      <c r="ES61" s="8"/>
      <c r="ET61" s="8"/>
      <c r="EU61" s="8"/>
      <c r="EV61" s="8"/>
      <c r="EW61" s="8"/>
      <c r="EX61" s="8"/>
      <c r="EY61" s="8"/>
      <c r="EZ61" s="3"/>
      <c r="FA61" s="3"/>
    </row>
    <row r="62" spans="1:157" s="565" customFormat="1" ht="15" hidden="1" customHeight="1">
      <c r="A62" s="123"/>
      <c r="B62" s="732" t="str">
        <f>IF(F62&lt;&gt;1,$N$61,"")</f>
        <v/>
      </c>
      <c r="C62" s="732"/>
      <c r="D62" s="732"/>
      <c r="E62" s="732"/>
      <c r="F62" s="244">
        <f>SUM(F58:F61)</f>
        <v>1</v>
      </c>
      <c r="G62" s="51"/>
      <c r="H62" s="70"/>
      <c r="I62" s="70"/>
      <c r="J62" s="70"/>
      <c r="K62" s="70"/>
      <c r="L62" s="70"/>
      <c r="M62" s="70"/>
      <c r="N62" s="14" t="s">
        <v>223</v>
      </c>
      <c r="O62" s="14"/>
      <c r="P62" s="733" t="s">
        <v>224</v>
      </c>
      <c r="Q62" s="734"/>
      <c r="R62" s="239">
        <f>DM63</f>
        <v>0.26315789473684209</v>
      </c>
      <c r="S62" s="240">
        <f>R62*$R$56</f>
        <v>0</v>
      </c>
      <c r="T62" s="245" t="s">
        <v>225</v>
      </c>
      <c r="U62" s="246"/>
      <c r="V62" s="241">
        <f>F82*E82*U82+F83*E83*U83+F84*E84*U84+F85*E85*U85</f>
        <v>0</v>
      </c>
      <c r="W62" s="185">
        <f>S62*V62/1000</f>
        <v>0</v>
      </c>
      <c r="X62" s="241">
        <f>DN63/60</f>
        <v>0.15</v>
      </c>
      <c r="Y62" s="240">
        <f>DK61</f>
        <v>16</v>
      </c>
      <c r="Z62" s="241">
        <f>X62*Y62</f>
        <v>2.4</v>
      </c>
      <c r="AA62" s="242">
        <f>S62*Z62/1000</f>
        <v>0</v>
      </c>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45"/>
      <c r="BE62" s="165" t="s">
        <v>12</v>
      </c>
      <c r="BF62" s="23">
        <v>20</v>
      </c>
      <c r="BG62" s="23">
        <v>12</v>
      </c>
      <c r="BH62" s="23">
        <v>5</v>
      </c>
      <c r="BI62" s="90" t="b">
        <f t="shared" si="53"/>
        <v>1</v>
      </c>
      <c r="BJ62" s="46" t="b">
        <f t="shared" si="68"/>
        <v>1</v>
      </c>
      <c r="BK62" s="166">
        <f t="shared" si="69"/>
        <v>6.9230769230769234</v>
      </c>
      <c r="BL62" s="175">
        <f>IF(SUM(BL$51:BL61,BK62)&gt;$BK$4,0,BK62)</f>
        <v>6.9230769230769234</v>
      </c>
      <c r="BM62" s="23">
        <f t="shared" si="14"/>
        <v>0</v>
      </c>
      <c r="BN62" s="90">
        <f t="shared" si="15"/>
        <v>0</v>
      </c>
      <c r="BO62" s="24">
        <f t="shared" si="59"/>
        <v>0</v>
      </c>
      <c r="BP62" s="168">
        <f t="shared" si="70"/>
        <v>0</v>
      </c>
      <c r="BQ62" s="171">
        <f t="shared" si="71"/>
        <v>0</v>
      </c>
      <c r="BR62" s="170">
        <f t="shared" si="18"/>
        <v>0</v>
      </c>
      <c r="BS62" s="168">
        <f t="shared" si="72"/>
        <v>0</v>
      </c>
      <c r="BT62" s="171">
        <f t="shared" si="73"/>
        <v>0</v>
      </c>
      <c r="BU62" s="170">
        <f t="shared" si="21"/>
        <v>0</v>
      </c>
      <c r="BV62" s="168">
        <f t="shared" si="74"/>
        <v>0</v>
      </c>
      <c r="BW62" s="171">
        <f t="shared" si="75"/>
        <v>0</v>
      </c>
      <c r="BX62" s="170">
        <f t="shared" si="24"/>
        <v>0</v>
      </c>
      <c r="BY62" s="168">
        <f t="shared" si="76"/>
        <v>0</v>
      </c>
      <c r="BZ62" s="171">
        <f t="shared" si="77"/>
        <v>0</v>
      </c>
      <c r="CA62" s="170">
        <f t="shared" si="27"/>
        <v>0</v>
      </c>
      <c r="CB62" s="90">
        <f t="shared" si="78"/>
        <v>0</v>
      </c>
      <c r="CC62" s="171">
        <f t="shared" si="79"/>
        <v>0</v>
      </c>
      <c r="CD62" s="170">
        <f t="shared" si="30"/>
        <v>0</v>
      </c>
      <c r="CE62" s="90">
        <f t="shared" si="80"/>
        <v>0</v>
      </c>
      <c r="CF62" s="171">
        <f t="shared" si="81"/>
        <v>0</v>
      </c>
      <c r="CG62" s="170">
        <f t="shared" si="33"/>
        <v>0</v>
      </c>
      <c r="CH62" s="90">
        <f t="shared" si="82"/>
        <v>0</v>
      </c>
      <c r="CI62" s="171">
        <f t="shared" si="83"/>
        <v>0</v>
      </c>
      <c r="CJ62" s="170">
        <f t="shared" si="36"/>
        <v>0</v>
      </c>
      <c r="CK62" s="90">
        <f t="shared" si="84"/>
        <v>0</v>
      </c>
      <c r="CL62" s="171">
        <f t="shared" si="85"/>
        <v>0</v>
      </c>
      <c r="CM62" s="170">
        <f t="shared" si="39"/>
        <v>0</v>
      </c>
      <c r="CN62" s="90">
        <f t="shared" si="86"/>
        <v>0</v>
      </c>
      <c r="CO62" s="171">
        <f t="shared" si="87"/>
        <v>0</v>
      </c>
      <c r="CP62" s="170">
        <f t="shared" si="42"/>
        <v>0</v>
      </c>
      <c r="CQ62" s="90">
        <f t="shared" si="88"/>
        <v>0</v>
      </c>
      <c r="CR62" s="171">
        <f t="shared" si="89"/>
        <v>0</v>
      </c>
      <c r="CS62" s="170">
        <f t="shared" si="45"/>
        <v>0</v>
      </c>
      <c r="CT62" s="90">
        <f t="shared" si="90"/>
        <v>0</v>
      </c>
      <c r="CU62" s="171">
        <f t="shared" si="91"/>
        <v>0</v>
      </c>
      <c r="CV62" s="170">
        <f t="shared" si="48"/>
        <v>0</v>
      </c>
      <c r="CW62" s="90">
        <f t="shared" si="92"/>
        <v>0</v>
      </c>
      <c r="CX62" s="171">
        <f t="shared" si="93"/>
        <v>0</v>
      </c>
      <c r="CY62" s="170">
        <f t="shared" si="51"/>
        <v>0</v>
      </c>
      <c r="CZ62" s="168">
        <f t="shared" si="52"/>
        <v>0</v>
      </c>
      <c r="DA62" s="172">
        <f t="shared" si="54"/>
        <v>0</v>
      </c>
      <c r="DB62" s="173">
        <f t="shared" si="55"/>
        <v>0</v>
      </c>
      <c r="DC62" s="172">
        <f t="shared" si="94"/>
        <v>0</v>
      </c>
      <c r="DD62" s="172">
        <f t="shared" si="94"/>
        <v>0</v>
      </c>
      <c r="DE62" s="172">
        <f t="shared" si="94"/>
        <v>0</v>
      </c>
      <c r="DF62" s="172">
        <f t="shared" si="57"/>
        <v>0</v>
      </c>
      <c r="DG62" s="1"/>
      <c r="DH62" s="1"/>
      <c r="DI62" s="3"/>
      <c r="DJ62" s="247" t="s">
        <v>84</v>
      </c>
      <c r="DK62" s="235"/>
      <c r="DL62" s="238"/>
      <c r="DM62" s="238"/>
      <c r="DN62" s="238">
        <v>0</v>
      </c>
      <c r="DO62" s="227"/>
      <c r="DP62" s="8"/>
      <c r="DQ62" s="3"/>
      <c r="DR62" s="8"/>
      <c r="DS62" s="8"/>
      <c r="DT62" s="8"/>
      <c r="DU62" s="8"/>
      <c r="DV62" s="8"/>
      <c r="DW62" s="8"/>
      <c r="DX62" s="227"/>
      <c r="DY62" s="227"/>
      <c r="DZ62" s="227"/>
      <c r="EA62" s="227"/>
      <c r="EB62" s="227"/>
      <c r="EC62" s="227"/>
      <c r="ED62" s="227"/>
      <c r="EE62" s="227"/>
      <c r="EF62" s="227"/>
      <c r="EG62" s="227"/>
      <c r="EH62" s="227"/>
      <c r="EI62" s="227"/>
      <c r="EJ62" s="8"/>
      <c r="EK62" s="8"/>
      <c r="EL62" s="8"/>
      <c r="EM62" s="8"/>
      <c r="EN62" s="8"/>
      <c r="EO62" s="8"/>
      <c r="EP62" s="8"/>
      <c r="EQ62" s="8"/>
      <c r="ER62" s="8"/>
      <c r="ES62" s="8"/>
      <c r="ET62" s="8"/>
      <c r="EU62" s="8"/>
      <c r="EV62" s="8"/>
      <c r="EW62" s="8"/>
      <c r="EX62" s="8"/>
      <c r="EY62" s="8"/>
      <c r="EZ62" s="3"/>
      <c r="FA62" s="3"/>
    </row>
    <row r="63" spans="1:157" s="565" customFormat="1" ht="12.75">
      <c r="A63" s="123"/>
      <c r="B63" s="714"/>
      <c r="C63" s="714"/>
      <c r="D63" s="714"/>
      <c r="E63" s="714"/>
      <c r="F63" s="248"/>
      <c r="G63" s="181"/>
      <c r="H63" s="70"/>
      <c r="I63" s="70"/>
      <c r="J63" s="70"/>
      <c r="K63" s="70"/>
      <c r="L63" s="70"/>
      <c r="M63" s="70"/>
      <c r="N63" s="14"/>
      <c r="O63" s="14"/>
      <c r="P63" s="733" t="s">
        <v>108</v>
      </c>
      <c r="Q63" s="734"/>
      <c r="R63" s="239"/>
      <c r="S63" s="240">
        <f>Z30</f>
        <v>0</v>
      </c>
      <c r="T63" s="241">
        <v>5</v>
      </c>
      <c r="U63" s="241">
        <f>F93*E93+F94*E94+F95*E95</f>
        <v>0</v>
      </c>
      <c r="V63" s="241">
        <f>U63*$DN$66/60</f>
        <v>0</v>
      </c>
      <c r="W63" s="185">
        <f>V63*Z30/1000</f>
        <v>0</v>
      </c>
      <c r="X63" s="240">
        <f>DN66/60</f>
        <v>5</v>
      </c>
      <c r="Y63" s="240">
        <f>DK66</f>
        <v>16</v>
      </c>
      <c r="Z63" s="241">
        <f>X63*Y63</f>
        <v>80</v>
      </c>
      <c r="AA63" s="242">
        <f>S63*Z63/1000</f>
        <v>0</v>
      </c>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45"/>
      <c r="BE63" s="165" t="s">
        <v>12</v>
      </c>
      <c r="BF63" s="23">
        <v>20</v>
      </c>
      <c r="BG63" s="23">
        <v>13</v>
      </c>
      <c r="BH63" s="23">
        <v>6</v>
      </c>
      <c r="BI63" s="90" t="b">
        <f t="shared" si="53"/>
        <v>0</v>
      </c>
      <c r="BJ63" s="46" t="b">
        <f t="shared" si="68"/>
        <v>0</v>
      </c>
      <c r="BK63" s="166">
        <f t="shared" si="69"/>
        <v>0</v>
      </c>
      <c r="BL63" s="175">
        <f>IF(SUM(BL$51:BL62,BK63)&gt;$BK$4,0,BK63)</f>
        <v>0</v>
      </c>
      <c r="BM63" s="23">
        <f t="shared" si="14"/>
        <v>0</v>
      </c>
      <c r="BN63" s="90">
        <f t="shared" si="15"/>
        <v>0</v>
      </c>
      <c r="BO63" s="24">
        <f t="shared" si="59"/>
        <v>0</v>
      </c>
      <c r="BP63" s="168">
        <f t="shared" si="70"/>
        <v>0</v>
      </c>
      <c r="BQ63" s="171">
        <f t="shared" si="71"/>
        <v>0</v>
      </c>
      <c r="BR63" s="170">
        <f t="shared" si="18"/>
        <v>0</v>
      </c>
      <c r="BS63" s="168">
        <f t="shared" si="72"/>
        <v>0</v>
      </c>
      <c r="BT63" s="171">
        <f t="shared" si="73"/>
        <v>0</v>
      </c>
      <c r="BU63" s="170">
        <f t="shared" si="21"/>
        <v>0</v>
      </c>
      <c r="BV63" s="168">
        <f t="shared" si="74"/>
        <v>0</v>
      </c>
      <c r="BW63" s="171">
        <f t="shared" si="75"/>
        <v>0</v>
      </c>
      <c r="BX63" s="170">
        <f t="shared" si="24"/>
        <v>0</v>
      </c>
      <c r="BY63" s="168">
        <f t="shared" si="76"/>
        <v>0</v>
      </c>
      <c r="BZ63" s="171">
        <f t="shared" si="77"/>
        <v>0</v>
      </c>
      <c r="CA63" s="170">
        <f t="shared" si="27"/>
        <v>0</v>
      </c>
      <c r="CB63" s="90">
        <f t="shared" si="78"/>
        <v>0</v>
      </c>
      <c r="CC63" s="171">
        <f t="shared" si="79"/>
        <v>0</v>
      </c>
      <c r="CD63" s="170">
        <f t="shared" si="30"/>
        <v>0</v>
      </c>
      <c r="CE63" s="90">
        <f t="shared" si="80"/>
        <v>0</v>
      </c>
      <c r="CF63" s="171">
        <f t="shared" si="81"/>
        <v>0</v>
      </c>
      <c r="CG63" s="170">
        <f t="shared" si="33"/>
        <v>0</v>
      </c>
      <c r="CH63" s="90">
        <f t="shared" si="82"/>
        <v>0</v>
      </c>
      <c r="CI63" s="171">
        <f t="shared" si="83"/>
        <v>0</v>
      </c>
      <c r="CJ63" s="170">
        <f t="shared" si="36"/>
        <v>0</v>
      </c>
      <c r="CK63" s="90">
        <f t="shared" si="84"/>
        <v>0</v>
      </c>
      <c r="CL63" s="171">
        <f t="shared" si="85"/>
        <v>0</v>
      </c>
      <c r="CM63" s="170">
        <f t="shared" si="39"/>
        <v>0</v>
      </c>
      <c r="CN63" s="90">
        <f t="shared" si="86"/>
        <v>0</v>
      </c>
      <c r="CO63" s="171">
        <f t="shared" si="87"/>
        <v>0</v>
      </c>
      <c r="CP63" s="170">
        <f t="shared" si="42"/>
        <v>0</v>
      </c>
      <c r="CQ63" s="90">
        <f t="shared" si="88"/>
        <v>0</v>
      </c>
      <c r="CR63" s="171">
        <f t="shared" si="89"/>
        <v>0</v>
      </c>
      <c r="CS63" s="170">
        <f t="shared" si="45"/>
        <v>0</v>
      </c>
      <c r="CT63" s="90">
        <f t="shared" si="90"/>
        <v>0</v>
      </c>
      <c r="CU63" s="171">
        <f t="shared" si="91"/>
        <v>0</v>
      </c>
      <c r="CV63" s="170">
        <f t="shared" si="48"/>
        <v>0</v>
      </c>
      <c r="CW63" s="90">
        <f t="shared" si="92"/>
        <v>0</v>
      </c>
      <c r="CX63" s="171">
        <f t="shared" si="93"/>
        <v>0</v>
      </c>
      <c r="CY63" s="170">
        <f t="shared" si="51"/>
        <v>0</v>
      </c>
      <c r="CZ63" s="168">
        <f t="shared" si="52"/>
        <v>0</v>
      </c>
      <c r="DA63" s="172">
        <f t="shared" si="54"/>
        <v>0</v>
      </c>
      <c r="DB63" s="173">
        <f t="shared" si="55"/>
        <v>0</v>
      </c>
      <c r="DC63" s="172">
        <f t="shared" si="94"/>
        <v>0</v>
      </c>
      <c r="DD63" s="172">
        <f t="shared" si="94"/>
        <v>0</v>
      </c>
      <c r="DE63" s="172">
        <f t="shared" si="94"/>
        <v>0</v>
      </c>
      <c r="DF63" s="172">
        <f t="shared" si="57"/>
        <v>0</v>
      </c>
      <c r="DG63" s="1"/>
      <c r="DH63" s="1"/>
      <c r="DI63" s="3"/>
      <c r="DJ63" s="247" t="s">
        <v>226</v>
      </c>
      <c r="DK63" s="249"/>
      <c r="DL63" s="236">
        <v>2.5</v>
      </c>
      <c r="DM63" s="237">
        <f>DL63/9.5</f>
        <v>0.26315789473684209</v>
      </c>
      <c r="DN63" s="236">
        <v>9</v>
      </c>
      <c r="DO63" s="227"/>
      <c r="DP63" s="8"/>
      <c r="DQ63" s="3"/>
      <c r="DR63" s="8"/>
      <c r="DS63" s="8"/>
      <c r="DT63" s="8"/>
      <c r="DU63" s="8"/>
      <c r="DV63" s="8"/>
      <c r="DW63" s="8"/>
      <c r="DX63" s="227"/>
      <c r="DY63" s="227"/>
      <c r="DZ63" s="227"/>
      <c r="EA63" s="227"/>
      <c r="EB63" s="227"/>
      <c r="EC63" s="227"/>
      <c r="ED63" s="227"/>
      <c r="EE63" s="227"/>
      <c r="EF63" s="227"/>
      <c r="EG63" s="227"/>
      <c r="EH63" s="227"/>
      <c r="EI63" s="227"/>
      <c r="EJ63" s="8"/>
      <c r="EK63" s="8"/>
      <c r="EL63" s="8"/>
      <c r="EM63" s="8"/>
      <c r="EN63" s="8"/>
      <c r="EO63" s="8"/>
      <c r="EP63" s="8"/>
      <c r="EQ63" s="8"/>
      <c r="ER63" s="8"/>
      <c r="ES63" s="8"/>
      <c r="ET63" s="8"/>
      <c r="EU63" s="8"/>
      <c r="EV63" s="8"/>
      <c r="EW63" s="8"/>
      <c r="EX63" s="8"/>
      <c r="EY63" s="8"/>
      <c r="EZ63" s="3"/>
      <c r="FA63" s="3"/>
    </row>
    <row r="64" spans="1:157" s="565" customFormat="1" ht="15" customHeight="1">
      <c r="A64" s="181"/>
      <c r="B64" s="714" t="s">
        <v>227</v>
      </c>
      <c r="C64" s="714"/>
      <c r="D64" s="714"/>
      <c r="E64" s="714"/>
      <c r="F64" s="248">
        <f>AA59</f>
        <v>0</v>
      </c>
      <c r="G64" s="181"/>
      <c r="H64" s="70"/>
      <c r="I64" s="70"/>
      <c r="J64" s="70"/>
      <c r="K64" s="70"/>
      <c r="L64" s="70"/>
      <c r="M64" s="70"/>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45"/>
      <c r="BE64" s="165" t="s">
        <v>12</v>
      </c>
      <c r="BF64" s="23">
        <v>20</v>
      </c>
      <c r="BG64" s="23">
        <v>14</v>
      </c>
      <c r="BH64" s="23">
        <v>7</v>
      </c>
      <c r="BI64" s="90" t="b">
        <f t="shared" si="53"/>
        <v>0</v>
      </c>
      <c r="BJ64" s="46" t="b">
        <f t="shared" si="68"/>
        <v>1</v>
      </c>
      <c r="BK64" s="166">
        <f t="shared" si="69"/>
        <v>6.9230769230769234</v>
      </c>
      <c r="BL64" s="175">
        <f>IF(SUM(BL$51:BL63,BK64)&gt;$BK$4,0,BK64)</f>
        <v>6.9230769230769234</v>
      </c>
      <c r="BM64" s="23">
        <f t="shared" si="14"/>
        <v>0</v>
      </c>
      <c r="BN64" s="90">
        <f t="shared" si="15"/>
        <v>0</v>
      </c>
      <c r="BO64" s="24">
        <f t="shared" si="59"/>
        <v>0</v>
      </c>
      <c r="BP64" s="168">
        <f t="shared" si="70"/>
        <v>0</v>
      </c>
      <c r="BQ64" s="171">
        <f t="shared" si="71"/>
        <v>0</v>
      </c>
      <c r="BR64" s="170">
        <f t="shared" si="18"/>
        <v>0</v>
      </c>
      <c r="BS64" s="168">
        <f t="shared" si="72"/>
        <v>0</v>
      </c>
      <c r="BT64" s="171">
        <f t="shared" si="73"/>
        <v>0</v>
      </c>
      <c r="BU64" s="170">
        <f t="shared" si="21"/>
        <v>0</v>
      </c>
      <c r="BV64" s="168">
        <f t="shared" si="74"/>
        <v>0</v>
      </c>
      <c r="BW64" s="171">
        <f t="shared" si="75"/>
        <v>0</v>
      </c>
      <c r="BX64" s="170">
        <f t="shared" si="24"/>
        <v>0</v>
      </c>
      <c r="BY64" s="168">
        <f t="shared" si="76"/>
        <v>0</v>
      </c>
      <c r="BZ64" s="171">
        <f t="shared" si="77"/>
        <v>0</v>
      </c>
      <c r="CA64" s="170">
        <f t="shared" si="27"/>
        <v>0</v>
      </c>
      <c r="CB64" s="90">
        <f t="shared" si="78"/>
        <v>0</v>
      </c>
      <c r="CC64" s="171">
        <f t="shared" si="79"/>
        <v>0</v>
      </c>
      <c r="CD64" s="170">
        <f t="shared" si="30"/>
        <v>0</v>
      </c>
      <c r="CE64" s="90">
        <f t="shared" si="80"/>
        <v>0</v>
      </c>
      <c r="CF64" s="171">
        <f t="shared" si="81"/>
        <v>0</v>
      </c>
      <c r="CG64" s="170">
        <f t="shared" si="33"/>
        <v>0</v>
      </c>
      <c r="CH64" s="90">
        <f t="shared" si="82"/>
        <v>0</v>
      </c>
      <c r="CI64" s="171">
        <f t="shared" si="83"/>
        <v>0</v>
      </c>
      <c r="CJ64" s="170">
        <f t="shared" si="36"/>
        <v>0</v>
      </c>
      <c r="CK64" s="90">
        <f t="shared" si="84"/>
        <v>0</v>
      </c>
      <c r="CL64" s="171">
        <f t="shared" si="85"/>
        <v>0</v>
      </c>
      <c r="CM64" s="170">
        <f t="shared" si="39"/>
        <v>0</v>
      </c>
      <c r="CN64" s="90">
        <f t="shared" si="86"/>
        <v>0</v>
      </c>
      <c r="CO64" s="171">
        <f t="shared" si="87"/>
        <v>0</v>
      </c>
      <c r="CP64" s="170">
        <f t="shared" si="42"/>
        <v>0</v>
      </c>
      <c r="CQ64" s="90">
        <f t="shared" si="88"/>
        <v>0</v>
      </c>
      <c r="CR64" s="171">
        <f t="shared" si="89"/>
        <v>0</v>
      </c>
      <c r="CS64" s="170">
        <f t="shared" si="45"/>
        <v>0</v>
      </c>
      <c r="CT64" s="90">
        <f t="shared" si="90"/>
        <v>0</v>
      </c>
      <c r="CU64" s="171">
        <f t="shared" si="91"/>
        <v>0</v>
      </c>
      <c r="CV64" s="170">
        <f t="shared" si="48"/>
        <v>0</v>
      </c>
      <c r="CW64" s="90">
        <f t="shared" si="92"/>
        <v>0</v>
      </c>
      <c r="CX64" s="171">
        <f t="shared" si="93"/>
        <v>0</v>
      </c>
      <c r="CY64" s="170">
        <f t="shared" si="51"/>
        <v>0</v>
      </c>
      <c r="CZ64" s="168">
        <f t="shared" si="52"/>
        <v>0</v>
      </c>
      <c r="DA64" s="172">
        <f t="shared" si="54"/>
        <v>0</v>
      </c>
      <c r="DB64" s="173">
        <f t="shared" si="55"/>
        <v>0</v>
      </c>
      <c r="DC64" s="172">
        <f t="shared" si="94"/>
        <v>0</v>
      </c>
      <c r="DD64" s="172">
        <f t="shared" si="94"/>
        <v>0</v>
      </c>
      <c r="DE64" s="172">
        <f t="shared" si="94"/>
        <v>0</v>
      </c>
      <c r="DF64" s="172">
        <f t="shared" si="57"/>
        <v>0</v>
      </c>
      <c r="DG64" s="1"/>
      <c r="DH64" s="1"/>
      <c r="DI64" s="3"/>
      <c r="DJ64" s="247" t="s">
        <v>228</v>
      </c>
      <c r="DK64" s="249"/>
      <c r="DL64" s="236">
        <v>2.5</v>
      </c>
      <c r="DM64" s="237">
        <f>DL64/9.5</f>
        <v>0.26315789473684209</v>
      </c>
      <c r="DN64" s="236">
        <v>7</v>
      </c>
      <c r="DO64" s="227"/>
      <c r="DP64" s="8"/>
      <c r="DQ64" s="3"/>
      <c r="DR64" s="8"/>
      <c r="DS64" s="8"/>
      <c r="DT64" s="8"/>
      <c r="DU64" s="8"/>
      <c r="DV64" s="8"/>
      <c r="DW64" s="8"/>
      <c r="DX64" s="227"/>
      <c r="DY64" s="227"/>
      <c r="DZ64" s="227"/>
      <c r="EA64" s="227"/>
      <c r="EB64" s="227"/>
      <c r="EC64" s="227"/>
      <c r="ED64" s="227"/>
      <c r="EE64" s="227"/>
      <c r="EF64" s="227"/>
      <c r="EG64" s="227"/>
      <c r="EH64" s="227"/>
      <c r="EI64" s="227"/>
      <c r="EJ64" s="8"/>
      <c r="EK64" s="8"/>
      <c r="EL64" s="8"/>
      <c r="EM64" s="8"/>
      <c r="EN64" s="8"/>
      <c r="EO64" s="8"/>
      <c r="EP64" s="8"/>
      <c r="EQ64" s="8"/>
      <c r="ER64" s="8"/>
      <c r="ES64" s="8"/>
      <c r="ET64" s="8"/>
      <c r="EU64" s="8"/>
      <c r="EV64" s="8"/>
      <c r="EW64" s="8"/>
      <c r="EX64" s="8"/>
      <c r="EY64" s="8"/>
      <c r="EZ64" s="3"/>
      <c r="FA64" s="3"/>
    </row>
    <row r="65" spans="1:155" s="565" customFormat="1" ht="15" customHeight="1">
      <c r="A65" s="70"/>
      <c r="B65" s="70"/>
      <c r="C65" s="70"/>
      <c r="D65" s="70"/>
      <c r="E65" s="70"/>
      <c r="F65" s="70"/>
      <c r="G65" s="70"/>
      <c r="H65" s="70"/>
      <c r="I65" s="70"/>
      <c r="J65" s="70"/>
      <c r="K65" s="70"/>
      <c r="L65" s="70"/>
      <c r="M65" s="70"/>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45"/>
      <c r="BE65" s="165" t="s">
        <v>12</v>
      </c>
      <c r="BF65" s="23">
        <v>20</v>
      </c>
      <c r="BG65" s="23">
        <v>15</v>
      </c>
      <c r="BH65" s="23">
        <v>1</v>
      </c>
      <c r="BI65" s="90" t="b">
        <f t="shared" si="53"/>
        <v>1</v>
      </c>
      <c r="BJ65" s="46" t="b">
        <f t="shared" si="68"/>
        <v>0</v>
      </c>
      <c r="BK65" s="166">
        <f t="shared" si="69"/>
        <v>0</v>
      </c>
      <c r="BL65" s="175">
        <f>IF(SUM(BL$51:BL64,BK65)&gt;$BK$4,0,BK65)</f>
        <v>0</v>
      </c>
      <c r="BM65" s="23">
        <f t="shared" si="14"/>
        <v>0</v>
      </c>
      <c r="BN65" s="90">
        <f t="shared" si="15"/>
        <v>0</v>
      </c>
      <c r="BO65" s="24">
        <f t="shared" si="59"/>
        <v>0</v>
      </c>
      <c r="BP65" s="168">
        <f t="shared" si="70"/>
        <v>0</v>
      </c>
      <c r="BQ65" s="171">
        <f t="shared" si="71"/>
        <v>0</v>
      </c>
      <c r="BR65" s="170">
        <f t="shared" si="18"/>
        <v>0</v>
      </c>
      <c r="BS65" s="168">
        <f t="shared" si="72"/>
        <v>0</v>
      </c>
      <c r="BT65" s="171">
        <f t="shared" si="73"/>
        <v>0</v>
      </c>
      <c r="BU65" s="170">
        <f t="shared" si="21"/>
        <v>0</v>
      </c>
      <c r="BV65" s="168">
        <f t="shared" si="74"/>
        <v>0</v>
      </c>
      <c r="BW65" s="171">
        <f t="shared" si="75"/>
        <v>0</v>
      </c>
      <c r="BX65" s="170">
        <f t="shared" si="24"/>
        <v>0</v>
      </c>
      <c r="BY65" s="168">
        <f t="shared" si="76"/>
        <v>0</v>
      </c>
      <c r="BZ65" s="171">
        <f t="shared" si="77"/>
        <v>0</v>
      </c>
      <c r="CA65" s="170">
        <f t="shared" si="27"/>
        <v>0</v>
      </c>
      <c r="CB65" s="90">
        <f t="shared" si="78"/>
        <v>0</v>
      </c>
      <c r="CC65" s="171">
        <f t="shared" si="79"/>
        <v>0</v>
      </c>
      <c r="CD65" s="170">
        <f t="shared" si="30"/>
        <v>0</v>
      </c>
      <c r="CE65" s="90">
        <f t="shared" si="80"/>
        <v>0</v>
      </c>
      <c r="CF65" s="171">
        <f t="shared" si="81"/>
        <v>0</v>
      </c>
      <c r="CG65" s="170">
        <f t="shared" si="33"/>
        <v>0</v>
      </c>
      <c r="CH65" s="90">
        <f t="shared" si="82"/>
        <v>0</v>
      </c>
      <c r="CI65" s="171">
        <f t="shared" si="83"/>
        <v>0</v>
      </c>
      <c r="CJ65" s="170">
        <f t="shared" si="36"/>
        <v>0</v>
      </c>
      <c r="CK65" s="90">
        <f t="shared" si="84"/>
        <v>0</v>
      </c>
      <c r="CL65" s="171">
        <f t="shared" si="85"/>
        <v>0</v>
      </c>
      <c r="CM65" s="170">
        <f t="shared" si="39"/>
        <v>0</v>
      </c>
      <c r="CN65" s="90">
        <f t="shared" si="86"/>
        <v>0</v>
      </c>
      <c r="CO65" s="171">
        <f t="shared" si="87"/>
        <v>0</v>
      </c>
      <c r="CP65" s="170">
        <f t="shared" si="42"/>
        <v>0</v>
      </c>
      <c r="CQ65" s="90">
        <f t="shared" si="88"/>
        <v>0</v>
      </c>
      <c r="CR65" s="171">
        <f t="shared" si="89"/>
        <v>0</v>
      </c>
      <c r="CS65" s="170">
        <f t="shared" si="45"/>
        <v>0</v>
      </c>
      <c r="CT65" s="90">
        <f t="shared" si="90"/>
        <v>0</v>
      </c>
      <c r="CU65" s="171">
        <f t="shared" si="91"/>
        <v>0</v>
      </c>
      <c r="CV65" s="170">
        <f t="shared" si="48"/>
        <v>0</v>
      </c>
      <c r="CW65" s="90">
        <f t="shared" si="92"/>
        <v>0</v>
      </c>
      <c r="CX65" s="171">
        <f t="shared" si="93"/>
        <v>0</v>
      </c>
      <c r="CY65" s="170">
        <f t="shared" si="51"/>
        <v>0</v>
      </c>
      <c r="CZ65" s="168">
        <f t="shared" si="52"/>
        <v>0</v>
      </c>
      <c r="DA65" s="172">
        <f t="shared" si="54"/>
        <v>0</v>
      </c>
      <c r="DB65" s="173">
        <f t="shared" si="55"/>
        <v>0</v>
      </c>
      <c r="DC65" s="172">
        <f t="shared" si="94"/>
        <v>0</v>
      </c>
      <c r="DD65" s="172">
        <f t="shared" si="94"/>
        <v>0</v>
      </c>
      <c r="DE65" s="172">
        <f t="shared" si="94"/>
        <v>0</v>
      </c>
      <c r="DF65" s="172">
        <f t="shared" si="57"/>
        <v>0</v>
      </c>
      <c r="DG65" s="1"/>
      <c r="DH65" s="1"/>
      <c r="DI65" s="3"/>
      <c r="DJ65" s="247" t="s">
        <v>229</v>
      </c>
      <c r="DK65" s="249"/>
      <c r="DL65" s="236">
        <v>2.5</v>
      </c>
      <c r="DM65" s="237">
        <f>DL65/9.5</f>
        <v>0.26315789473684209</v>
      </c>
      <c r="DN65" s="236">
        <v>6</v>
      </c>
      <c r="DO65" s="227"/>
      <c r="DP65" s="8"/>
      <c r="DQ65" s="3"/>
      <c r="DR65" s="8"/>
      <c r="DS65" s="8"/>
      <c r="DT65" s="8"/>
      <c r="DU65" s="8"/>
      <c r="DV65" s="8"/>
      <c r="DW65" s="8"/>
      <c r="DX65" s="227"/>
      <c r="DY65" s="227"/>
      <c r="DZ65" s="227"/>
      <c r="EA65" s="227"/>
      <c r="EB65" s="227"/>
      <c r="EC65" s="227"/>
      <c r="ED65" s="227"/>
      <c r="EE65" s="227"/>
      <c r="EF65" s="227"/>
      <c r="EG65" s="227"/>
      <c r="EH65" s="227"/>
      <c r="EI65" s="227"/>
      <c r="EJ65" s="8"/>
      <c r="EK65" s="8"/>
      <c r="EL65" s="8"/>
      <c r="EM65" s="8"/>
      <c r="EN65" s="8"/>
      <c r="EO65" s="8"/>
      <c r="EP65" s="8"/>
      <c r="EQ65" s="8"/>
      <c r="ER65" s="8"/>
      <c r="ES65" s="8"/>
      <c r="ET65" s="8"/>
      <c r="EU65" s="8"/>
      <c r="EV65" s="8"/>
      <c r="EW65" s="8"/>
      <c r="EX65" s="8"/>
      <c r="EY65" s="8"/>
    </row>
    <row r="66" spans="1:155" s="565" customFormat="1" ht="15" customHeight="1">
      <c r="A66" s="181"/>
      <c r="B66" s="222" t="s">
        <v>106</v>
      </c>
      <c r="C66" s="250"/>
      <c r="D66" s="250"/>
      <c r="E66" s="250"/>
      <c r="F66" s="251"/>
      <c r="G66" s="70"/>
      <c r="H66" s="70"/>
      <c r="I66" s="70"/>
      <c r="J66" s="70"/>
      <c r="K66" s="70"/>
      <c r="L66" s="70"/>
      <c r="M66" s="70"/>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45"/>
      <c r="BE66" s="165" t="s">
        <v>12</v>
      </c>
      <c r="BF66" s="23">
        <v>20</v>
      </c>
      <c r="BG66" s="23">
        <v>16</v>
      </c>
      <c r="BH66" s="23">
        <v>2</v>
      </c>
      <c r="BI66" s="90" t="b">
        <f t="shared" si="53"/>
        <v>1</v>
      </c>
      <c r="BJ66" s="46" t="b">
        <f t="shared" si="68"/>
        <v>1</v>
      </c>
      <c r="BK66" s="166">
        <f t="shared" si="69"/>
        <v>6.9230769230769234</v>
      </c>
      <c r="BL66" s="175">
        <f>IF(SUM(BL$51:BL65,BK66)&gt;$BK$4,0,BK66)</f>
        <v>6.9230769230769234</v>
      </c>
      <c r="BM66" s="23">
        <f t="shared" si="14"/>
        <v>0</v>
      </c>
      <c r="BN66" s="90">
        <f t="shared" si="15"/>
        <v>0</v>
      </c>
      <c r="BO66" s="24">
        <f t="shared" si="59"/>
        <v>0</v>
      </c>
      <c r="BP66" s="168">
        <f t="shared" si="70"/>
        <v>0</v>
      </c>
      <c r="BQ66" s="171">
        <f t="shared" si="71"/>
        <v>0</v>
      </c>
      <c r="BR66" s="170">
        <f t="shared" si="18"/>
        <v>0</v>
      </c>
      <c r="BS66" s="168">
        <f t="shared" si="72"/>
        <v>0</v>
      </c>
      <c r="BT66" s="171">
        <f t="shared" si="73"/>
        <v>0</v>
      </c>
      <c r="BU66" s="170">
        <f t="shared" si="21"/>
        <v>0</v>
      </c>
      <c r="BV66" s="168">
        <f t="shared" si="74"/>
        <v>0</v>
      </c>
      <c r="BW66" s="171">
        <f t="shared" si="75"/>
        <v>0</v>
      </c>
      <c r="BX66" s="170">
        <f t="shared" si="24"/>
        <v>0</v>
      </c>
      <c r="BY66" s="168">
        <f t="shared" si="76"/>
        <v>0</v>
      </c>
      <c r="BZ66" s="171">
        <f t="shared" si="77"/>
        <v>0</v>
      </c>
      <c r="CA66" s="170">
        <f t="shared" si="27"/>
        <v>0</v>
      </c>
      <c r="CB66" s="90">
        <f t="shared" si="78"/>
        <v>0</v>
      </c>
      <c r="CC66" s="171">
        <f t="shared" si="79"/>
        <v>0</v>
      </c>
      <c r="CD66" s="170">
        <f t="shared" si="30"/>
        <v>0</v>
      </c>
      <c r="CE66" s="90">
        <f t="shared" si="80"/>
        <v>0</v>
      </c>
      <c r="CF66" s="171">
        <f t="shared" si="81"/>
        <v>0</v>
      </c>
      <c r="CG66" s="170">
        <f t="shared" si="33"/>
        <v>0</v>
      </c>
      <c r="CH66" s="90">
        <f t="shared" si="82"/>
        <v>0</v>
      </c>
      <c r="CI66" s="171">
        <f t="shared" si="83"/>
        <v>0</v>
      </c>
      <c r="CJ66" s="170">
        <f t="shared" si="36"/>
        <v>0</v>
      </c>
      <c r="CK66" s="90">
        <f t="shared" si="84"/>
        <v>0</v>
      </c>
      <c r="CL66" s="171">
        <f t="shared" si="85"/>
        <v>0</v>
      </c>
      <c r="CM66" s="170">
        <f t="shared" si="39"/>
        <v>0</v>
      </c>
      <c r="CN66" s="90">
        <f t="shared" si="86"/>
        <v>0</v>
      </c>
      <c r="CO66" s="171">
        <f t="shared" si="87"/>
        <v>0</v>
      </c>
      <c r="CP66" s="170">
        <f t="shared" si="42"/>
        <v>0</v>
      </c>
      <c r="CQ66" s="90">
        <f t="shared" si="88"/>
        <v>0</v>
      </c>
      <c r="CR66" s="171">
        <f t="shared" si="89"/>
        <v>0</v>
      </c>
      <c r="CS66" s="170">
        <f t="shared" si="45"/>
        <v>0</v>
      </c>
      <c r="CT66" s="90">
        <f t="shared" si="90"/>
        <v>0</v>
      </c>
      <c r="CU66" s="171">
        <f t="shared" si="91"/>
        <v>0</v>
      </c>
      <c r="CV66" s="170">
        <f t="shared" si="48"/>
        <v>0</v>
      </c>
      <c r="CW66" s="90">
        <f t="shared" si="92"/>
        <v>0</v>
      </c>
      <c r="CX66" s="171">
        <f t="shared" si="93"/>
        <v>0</v>
      </c>
      <c r="CY66" s="170">
        <f t="shared" si="51"/>
        <v>0</v>
      </c>
      <c r="CZ66" s="168">
        <f t="shared" si="52"/>
        <v>0</v>
      </c>
      <c r="DA66" s="172">
        <f t="shared" si="54"/>
        <v>0</v>
      </c>
      <c r="DB66" s="173">
        <f t="shared" si="55"/>
        <v>0</v>
      </c>
      <c r="DC66" s="172">
        <f t="shared" si="94"/>
        <v>0</v>
      </c>
      <c r="DD66" s="172">
        <f t="shared" si="94"/>
        <v>0</v>
      </c>
      <c r="DE66" s="172">
        <f t="shared" si="94"/>
        <v>0</v>
      </c>
      <c r="DF66" s="172">
        <f t="shared" si="57"/>
        <v>0</v>
      </c>
      <c r="DG66" s="1"/>
      <c r="DH66" s="1"/>
      <c r="DI66" s="3"/>
      <c r="DJ66" s="234" t="s">
        <v>230</v>
      </c>
      <c r="DK66" s="235">
        <v>16</v>
      </c>
      <c r="DL66" s="236" t="s">
        <v>231</v>
      </c>
      <c r="DM66" s="237"/>
      <c r="DN66" s="236">
        <v>300</v>
      </c>
      <c r="DO66" s="227"/>
      <c r="DP66" s="8"/>
      <c r="DQ66" s="3"/>
      <c r="DR66" s="8"/>
      <c r="DS66" s="8"/>
      <c r="DT66" s="8"/>
      <c r="DU66" s="8"/>
      <c r="DV66" s="8"/>
      <c r="DW66" s="8"/>
      <c r="DX66" s="227"/>
      <c r="DY66" s="227"/>
      <c r="DZ66" s="227"/>
      <c r="EA66" s="227"/>
      <c r="EB66" s="227"/>
      <c r="EC66" s="227"/>
      <c r="ED66" s="227"/>
      <c r="EE66" s="227"/>
      <c r="EF66" s="227"/>
      <c r="EG66" s="227"/>
      <c r="EH66" s="227"/>
      <c r="EI66" s="227"/>
      <c r="EJ66" s="8"/>
      <c r="EK66" s="8"/>
      <c r="EL66" s="8"/>
      <c r="EM66" s="8"/>
      <c r="EN66" s="8"/>
      <c r="EO66" s="8"/>
      <c r="EP66" s="8"/>
      <c r="EQ66" s="8"/>
      <c r="ER66" s="8"/>
      <c r="ES66" s="8"/>
      <c r="ET66" s="8"/>
      <c r="EU66" s="8"/>
      <c r="EV66" s="8"/>
      <c r="EW66" s="8"/>
      <c r="EX66" s="8"/>
      <c r="EY66" s="8"/>
    </row>
    <row r="67" spans="1:155" s="565" customFormat="1" ht="27.75" customHeight="1">
      <c r="A67" s="181"/>
      <c r="B67" s="717" t="s">
        <v>232</v>
      </c>
      <c r="C67" s="729"/>
      <c r="D67" s="252" t="s">
        <v>233</v>
      </c>
      <c r="E67" s="253" t="str">
        <f>IF(D67="No",N62,"")</f>
        <v/>
      </c>
      <c r="F67" s="254"/>
      <c r="G67" s="70"/>
      <c r="H67" s="70"/>
      <c r="I67" s="70"/>
      <c r="J67" s="70"/>
      <c r="K67" s="70"/>
      <c r="L67" s="70"/>
      <c r="M67" s="70"/>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45"/>
      <c r="BE67" s="165" t="s">
        <v>12</v>
      </c>
      <c r="BF67" s="23">
        <v>20</v>
      </c>
      <c r="BG67" s="23">
        <v>17</v>
      </c>
      <c r="BH67" s="23">
        <v>3</v>
      </c>
      <c r="BI67" s="90" t="b">
        <f t="shared" si="53"/>
        <v>1</v>
      </c>
      <c r="BJ67" s="46" t="b">
        <f t="shared" si="68"/>
        <v>0</v>
      </c>
      <c r="BK67" s="166">
        <f t="shared" si="69"/>
        <v>0</v>
      </c>
      <c r="BL67" s="175">
        <f>IF(SUM(BL$51:BL66,BK67)&gt;$BK$4,0,BK67)</f>
        <v>0</v>
      </c>
      <c r="BM67" s="23">
        <f t="shared" si="14"/>
        <v>0</v>
      </c>
      <c r="BN67" s="90">
        <f t="shared" si="15"/>
        <v>0</v>
      </c>
      <c r="BO67" s="24">
        <f t="shared" si="59"/>
        <v>0</v>
      </c>
      <c r="BP67" s="168">
        <f t="shared" si="70"/>
        <v>0</v>
      </c>
      <c r="BQ67" s="171">
        <f t="shared" si="71"/>
        <v>0</v>
      </c>
      <c r="BR67" s="170">
        <f t="shared" si="18"/>
        <v>0</v>
      </c>
      <c r="BS67" s="168">
        <f t="shared" si="72"/>
        <v>0</v>
      </c>
      <c r="BT67" s="171">
        <f t="shared" si="73"/>
        <v>0</v>
      </c>
      <c r="BU67" s="170">
        <f t="shared" si="21"/>
        <v>0</v>
      </c>
      <c r="BV67" s="168">
        <f t="shared" si="74"/>
        <v>0</v>
      </c>
      <c r="BW67" s="171">
        <f t="shared" si="75"/>
        <v>0</v>
      </c>
      <c r="BX67" s="170">
        <f t="shared" si="24"/>
        <v>0</v>
      </c>
      <c r="BY67" s="168">
        <f t="shared" si="76"/>
        <v>0</v>
      </c>
      <c r="BZ67" s="171">
        <f t="shared" si="77"/>
        <v>0</v>
      </c>
      <c r="CA67" s="170">
        <f t="shared" si="27"/>
        <v>0</v>
      </c>
      <c r="CB67" s="90">
        <f t="shared" si="78"/>
        <v>0</v>
      </c>
      <c r="CC67" s="171">
        <f t="shared" si="79"/>
        <v>0</v>
      </c>
      <c r="CD67" s="170">
        <f t="shared" si="30"/>
        <v>0</v>
      </c>
      <c r="CE67" s="90">
        <f t="shared" si="80"/>
        <v>0</v>
      </c>
      <c r="CF67" s="171">
        <f t="shared" si="81"/>
        <v>0</v>
      </c>
      <c r="CG67" s="170">
        <f t="shared" si="33"/>
        <v>0</v>
      </c>
      <c r="CH67" s="90">
        <f t="shared" si="82"/>
        <v>0</v>
      </c>
      <c r="CI67" s="171">
        <f t="shared" si="83"/>
        <v>0</v>
      </c>
      <c r="CJ67" s="170">
        <f t="shared" si="36"/>
        <v>0</v>
      </c>
      <c r="CK67" s="90">
        <f t="shared" si="84"/>
        <v>0</v>
      </c>
      <c r="CL67" s="171">
        <f t="shared" si="85"/>
        <v>0</v>
      </c>
      <c r="CM67" s="170">
        <f t="shared" si="39"/>
        <v>0</v>
      </c>
      <c r="CN67" s="90">
        <f t="shared" si="86"/>
        <v>0</v>
      </c>
      <c r="CO67" s="171">
        <f t="shared" si="87"/>
        <v>0</v>
      </c>
      <c r="CP67" s="170">
        <f t="shared" si="42"/>
        <v>0</v>
      </c>
      <c r="CQ67" s="90">
        <f t="shared" si="88"/>
        <v>0</v>
      </c>
      <c r="CR67" s="171">
        <f t="shared" si="89"/>
        <v>0</v>
      </c>
      <c r="CS67" s="170">
        <f t="shared" si="45"/>
        <v>0</v>
      </c>
      <c r="CT67" s="90">
        <f t="shared" si="90"/>
        <v>0</v>
      </c>
      <c r="CU67" s="171">
        <f t="shared" si="91"/>
        <v>0</v>
      </c>
      <c r="CV67" s="170">
        <f t="shared" si="48"/>
        <v>0</v>
      </c>
      <c r="CW67" s="90">
        <f t="shared" si="92"/>
        <v>0</v>
      </c>
      <c r="CX67" s="171">
        <f t="shared" si="93"/>
        <v>0</v>
      </c>
      <c r="CY67" s="170">
        <f t="shared" si="51"/>
        <v>0</v>
      </c>
      <c r="CZ67" s="168">
        <f t="shared" si="52"/>
        <v>0</v>
      </c>
      <c r="DA67" s="172">
        <f t="shared" si="54"/>
        <v>0</v>
      </c>
      <c r="DB67" s="173">
        <f t="shared" si="55"/>
        <v>0</v>
      </c>
      <c r="DC67" s="172">
        <f t="shared" si="94"/>
        <v>0</v>
      </c>
      <c r="DD67" s="172">
        <f t="shared" si="94"/>
        <v>0</v>
      </c>
      <c r="DE67" s="172">
        <f t="shared" si="94"/>
        <v>0</v>
      </c>
      <c r="DF67" s="172">
        <f t="shared" si="57"/>
        <v>0</v>
      </c>
      <c r="DG67" s="1"/>
      <c r="DH67" s="1"/>
      <c r="DI67" s="3"/>
      <c r="DJ67" s="234" t="s">
        <v>234</v>
      </c>
      <c r="DK67" s="249" t="s">
        <v>170</v>
      </c>
      <c r="DL67" s="238"/>
      <c r="DM67" s="238"/>
      <c r="DN67" s="238"/>
      <c r="DO67" s="227"/>
      <c r="DP67" s="8"/>
      <c r="DQ67" s="3"/>
      <c r="DR67" s="8"/>
      <c r="DS67" s="8"/>
      <c r="DT67" s="8"/>
      <c r="DU67" s="8"/>
      <c r="DV67" s="8"/>
      <c r="DW67" s="8"/>
      <c r="DX67" s="227"/>
      <c r="DY67" s="227"/>
      <c r="DZ67" s="227"/>
      <c r="EA67" s="227"/>
      <c r="EB67" s="227"/>
      <c r="EC67" s="227"/>
      <c r="ED67" s="227"/>
      <c r="EE67" s="227"/>
      <c r="EF67" s="227"/>
      <c r="EG67" s="227"/>
      <c r="EH67" s="227"/>
      <c r="EI67" s="227"/>
      <c r="EJ67" s="8"/>
      <c r="EK67" s="8"/>
      <c r="EL67" s="8"/>
      <c r="EM67" s="8"/>
      <c r="EN67" s="8"/>
      <c r="EO67" s="8"/>
      <c r="EP67" s="8"/>
      <c r="EQ67" s="8"/>
      <c r="ER67" s="8"/>
      <c r="ES67" s="8"/>
      <c r="ET67" s="8"/>
      <c r="EU67" s="8"/>
      <c r="EV67" s="8"/>
      <c r="EW67" s="8"/>
      <c r="EX67" s="8"/>
      <c r="EY67" s="8"/>
    </row>
    <row r="68" spans="1:155" s="565" customFormat="1" ht="24" hidden="1">
      <c r="A68" s="230"/>
      <c r="B68" s="717" t="s">
        <v>235</v>
      </c>
      <c r="C68" s="717"/>
      <c r="D68" s="717"/>
      <c r="E68" s="190" t="s">
        <v>199</v>
      </c>
      <c r="F68" s="190" t="s">
        <v>200</v>
      </c>
      <c r="G68" s="3"/>
      <c r="H68" s="3"/>
      <c r="I68" s="70"/>
      <c r="J68" s="70"/>
      <c r="K68" s="70"/>
      <c r="L68" s="70"/>
      <c r="M68" s="70"/>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45"/>
      <c r="BE68" s="165" t="s">
        <v>12</v>
      </c>
      <c r="BF68" s="23">
        <v>20</v>
      </c>
      <c r="BG68" s="23">
        <v>18</v>
      </c>
      <c r="BH68" s="23">
        <v>4</v>
      </c>
      <c r="BI68" s="90" t="b">
        <f t="shared" si="53"/>
        <v>1</v>
      </c>
      <c r="BJ68" s="46" t="b">
        <f t="shared" si="68"/>
        <v>1</v>
      </c>
      <c r="BK68" s="166">
        <f t="shared" si="69"/>
        <v>6.9230769230769234</v>
      </c>
      <c r="BL68" s="175">
        <f>IF(SUM(BL$51:BL67,BK68)&gt;$BK$4,0,BK68)</f>
        <v>6.9230769230769234</v>
      </c>
      <c r="BM68" s="23">
        <f t="shared" si="14"/>
        <v>0</v>
      </c>
      <c r="BN68" s="90">
        <f t="shared" si="15"/>
        <v>0</v>
      </c>
      <c r="BO68" s="24">
        <f t="shared" si="59"/>
        <v>0</v>
      </c>
      <c r="BP68" s="168">
        <f t="shared" si="70"/>
        <v>0</v>
      </c>
      <c r="BQ68" s="171">
        <f t="shared" si="71"/>
        <v>0</v>
      </c>
      <c r="BR68" s="170">
        <f t="shared" si="18"/>
        <v>0</v>
      </c>
      <c r="BS68" s="168">
        <f t="shared" si="72"/>
        <v>0</v>
      </c>
      <c r="BT68" s="171">
        <f t="shared" si="73"/>
        <v>0</v>
      </c>
      <c r="BU68" s="170">
        <f t="shared" si="21"/>
        <v>0</v>
      </c>
      <c r="BV68" s="168">
        <f t="shared" si="74"/>
        <v>0</v>
      </c>
      <c r="BW68" s="171">
        <f t="shared" si="75"/>
        <v>0</v>
      </c>
      <c r="BX68" s="170">
        <f t="shared" si="24"/>
        <v>0</v>
      </c>
      <c r="BY68" s="168">
        <f t="shared" si="76"/>
        <v>0</v>
      </c>
      <c r="BZ68" s="171">
        <f t="shared" si="77"/>
        <v>0</v>
      </c>
      <c r="CA68" s="170">
        <f t="shared" si="27"/>
        <v>0</v>
      </c>
      <c r="CB68" s="90">
        <f t="shared" si="78"/>
        <v>0</v>
      </c>
      <c r="CC68" s="171">
        <f t="shared" si="79"/>
        <v>0</v>
      </c>
      <c r="CD68" s="170">
        <f t="shared" si="30"/>
        <v>0</v>
      </c>
      <c r="CE68" s="90">
        <f t="shared" si="80"/>
        <v>0</v>
      </c>
      <c r="CF68" s="171">
        <f t="shared" si="81"/>
        <v>0</v>
      </c>
      <c r="CG68" s="170">
        <f t="shared" si="33"/>
        <v>0</v>
      </c>
      <c r="CH68" s="90">
        <f t="shared" si="82"/>
        <v>0</v>
      </c>
      <c r="CI68" s="171">
        <f t="shared" si="83"/>
        <v>0</v>
      </c>
      <c r="CJ68" s="170">
        <f t="shared" si="36"/>
        <v>0</v>
      </c>
      <c r="CK68" s="90">
        <f t="shared" si="84"/>
        <v>0</v>
      </c>
      <c r="CL68" s="171">
        <f t="shared" si="85"/>
        <v>0</v>
      </c>
      <c r="CM68" s="170">
        <f t="shared" si="39"/>
        <v>0</v>
      </c>
      <c r="CN68" s="90">
        <f t="shared" si="86"/>
        <v>0</v>
      </c>
      <c r="CO68" s="171">
        <f t="shared" si="87"/>
        <v>0</v>
      </c>
      <c r="CP68" s="170">
        <f t="shared" si="42"/>
        <v>0</v>
      </c>
      <c r="CQ68" s="90">
        <f t="shared" si="88"/>
        <v>0</v>
      </c>
      <c r="CR68" s="171">
        <f t="shared" si="89"/>
        <v>0</v>
      </c>
      <c r="CS68" s="170">
        <f t="shared" si="45"/>
        <v>0</v>
      </c>
      <c r="CT68" s="90">
        <f t="shared" si="90"/>
        <v>0</v>
      </c>
      <c r="CU68" s="171">
        <f t="shared" si="91"/>
        <v>0</v>
      </c>
      <c r="CV68" s="170">
        <f t="shared" si="48"/>
        <v>0</v>
      </c>
      <c r="CW68" s="90">
        <f t="shared" si="92"/>
        <v>0</v>
      </c>
      <c r="CX68" s="171">
        <f t="shared" si="93"/>
        <v>0</v>
      </c>
      <c r="CY68" s="170">
        <f t="shared" si="51"/>
        <v>0</v>
      </c>
      <c r="CZ68" s="168">
        <f t="shared" si="52"/>
        <v>0</v>
      </c>
      <c r="DA68" s="172">
        <f t="shared" si="54"/>
        <v>0</v>
      </c>
      <c r="DB68" s="173">
        <f t="shared" si="55"/>
        <v>0</v>
      </c>
      <c r="DC68" s="172">
        <f t="shared" si="94"/>
        <v>0</v>
      </c>
      <c r="DD68" s="172">
        <f t="shared" si="94"/>
        <v>0</v>
      </c>
      <c r="DE68" s="172">
        <f t="shared" si="94"/>
        <v>0</v>
      </c>
      <c r="DF68" s="172">
        <f t="shared" si="57"/>
        <v>0</v>
      </c>
      <c r="DG68" s="1"/>
      <c r="DH68" s="1"/>
      <c r="DI68" s="3"/>
      <c r="DJ68" s="234" t="s">
        <v>236</v>
      </c>
      <c r="DK68" s="249" t="s">
        <v>170</v>
      </c>
      <c r="DL68" s="238"/>
      <c r="DM68" s="238"/>
      <c r="DN68" s="238"/>
      <c r="DO68" s="227"/>
      <c r="DP68" s="8"/>
      <c r="DQ68" s="3"/>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row>
    <row r="69" spans="1:155" s="565" customFormat="1" ht="12.75" hidden="1">
      <c r="A69" s="188"/>
      <c r="B69" s="718" t="s">
        <v>237</v>
      </c>
      <c r="C69" s="719"/>
      <c r="D69" s="720"/>
      <c r="E69" s="104"/>
      <c r="F69" s="255">
        <v>1</v>
      </c>
      <c r="G69" s="3"/>
      <c r="H69" s="3"/>
      <c r="I69" s="70"/>
      <c r="J69" s="70"/>
      <c r="K69" s="70"/>
      <c r="L69" s="256"/>
      <c r="M69" s="256"/>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45"/>
      <c r="BE69" s="165" t="s">
        <v>12</v>
      </c>
      <c r="BF69" s="23">
        <v>20</v>
      </c>
      <c r="BG69" s="23">
        <v>19</v>
      </c>
      <c r="BH69" s="23">
        <v>5</v>
      </c>
      <c r="BI69" s="90" t="b">
        <f t="shared" si="53"/>
        <v>1</v>
      </c>
      <c r="BJ69" s="46" t="b">
        <f t="shared" si="68"/>
        <v>0</v>
      </c>
      <c r="BK69" s="166">
        <f t="shared" si="69"/>
        <v>0</v>
      </c>
      <c r="BL69" s="175">
        <f>IF(SUM(BL$51:BL68,BK69)&gt;$BK$4,0,BK69)</f>
        <v>0</v>
      </c>
      <c r="BM69" s="23">
        <f t="shared" si="14"/>
        <v>0</v>
      </c>
      <c r="BN69" s="90">
        <f t="shared" si="15"/>
        <v>0</v>
      </c>
      <c r="BO69" s="24">
        <f t="shared" si="59"/>
        <v>0</v>
      </c>
      <c r="BP69" s="168">
        <f t="shared" si="70"/>
        <v>0</v>
      </c>
      <c r="BQ69" s="171">
        <f t="shared" si="71"/>
        <v>0</v>
      </c>
      <c r="BR69" s="170">
        <f t="shared" si="18"/>
        <v>0</v>
      </c>
      <c r="BS69" s="168">
        <f t="shared" si="72"/>
        <v>0</v>
      </c>
      <c r="BT69" s="171">
        <f t="shared" si="73"/>
        <v>0</v>
      </c>
      <c r="BU69" s="170">
        <f t="shared" si="21"/>
        <v>0</v>
      </c>
      <c r="BV69" s="168">
        <f t="shared" si="74"/>
        <v>0</v>
      </c>
      <c r="BW69" s="171">
        <f t="shared" si="75"/>
        <v>0</v>
      </c>
      <c r="BX69" s="170">
        <f t="shared" si="24"/>
        <v>0</v>
      </c>
      <c r="BY69" s="168">
        <f t="shared" si="76"/>
        <v>0</v>
      </c>
      <c r="BZ69" s="171">
        <f t="shared" si="77"/>
        <v>0</v>
      </c>
      <c r="CA69" s="170">
        <f t="shared" si="27"/>
        <v>0</v>
      </c>
      <c r="CB69" s="90">
        <f t="shared" si="78"/>
        <v>0</v>
      </c>
      <c r="CC69" s="171">
        <f t="shared" si="79"/>
        <v>0</v>
      </c>
      <c r="CD69" s="170">
        <f t="shared" si="30"/>
        <v>0</v>
      </c>
      <c r="CE69" s="90">
        <f t="shared" si="80"/>
        <v>0</v>
      </c>
      <c r="CF69" s="171">
        <f t="shared" si="81"/>
        <v>0</v>
      </c>
      <c r="CG69" s="170">
        <f t="shared" si="33"/>
        <v>0</v>
      </c>
      <c r="CH69" s="90">
        <f t="shared" si="82"/>
        <v>0</v>
      </c>
      <c r="CI69" s="171">
        <f t="shared" si="83"/>
        <v>0</v>
      </c>
      <c r="CJ69" s="170">
        <f t="shared" si="36"/>
        <v>0</v>
      </c>
      <c r="CK69" s="90">
        <f t="shared" si="84"/>
        <v>0</v>
      </c>
      <c r="CL69" s="171">
        <f t="shared" si="85"/>
        <v>0</v>
      </c>
      <c r="CM69" s="170">
        <f t="shared" si="39"/>
        <v>0</v>
      </c>
      <c r="CN69" s="90">
        <f t="shared" si="86"/>
        <v>0</v>
      </c>
      <c r="CO69" s="171">
        <f t="shared" si="87"/>
        <v>0</v>
      </c>
      <c r="CP69" s="170">
        <f t="shared" si="42"/>
        <v>0</v>
      </c>
      <c r="CQ69" s="90">
        <f t="shared" si="88"/>
        <v>0</v>
      </c>
      <c r="CR69" s="171">
        <f t="shared" si="89"/>
        <v>0</v>
      </c>
      <c r="CS69" s="170">
        <f t="shared" si="45"/>
        <v>0</v>
      </c>
      <c r="CT69" s="90">
        <f t="shared" si="90"/>
        <v>0</v>
      </c>
      <c r="CU69" s="171">
        <f t="shared" si="91"/>
        <v>0</v>
      </c>
      <c r="CV69" s="170">
        <f t="shared" si="48"/>
        <v>0</v>
      </c>
      <c r="CW69" s="90">
        <f t="shared" si="92"/>
        <v>0</v>
      </c>
      <c r="CX69" s="171">
        <f t="shared" si="93"/>
        <v>0</v>
      </c>
      <c r="CY69" s="170">
        <f t="shared" si="51"/>
        <v>0</v>
      </c>
      <c r="CZ69" s="168">
        <f t="shared" si="52"/>
        <v>0</v>
      </c>
      <c r="DA69" s="172">
        <f t="shared" si="54"/>
        <v>0</v>
      </c>
      <c r="DB69" s="173">
        <f t="shared" si="55"/>
        <v>0</v>
      </c>
      <c r="DC69" s="172">
        <f t="shared" ref="DC69:DE84" si="95">IF(DC68+$DB69&lt;0,0,IF(DC68+$DB69&gt;$F$405,$F$405,DC68+$DB69))</f>
        <v>0</v>
      </c>
      <c r="DD69" s="172">
        <f t="shared" si="95"/>
        <v>0</v>
      </c>
      <c r="DE69" s="172">
        <f t="shared" si="95"/>
        <v>0</v>
      </c>
      <c r="DF69" s="172">
        <f t="shared" si="57"/>
        <v>0</v>
      </c>
      <c r="DG69" s="1"/>
      <c r="DH69" s="1"/>
      <c r="DI69" s="3"/>
      <c r="DJ69" s="234" t="s">
        <v>238</v>
      </c>
      <c r="DK69" s="249" t="s">
        <v>170</v>
      </c>
      <c r="DL69" s="238"/>
      <c r="DM69" s="238"/>
      <c r="DN69" s="238"/>
      <c r="DO69" s="227"/>
      <c r="DP69" s="8"/>
      <c r="DQ69" s="3"/>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row>
    <row r="70" spans="1:155" s="565" customFormat="1" ht="15" hidden="1" customHeight="1">
      <c r="A70" s="181"/>
      <c r="B70" s="722" t="s">
        <v>239</v>
      </c>
      <c r="C70" s="723"/>
      <c r="D70" s="724"/>
      <c r="E70" s="104"/>
      <c r="F70" s="255"/>
      <c r="G70" s="3"/>
      <c r="H70" s="3"/>
      <c r="I70" s="70"/>
      <c r="J70" s="70"/>
      <c r="K70" s="70"/>
      <c r="L70" s="70"/>
      <c r="M70" s="70"/>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45"/>
      <c r="BE70" s="165" t="s">
        <v>12</v>
      </c>
      <c r="BF70" s="23">
        <v>20</v>
      </c>
      <c r="BG70" s="23">
        <v>20</v>
      </c>
      <c r="BH70" s="23">
        <v>6</v>
      </c>
      <c r="BI70" s="90" t="b">
        <f t="shared" si="53"/>
        <v>0</v>
      </c>
      <c r="BJ70" s="46" t="b">
        <f t="shared" si="68"/>
        <v>1</v>
      </c>
      <c r="BK70" s="166">
        <f t="shared" si="69"/>
        <v>6.9230769230769234</v>
      </c>
      <c r="BL70" s="175">
        <f>IF(SUM(BL$51:BL69,BK70)&gt;$BK$4,0,BK70)</f>
        <v>6.9230769230769234</v>
      </c>
      <c r="BM70" s="23">
        <f t="shared" si="14"/>
        <v>0</v>
      </c>
      <c r="BN70" s="90">
        <f t="shared" si="15"/>
        <v>0</v>
      </c>
      <c r="BO70" s="24">
        <f t="shared" si="59"/>
        <v>0</v>
      </c>
      <c r="BP70" s="168">
        <f t="shared" si="70"/>
        <v>0</v>
      </c>
      <c r="BQ70" s="171">
        <f t="shared" si="71"/>
        <v>0</v>
      </c>
      <c r="BR70" s="170">
        <f t="shared" si="18"/>
        <v>0</v>
      </c>
      <c r="BS70" s="168">
        <f t="shared" si="72"/>
        <v>0</v>
      </c>
      <c r="BT70" s="171">
        <f t="shared" si="73"/>
        <v>0</v>
      </c>
      <c r="BU70" s="170">
        <f t="shared" si="21"/>
        <v>0</v>
      </c>
      <c r="BV70" s="168">
        <f t="shared" si="74"/>
        <v>0</v>
      </c>
      <c r="BW70" s="171">
        <f t="shared" si="75"/>
        <v>0</v>
      </c>
      <c r="BX70" s="170">
        <f t="shared" si="24"/>
        <v>0</v>
      </c>
      <c r="BY70" s="168">
        <f t="shared" si="76"/>
        <v>0</v>
      </c>
      <c r="BZ70" s="171">
        <f t="shared" si="77"/>
        <v>0</v>
      </c>
      <c r="CA70" s="170">
        <f t="shared" si="27"/>
        <v>0</v>
      </c>
      <c r="CB70" s="90">
        <f t="shared" si="78"/>
        <v>0</v>
      </c>
      <c r="CC70" s="171">
        <f t="shared" si="79"/>
        <v>0</v>
      </c>
      <c r="CD70" s="170">
        <f t="shared" si="30"/>
        <v>0</v>
      </c>
      <c r="CE70" s="90">
        <f t="shared" si="80"/>
        <v>0</v>
      </c>
      <c r="CF70" s="171">
        <f t="shared" si="81"/>
        <v>0</v>
      </c>
      <c r="CG70" s="170">
        <f t="shared" si="33"/>
        <v>0</v>
      </c>
      <c r="CH70" s="90">
        <f t="shared" si="82"/>
        <v>0</v>
      </c>
      <c r="CI70" s="171">
        <f t="shared" si="83"/>
        <v>0</v>
      </c>
      <c r="CJ70" s="170">
        <f t="shared" si="36"/>
        <v>0</v>
      </c>
      <c r="CK70" s="90">
        <f t="shared" si="84"/>
        <v>0</v>
      </c>
      <c r="CL70" s="171">
        <f t="shared" si="85"/>
        <v>0</v>
      </c>
      <c r="CM70" s="170">
        <f t="shared" si="39"/>
        <v>0</v>
      </c>
      <c r="CN70" s="90">
        <f t="shared" si="86"/>
        <v>0</v>
      </c>
      <c r="CO70" s="171">
        <f t="shared" si="87"/>
        <v>0</v>
      </c>
      <c r="CP70" s="170">
        <f t="shared" si="42"/>
        <v>0</v>
      </c>
      <c r="CQ70" s="90">
        <f t="shared" si="88"/>
        <v>0</v>
      </c>
      <c r="CR70" s="171">
        <f t="shared" si="89"/>
        <v>0</v>
      </c>
      <c r="CS70" s="170">
        <f t="shared" si="45"/>
        <v>0</v>
      </c>
      <c r="CT70" s="90">
        <f t="shared" si="90"/>
        <v>0</v>
      </c>
      <c r="CU70" s="171">
        <f t="shared" si="91"/>
        <v>0</v>
      </c>
      <c r="CV70" s="170">
        <f t="shared" si="48"/>
        <v>0</v>
      </c>
      <c r="CW70" s="90">
        <f t="shared" si="92"/>
        <v>0</v>
      </c>
      <c r="CX70" s="171">
        <f t="shared" si="93"/>
        <v>0</v>
      </c>
      <c r="CY70" s="170">
        <f t="shared" si="51"/>
        <v>0</v>
      </c>
      <c r="CZ70" s="168">
        <f t="shared" si="52"/>
        <v>0</v>
      </c>
      <c r="DA70" s="172">
        <f t="shared" si="54"/>
        <v>0</v>
      </c>
      <c r="DB70" s="173">
        <f t="shared" si="55"/>
        <v>0</v>
      </c>
      <c r="DC70" s="172">
        <f t="shared" si="95"/>
        <v>0</v>
      </c>
      <c r="DD70" s="172">
        <f t="shared" si="95"/>
        <v>0</v>
      </c>
      <c r="DE70" s="172">
        <f t="shared" si="95"/>
        <v>0</v>
      </c>
      <c r="DF70" s="172">
        <f t="shared" si="57"/>
        <v>0</v>
      </c>
      <c r="DG70" s="1"/>
      <c r="DH70" s="1"/>
      <c r="DI70" s="3"/>
      <c r="DJ70" s="8"/>
      <c r="DK70" s="8"/>
      <c r="DL70" s="8"/>
      <c r="DM70" s="8"/>
      <c r="DN70" s="8"/>
      <c r="DO70" s="8"/>
      <c r="DP70" s="8"/>
      <c r="DQ70" s="3"/>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row>
    <row r="71" spans="1:155" s="565" customFormat="1" ht="15" hidden="1" customHeight="1">
      <c r="A71" s="123"/>
      <c r="B71" s="722" t="s">
        <v>240</v>
      </c>
      <c r="C71" s="723"/>
      <c r="D71" s="724"/>
      <c r="E71" s="104"/>
      <c r="F71" s="255"/>
      <c r="G71" s="3"/>
      <c r="H71" s="70"/>
      <c r="I71" s="70"/>
      <c r="J71" s="70"/>
      <c r="K71" s="70"/>
      <c r="L71" s="70"/>
      <c r="M71" s="70"/>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45"/>
      <c r="BE71" s="165" t="s">
        <v>12</v>
      </c>
      <c r="BF71" s="23">
        <v>20</v>
      </c>
      <c r="BG71" s="23">
        <v>21</v>
      </c>
      <c r="BH71" s="23">
        <v>7</v>
      </c>
      <c r="BI71" s="90" t="b">
        <f t="shared" si="53"/>
        <v>0</v>
      </c>
      <c r="BJ71" s="46" t="b">
        <f t="shared" si="68"/>
        <v>0</v>
      </c>
      <c r="BK71" s="166">
        <f t="shared" si="69"/>
        <v>0</v>
      </c>
      <c r="BL71" s="175">
        <f>IF(SUM(BL$51:BL70,BK71)&gt;$BK$4,0,BK71)</f>
        <v>0</v>
      </c>
      <c r="BM71" s="23">
        <f t="shared" si="14"/>
        <v>0</v>
      </c>
      <c r="BN71" s="90">
        <f t="shared" si="15"/>
        <v>0</v>
      </c>
      <c r="BO71" s="24">
        <f t="shared" si="59"/>
        <v>0</v>
      </c>
      <c r="BP71" s="168">
        <f t="shared" si="70"/>
        <v>0</v>
      </c>
      <c r="BQ71" s="171">
        <f t="shared" si="71"/>
        <v>0</v>
      </c>
      <c r="BR71" s="170">
        <f t="shared" si="18"/>
        <v>0</v>
      </c>
      <c r="BS71" s="168">
        <f t="shared" si="72"/>
        <v>0</v>
      </c>
      <c r="BT71" s="171">
        <f t="shared" si="73"/>
        <v>0</v>
      </c>
      <c r="BU71" s="170">
        <f t="shared" si="21"/>
        <v>0</v>
      </c>
      <c r="BV71" s="168">
        <f t="shared" si="74"/>
        <v>0</v>
      </c>
      <c r="BW71" s="171">
        <f t="shared" si="75"/>
        <v>0</v>
      </c>
      <c r="BX71" s="170">
        <f t="shared" si="24"/>
        <v>0</v>
      </c>
      <c r="BY71" s="168">
        <f t="shared" si="76"/>
        <v>0</v>
      </c>
      <c r="BZ71" s="171">
        <f t="shared" si="77"/>
        <v>0</v>
      </c>
      <c r="CA71" s="170">
        <f t="shared" si="27"/>
        <v>0</v>
      </c>
      <c r="CB71" s="90">
        <f t="shared" si="78"/>
        <v>0</v>
      </c>
      <c r="CC71" s="171">
        <f t="shared" si="79"/>
        <v>0</v>
      </c>
      <c r="CD71" s="170">
        <f t="shared" si="30"/>
        <v>0</v>
      </c>
      <c r="CE71" s="90">
        <f t="shared" si="80"/>
        <v>0</v>
      </c>
      <c r="CF71" s="171">
        <f t="shared" si="81"/>
        <v>0</v>
      </c>
      <c r="CG71" s="170">
        <f t="shared" si="33"/>
        <v>0</v>
      </c>
      <c r="CH71" s="90">
        <f t="shared" si="82"/>
        <v>0</v>
      </c>
      <c r="CI71" s="171">
        <f t="shared" si="83"/>
        <v>0</v>
      </c>
      <c r="CJ71" s="170">
        <f t="shared" si="36"/>
        <v>0</v>
      </c>
      <c r="CK71" s="90">
        <f t="shared" si="84"/>
        <v>0</v>
      </c>
      <c r="CL71" s="171">
        <f t="shared" si="85"/>
        <v>0</v>
      </c>
      <c r="CM71" s="170">
        <f t="shared" si="39"/>
        <v>0</v>
      </c>
      <c r="CN71" s="90">
        <f t="shared" si="86"/>
        <v>0</v>
      </c>
      <c r="CO71" s="171">
        <f t="shared" si="87"/>
        <v>0</v>
      </c>
      <c r="CP71" s="170">
        <f t="shared" si="42"/>
        <v>0</v>
      </c>
      <c r="CQ71" s="90">
        <f t="shared" si="88"/>
        <v>0</v>
      </c>
      <c r="CR71" s="171">
        <f t="shared" si="89"/>
        <v>0</v>
      </c>
      <c r="CS71" s="170">
        <f t="shared" si="45"/>
        <v>0</v>
      </c>
      <c r="CT71" s="90">
        <f t="shared" si="90"/>
        <v>0</v>
      </c>
      <c r="CU71" s="171">
        <f t="shared" si="91"/>
        <v>0</v>
      </c>
      <c r="CV71" s="170">
        <f t="shared" si="48"/>
        <v>0</v>
      </c>
      <c r="CW71" s="90">
        <f t="shared" si="92"/>
        <v>0</v>
      </c>
      <c r="CX71" s="171">
        <f t="shared" si="93"/>
        <v>0</v>
      </c>
      <c r="CY71" s="170">
        <f t="shared" si="51"/>
        <v>0</v>
      </c>
      <c r="CZ71" s="168">
        <f t="shared" si="52"/>
        <v>0</v>
      </c>
      <c r="DA71" s="172">
        <f t="shared" si="54"/>
        <v>0</v>
      </c>
      <c r="DB71" s="173">
        <f t="shared" si="55"/>
        <v>0</v>
      </c>
      <c r="DC71" s="172">
        <f t="shared" si="95"/>
        <v>0</v>
      </c>
      <c r="DD71" s="172">
        <f t="shared" si="95"/>
        <v>0</v>
      </c>
      <c r="DE71" s="172">
        <f t="shared" si="95"/>
        <v>0</v>
      </c>
      <c r="DF71" s="172">
        <f t="shared" si="57"/>
        <v>0</v>
      </c>
      <c r="DG71" s="1"/>
      <c r="DH71" s="1"/>
      <c r="DI71" s="3"/>
      <c r="DJ71" s="257" t="s">
        <v>241</v>
      </c>
      <c r="DK71" s="257"/>
      <c r="DL71" s="8"/>
      <c r="DM71" s="8"/>
      <c r="DN71" s="8"/>
      <c r="DO71" s="8"/>
      <c r="DP71" s="8"/>
      <c r="DQ71" s="3"/>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row>
    <row r="72" spans="1:155" s="565" customFormat="1" ht="15" hidden="1" customHeight="1">
      <c r="A72" s="123"/>
      <c r="B72" s="722" t="s">
        <v>242</v>
      </c>
      <c r="C72" s="723"/>
      <c r="D72" s="724"/>
      <c r="E72" s="104"/>
      <c r="F72" s="255"/>
      <c r="G72" s="3"/>
      <c r="H72" s="70"/>
      <c r="I72" s="70"/>
      <c r="J72" s="70"/>
      <c r="K72" s="70"/>
      <c r="L72" s="70"/>
      <c r="M72" s="70"/>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45"/>
      <c r="BE72" s="165" t="s">
        <v>12</v>
      </c>
      <c r="BF72" s="23">
        <v>20</v>
      </c>
      <c r="BG72" s="23">
        <v>22</v>
      </c>
      <c r="BH72" s="23">
        <v>1</v>
      </c>
      <c r="BI72" s="90" t="b">
        <f t="shared" si="53"/>
        <v>1</v>
      </c>
      <c r="BJ72" s="46" t="b">
        <f t="shared" si="68"/>
        <v>1</v>
      </c>
      <c r="BK72" s="166">
        <f t="shared" si="69"/>
        <v>6.9230769230769234</v>
      </c>
      <c r="BL72" s="175">
        <f>IF(SUM(BL$51:BL71,BK72)&gt;$BK$4,0,BK72)</f>
        <v>6.9230769230769234</v>
      </c>
      <c r="BM72" s="23">
        <f t="shared" si="14"/>
        <v>0</v>
      </c>
      <c r="BN72" s="90">
        <f t="shared" si="15"/>
        <v>0</v>
      </c>
      <c r="BO72" s="24">
        <f t="shared" si="59"/>
        <v>0</v>
      </c>
      <c r="BP72" s="168">
        <f t="shared" si="70"/>
        <v>0</v>
      </c>
      <c r="BQ72" s="171">
        <f t="shared" si="71"/>
        <v>0</v>
      </c>
      <c r="BR72" s="170">
        <f t="shared" si="18"/>
        <v>0</v>
      </c>
      <c r="BS72" s="168">
        <f t="shared" si="72"/>
        <v>0</v>
      </c>
      <c r="BT72" s="171">
        <f t="shared" si="73"/>
        <v>0</v>
      </c>
      <c r="BU72" s="170">
        <f t="shared" si="21"/>
        <v>0</v>
      </c>
      <c r="BV72" s="168">
        <f t="shared" si="74"/>
        <v>0</v>
      </c>
      <c r="BW72" s="171">
        <f t="shared" si="75"/>
        <v>0</v>
      </c>
      <c r="BX72" s="170">
        <f t="shared" si="24"/>
        <v>0</v>
      </c>
      <c r="BY72" s="168">
        <f t="shared" si="76"/>
        <v>0</v>
      </c>
      <c r="BZ72" s="171">
        <f t="shared" si="77"/>
        <v>0</v>
      </c>
      <c r="CA72" s="170">
        <f t="shared" si="27"/>
        <v>0</v>
      </c>
      <c r="CB72" s="90">
        <f t="shared" si="78"/>
        <v>0</v>
      </c>
      <c r="CC72" s="171">
        <f t="shared" si="79"/>
        <v>0</v>
      </c>
      <c r="CD72" s="170">
        <f t="shared" si="30"/>
        <v>0</v>
      </c>
      <c r="CE72" s="90">
        <f t="shared" si="80"/>
        <v>0</v>
      </c>
      <c r="CF72" s="171">
        <f t="shared" si="81"/>
        <v>0</v>
      </c>
      <c r="CG72" s="170">
        <f t="shared" si="33"/>
        <v>0</v>
      </c>
      <c r="CH72" s="90">
        <f t="shared" si="82"/>
        <v>0</v>
      </c>
      <c r="CI72" s="171">
        <f t="shared" si="83"/>
        <v>0</v>
      </c>
      <c r="CJ72" s="170">
        <f t="shared" si="36"/>
        <v>0</v>
      </c>
      <c r="CK72" s="90">
        <f t="shared" si="84"/>
        <v>0</v>
      </c>
      <c r="CL72" s="171">
        <f t="shared" si="85"/>
        <v>0</v>
      </c>
      <c r="CM72" s="170">
        <f t="shared" si="39"/>
        <v>0</v>
      </c>
      <c r="CN72" s="90">
        <f t="shared" si="86"/>
        <v>0</v>
      </c>
      <c r="CO72" s="171">
        <f t="shared" si="87"/>
        <v>0</v>
      </c>
      <c r="CP72" s="170">
        <f t="shared" si="42"/>
        <v>0</v>
      </c>
      <c r="CQ72" s="90">
        <f t="shared" si="88"/>
        <v>0</v>
      </c>
      <c r="CR72" s="171">
        <f t="shared" si="89"/>
        <v>0</v>
      </c>
      <c r="CS72" s="170">
        <f t="shared" si="45"/>
        <v>0</v>
      </c>
      <c r="CT72" s="90">
        <f t="shared" si="90"/>
        <v>0</v>
      </c>
      <c r="CU72" s="171">
        <f t="shared" si="91"/>
        <v>0</v>
      </c>
      <c r="CV72" s="170">
        <f t="shared" si="48"/>
        <v>0</v>
      </c>
      <c r="CW72" s="90">
        <f t="shared" si="92"/>
        <v>0</v>
      </c>
      <c r="CX72" s="171">
        <f t="shared" si="93"/>
        <v>0</v>
      </c>
      <c r="CY72" s="170">
        <f t="shared" si="51"/>
        <v>0</v>
      </c>
      <c r="CZ72" s="168">
        <f t="shared" si="52"/>
        <v>0</v>
      </c>
      <c r="DA72" s="172">
        <f t="shared" si="54"/>
        <v>0</v>
      </c>
      <c r="DB72" s="173">
        <f t="shared" si="55"/>
        <v>0</v>
      </c>
      <c r="DC72" s="172">
        <f t="shared" si="95"/>
        <v>0</v>
      </c>
      <c r="DD72" s="172">
        <f t="shared" si="95"/>
        <v>0</v>
      </c>
      <c r="DE72" s="172">
        <f t="shared" si="95"/>
        <v>0</v>
      </c>
      <c r="DF72" s="172">
        <f t="shared" si="57"/>
        <v>0</v>
      </c>
      <c r="DG72" s="1"/>
      <c r="DH72" s="1"/>
      <c r="DI72" s="3"/>
      <c r="DJ72" s="258" t="s">
        <v>84</v>
      </c>
      <c r="DK72" s="259">
        <v>0</v>
      </c>
      <c r="DL72" s="8"/>
      <c r="DM72" s="8"/>
      <c r="DN72" s="8"/>
      <c r="DO72" s="8"/>
      <c r="DP72" s="8"/>
      <c r="DQ72" s="3"/>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row>
    <row r="73" spans="1:155" s="565" customFormat="1" ht="24" hidden="1">
      <c r="A73" s="123"/>
      <c r="B73" s="260" t="s">
        <v>243</v>
      </c>
      <c r="C73" s="190" t="s">
        <v>244</v>
      </c>
      <c r="D73" s="190" t="s">
        <v>245</v>
      </c>
      <c r="E73" s="190" t="s">
        <v>199</v>
      </c>
      <c r="F73" s="190" t="s">
        <v>200</v>
      </c>
      <c r="G73" s="3"/>
      <c r="H73" s="70"/>
      <c r="I73" s="70"/>
      <c r="J73" s="70"/>
      <c r="K73" s="70"/>
      <c r="L73" s="70"/>
      <c r="M73" s="70"/>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45"/>
      <c r="BE73" s="165" t="s">
        <v>12</v>
      </c>
      <c r="BF73" s="23">
        <v>20</v>
      </c>
      <c r="BG73" s="23">
        <v>23</v>
      </c>
      <c r="BH73" s="23">
        <v>2</v>
      </c>
      <c r="BI73" s="90" t="b">
        <f t="shared" si="53"/>
        <v>1</v>
      </c>
      <c r="BJ73" s="46" t="b">
        <f t="shared" si="68"/>
        <v>0</v>
      </c>
      <c r="BK73" s="166">
        <f t="shared" si="69"/>
        <v>0</v>
      </c>
      <c r="BL73" s="175">
        <f>IF(SUM(BL$51:BL72,BK73)&gt;$BK$4,0,BK73)</f>
        <v>0</v>
      </c>
      <c r="BM73" s="23">
        <f t="shared" si="14"/>
        <v>0</v>
      </c>
      <c r="BN73" s="90">
        <f t="shared" si="15"/>
        <v>0</v>
      </c>
      <c r="BO73" s="24">
        <f t="shared" si="59"/>
        <v>0</v>
      </c>
      <c r="BP73" s="168">
        <f t="shared" si="70"/>
        <v>0</v>
      </c>
      <c r="BQ73" s="171">
        <f t="shared" si="71"/>
        <v>0</v>
      </c>
      <c r="BR73" s="170">
        <f t="shared" si="18"/>
        <v>0</v>
      </c>
      <c r="BS73" s="168">
        <f t="shared" si="72"/>
        <v>0</v>
      </c>
      <c r="BT73" s="171">
        <f t="shared" si="73"/>
        <v>0</v>
      </c>
      <c r="BU73" s="170">
        <f t="shared" si="21"/>
        <v>0</v>
      </c>
      <c r="BV73" s="168">
        <f t="shared" si="74"/>
        <v>0</v>
      </c>
      <c r="BW73" s="171">
        <f t="shared" si="75"/>
        <v>0</v>
      </c>
      <c r="BX73" s="170">
        <f t="shared" si="24"/>
        <v>0</v>
      </c>
      <c r="BY73" s="168">
        <f t="shared" si="76"/>
        <v>0</v>
      </c>
      <c r="BZ73" s="171">
        <f t="shared" si="77"/>
        <v>0</v>
      </c>
      <c r="CA73" s="170">
        <f t="shared" si="27"/>
        <v>0</v>
      </c>
      <c r="CB73" s="90">
        <f t="shared" si="78"/>
        <v>0</v>
      </c>
      <c r="CC73" s="171">
        <f t="shared" si="79"/>
        <v>0</v>
      </c>
      <c r="CD73" s="170">
        <f t="shared" si="30"/>
        <v>0</v>
      </c>
      <c r="CE73" s="90">
        <f t="shared" si="80"/>
        <v>0</v>
      </c>
      <c r="CF73" s="171">
        <f t="shared" si="81"/>
        <v>0</v>
      </c>
      <c r="CG73" s="170">
        <f t="shared" si="33"/>
        <v>0</v>
      </c>
      <c r="CH73" s="90">
        <f t="shared" si="82"/>
        <v>0</v>
      </c>
      <c r="CI73" s="171">
        <f t="shared" si="83"/>
        <v>0</v>
      </c>
      <c r="CJ73" s="170">
        <f t="shared" si="36"/>
        <v>0</v>
      </c>
      <c r="CK73" s="90">
        <f t="shared" si="84"/>
        <v>0</v>
      </c>
      <c r="CL73" s="171">
        <f t="shared" si="85"/>
        <v>0</v>
      </c>
      <c r="CM73" s="170">
        <f t="shared" si="39"/>
        <v>0</v>
      </c>
      <c r="CN73" s="90">
        <f t="shared" si="86"/>
        <v>0</v>
      </c>
      <c r="CO73" s="171">
        <f t="shared" si="87"/>
        <v>0</v>
      </c>
      <c r="CP73" s="170">
        <f t="shared" si="42"/>
        <v>0</v>
      </c>
      <c r="CQ73" s="90">
        <f t="shared" si="88"/>
        <v>0</v>
      </c>
      <c r="CR73" s="171">
        <f t="shared" si="89"/>
        <v>0</v>
      </c>
      <c r="CS73" s="170">
        <f t="shared" si="45"/>
        <v>0</v>
      </c>
      <c r="CT73" s="90">
        <f t="shared" si="90"/>
        <v>0</v>
      </c>
      <c r="CU73" s="171">
        <f t="shared" si="91"/>
        <v>0</v>
      </c>
      <c r="CV73" s="170">
        <f t="shared" si="48"/>
        <v>0</v>
      </c>
      <c r="CW73" s="90">
        <f t="shared" si="92"/>
        <v>0</v>
      </c>
      <c r="CX73" s="171">
        <f t="shared" si="93"/>
        <v>0</v>
      </c>
      <c r="CY73" s="170">
        <f t="shared" si="51"/>
        <v>0</v>
      </c>
      <c r="CZ73" s="168">
        <f t="shared" si="52"/>
        <v>0</v>
      </c>
      <c r="DA73" s="172">
        <f t="shared" si="54"/>
        <v>0</v>
      </c>
      <c r="DB73" s="173">
        <f t="shared" si="55"/>
        <v>0</v>
      </c>
      <c r="DC73" s="172">
        <f t="shared" si="95"/>
        <v>0</v>
      </c>
      <c r="DD73" s="172">
        <f t="shared" si="95"/>
        <v>0</v>
      </c>
      <c r="DE73" s="172">
        <f t="shared" si="95"/>
        <v>0</v>
      </c>
      <c r="DF73" s="172">
        <f t="shared" si="57"/>
        <v>0</v>
      </c>
      <c r="DG73" s="1"/>
      <c r="DH73" s="1"/>
      <c r="DI73" s="3"/>
      <c r="DJ73" s="258" t="s">
        <v>246</v>
      </c>
      <c r="DK73" s="259">
        <v>0</v>
      </c>
      <c r="DL73" s="8"/>
      <c r="DM73" s="8"/>
      <c r="DN73" s="8"/>
      <c r="DO73" s="8"/>
      <c r="DP73" s="8"/>
      <c r="DQ73" s="3"/>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row>
    <row r="74" spans="1:155" s="565" customFormat="1" ht="12.75" hidden="1">
      <c r="A74" s="123"/>
      <c r="B74" s="102" t="s">
        <v>247</v>
      </c>
      <c r="C74" s="231"/>
      <c r="D74" s="231"/>
      <c r="E74" s="231"/>
      <c r="F74" s="255"/>
      <c r="G74" s="3"/>
      <c r="H74" s="70"/>
      <c r="I74" s="70"/>
      <c r="J74" s="256"/>
      <c r="K74" s="70"/>
      <c r="L74" s="70"/>
      <c r="M74" s="70"/>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45"/>
      <c r="BE74" s="165" t="s">
        <v>12</v>
      </c>
      <c r="BF74" s="23">
        <v>20</v>
      </c>
      <c r="BG74" s="23">
        <v>24</v>
      </c>
      <c r="BH74" s="23">
        <v>3</v>
      </c>
      <c r="BI74" s="90" t="b">
        <f t="shared" si="53"/>
        <v>1</v>
      </c>
      <c r="BJ74" s="46" t="b">
        <f t="shared" si="68"/>
        <v>1</v>
      </c>
      <c r="BK74" s="166">
        <f t="shared" si="69"/>
        <v>6.9230769230769234</v>
      </c>
      <c r="BL74" s="175">
        <f>IF(SUM(BL$51:BL73,BK74)&gt;$BK$4,0,BK74)</f>
        <v>6.9230769230769234</v>
      </c>
      <c r="BM74" s="23">
        <f t="shared" si="14"/>
        <v>0</v>
      </c>
      <c r="BN74" s="90">
        <f t="shared" si="15"/>
        <v>0</v>
      </c>
      <c r="BO74" s="24">
        <f t="shared" si="59"/>
        <v>0</v>
      </c>
      <c r="BP74" s="168">
        <f t="shared" si="70"/>
        <v>0</v>
      </c>
      <c r="BQ74" s="171">
        <f t="shared" si="71"/>
        <v>0</v>
      </c>
      <c r="BR74" s="170">
        <f t="shared" si="18"/>
        <v>0</v>
      </c>
      <c r="BS74" s="168">
        <f t="shared" si="72"/>
        <v>0</v>
      </c>
      <c r="BT74" s="171">
        <f t="shared" si="73"/>
        <v>0</v>
      </c>
      <c r="BU74" s="170">
        <f t="shared" si="21"/>
        <v>0</v>
      </c>
      <c r="BV74" s="168">
        <f t="shared" si="74"/>
        <v>0</v>
      </c>
      <c r="BW74" s="171">
        <f t="shared" si="75"/>
        <v>0</v>
      </c>
      <c r="BX74" s="170">
        <f t="shared" si="24"/>
        <v>0</v>
      </c>
      <c r="BY74" s="168">
        <f t="shared" si="76"/>
        <v>0</v>
      </c>
      <c r="BZ74" s="171">
        <f t="shared" si="77"/>
        <v>0</v>
      </c>
      <c r="CA74" s="170">
        <f t="shared" si="27"/>
        <v>0</v>
      </c>
      <c r="CB74" s="90">
        <f t="shared" si="78"/>
        <v>0</v>
      </c>
      <c r="CC74" s="171">
        <f t="shared" si="79"/>
        <v>0</v>
      </c>
      <c r="CD74" s="170">
        <f t="shared" si="30"/>
        <v>0</v>
      </c>
      <c r="CE74" s="90">
        <f t="shared" si="80"/>
        <v>0</v>
      </c>
      <c r="CF74" s="171">
        <f t="shared" si="81"/>
        <v>0</v>
      </c>
      <c r="CG74" s="170">
        <f t="shared" si="33"/>
        <v>0</v>
      </c>
      <c r="CH74" s="90">
        <f t="shared" si="82"/>
        <v>0</v>
      </c>
      <c r="CI74" s="171">
        <f t="shared" si="83"/>
        <v>0</v>
      </c>
      <c r="CJ74" s="170">
        <f t="shared" si="36"/>
        <v>0</v>
      </c>
      <c r="CK74" s="90">
        <f t="shared" si="84"/>
        <v>0</v>
      </c>
      <c r="CL74" s="171">
        <f t="shared" si="85"/>
        <v>0</v>
      </c>
      <c r="CM74" s="170">
        <f t="shared" si="39"/>
        <v>0</v>
      </c>
      <c r="CN74" s="90">
        <f t="shared" si="86"/>
        <v>0</v>
      </c>
      <c r="CO74" s="171">
        <f t="shared" si="87"/>
        <v>0</v>
      </c>
      <c r="CP74" s="170">
        <f t="shared" si="42"/>
        <v>0</v>
      </c>
      <c r="CQ74" s="90">
        <f t="shared" si="88"/>
        <v>0</v>
      </c>
      <c r="CR74" s="171">
        <f t="shared" si="89"/>
        <v>0</v>
      </c>
      <c r="CS74" s="170">
        <f t="shared" si="45"/>
        <v>0</v>
      </c>
      <c r="CT74" s="90">
        <f t="shared" si="90"/>
        <v>0</v>
      </c>
      <c r="CU74" s="171">
        <f t="shared" si="91"/>
        <v>0</v>
      </c>
      <c r="CV74" s="170">
        <f t="shared" si="48"/>
        <v>0</v>
      </c>
      <c r="CW74" s="90">
        <f t="shared" si="92"/>
        <v>0</v>
      </c>
      <c r="CX74" s="171">
        <f t="shared" si="93"/>
        <v>0</v>
      </c>
      <c r="CY74" s="170">
        <f t="shared" si="51"/>
        <v>0</v>
      </c>
      <c r="CZ74" s="168">
        <f t="shared" si="52"/>
        <v>0</v>
      </c>
      <c r="DA74" s="172">
        <f t="shared" si="54"/>
        <v>0</v>
      </c>
      <c r="DB74" s="173">
        <f t="shared" si="55"/>
        <v>0</v>
      </c>
      <c r="DC74" s="172">
        <f t="shared" si="95"/>
        <v>0</v>
      </c>
      <c r="DD74" s="172">
        <f t="shared" si="95"/>
        <v>0</v>
      </c>
      <c r="DE74" s="172">
        <f t="shared" si="95"/>
        <v>0</v>
      </c>
      <c r="DF74" s="172">
        <f t="shared" si="57"/>
        <v>0</v>
      </c>
      <c r="DG74" s="1"/>
      <c r="DH74" s="1"/>
      <c r="DI74" s="3"/>
      <c r="DJ74" s="258" t="s">
        <v>248</v>
      </c>
      <c r="DK74" s="259">
        <v>0.03</v>
      </c>
      <c r="DL74" s="8"/>
      <c r="DM74" s="8"/>
      <c r="DN74" s="8"/>
      <c r="DO74" s="8"/>
      <c r="DP74" s="8"/>
      <c r="DQ74" s="3"/>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row>
    <row r="75" spans="1:155" s="565" customFormat="1" ht="12.75" hidden="1">
      <c r="A75" s="181"/>
      <c r="B75" s="102" t="s">
        <v>249</v>
      </c>
      <c r="C75" s="231"/>
      <c r="D75" s="231"/>
      <c r="E75" s="231"/>
      <c r="F75" s="255"/>
      <c r="G75" s="3"/>
      <c r="H75" s="70"/>
      <c r="I75" s="70"/>
      <c r="J75" s="70"/>
      <c r="K75" s="70"/>
      <c r="L75" s="70"/>
      <c r="M75" s="70"/>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45"/>
      <c r="BE75" s="165" t="s">
        <v>12</v>
      </c>
      <c r="BF75" s="23">
        <v>20</v>
      </c>
      <c r="BG75" s="23">
        <v>25</v>
      </c>
      <c r="BH75" s="23">
        <v>4</v>
      </c>
      <c r="BI75" s="90" t="b">
        <f t="shared" si="53"/>
        <v>1</v>
      </c>
      <c r="BJ75" s="46" t="b">
        <f t="shared" si="68"/>
        <v>0</v>
      </c>
      <c r="BK75" s="166">
        <f t="shared" si="69"/>
        <v>0</v>
      </c>
      <c r="BL75" s="175">
        <f>IF(SUM(BL$51:BL74,BK75)&gt;$BK$4,0,BK75)</f>
        <v>0</v>
      </c>
      <c r="BM75" s="23">
        <f t="shared" si="14"/>
        <v>0</v>
      </c>
      <c r="BN75" s="90">
        <f t="shared" si="15"/>
        <v>0</v>
      </c>
      <c r="BO75" s="24">
        <f t="shared" si="59"/>
        <v>0</v>
      </c>
      <c r="BP75" s="168">
        <f t="shared" si="70"/>
        <v>0</v>
      </c>
      <c r="BQ75" s="171">
        <f t="shared" si="71"/>
        <v>0</v>
      </c>
      <c r="BR75" s="170">
        <f t="shared" si="18"/>
        <v>0</v>
      </c>
      <c r="BS75" s="168">
        <f t="shared" si="72"/>
        <v>0</v>
      </c>
      <c r="BT75" s="171">
        <f t="shared" si="73"/>
        <v>0</v>
      </c>
      <c r="BU75" s="170">
        <f t="shared" si="21"/>
        <v>0</v>
      </c>
      <c r="BV75" s="168">
        <f t="shared" si="74"/>
        <v>0</v>
      </c>
      <c r="BW75" s="171">
        <f t="shared" si="75"/>
        <v>0</v>
      </c>
      <c r="BX75" s="170">
        <f t="shared" si="24"/>
        <v>0</v>
      </c>
      <c r="BY75" s="168">
        <f t="shared" si="76"/>
        <v>0</v>
      </c>
      <c r="BZ75" s="171">
        <f t="shared" si="77"/>
        <v>0</v>
      </c>
      <c r="CA75" s="170">
        <f t="shared" si="27"/>
        <v>0</v>
      </c>
      <c r="CB75" s="90">
        <f t="shared" si="78"/>
        <v>0</v>
      </c>
      <c r="CC75" s="171">
        <f t="shared" si="79"/>
        <v>0</v>
      </c>
      <c r="CD75" s="170">
        <f t="shared" si="30"/>
        <v>0</v>
      </c>
      <c r="CE75" s="90">
        <f t="shared" si="80"/>
        <v>0</v>
      </c>
      <c r="CF75" s="171">
        <f t="shared" si="81"/>
        <v>0</v>
      </c>
      <c r="CG75" s="170">
        <f t="shared" si="33"/>
        <v>0</v>
      </c>
      <c r="CH75" s="90">
        <f t="shared" si="82"/>
        <v>0</v>
      </c>
      <c r="CI75" s="171">
        <f t="shared" si="83"/>
        <v>0</v>
      </c>
      <c r="CJ75" s="170">
        <f t="shared" si="36"/>
        <v>0</v>
      </c>
      <c r="CK75" s="90">
        <f t="shared" si="84"/>
        <v>0</v>
      </c>
      <c r="CL75" s="171">
        <f t="shared" si="85"/>
        <v>0</v>
      </c>
      <c r="CM75" s="170">
        <f t="shared" si="39"/>
        <v>0</v>
      </c>
      <c r="CN75" s="90">
        <f t="shared" si="86"/>
        <v>0</v>
      </c>
      <c r="CO75" s="171">
        <f t="shared" si="87"/>
        <v>0</v>
      </c>
      <c r="CP75" s="170">
        <f t="shared" si="42"/>
        <v>0</v>
      </c>
      <c r="CQ75" s="90">
        <f t="shared" si="88"/>
        <v>0</v>
      </c>
      <c r="CR75" s="171">
        <f t="shared" si="89"/>
        <v>0</v>
      </c>
      <c r="CS75" s="170">
        <f t="shared" si="45"/>
        <v>0</v>
      </c>
      <c r="CT75" s="90">
        <f t="shared" si="90"/>
        <v>0</v>
      </c>
      <c r="CU75" s="171">
        <f t="shared" si="91"/>
        <v>0</v>
      </c>
      <c r="CV75" s="170">
        <f t="shared" si="48"/>
        <v>0</v>
      </c>
      <c r="CW75" s="90">
        <f t="shared" si="92"/>
        <v>0</v>
      </c>
      <c r="CX75" s="171">
        <f t="shared" si="93"/>
        <v>0</v>
      </c>
      <c r="CY75" s="170">
        <f t="shared" si="51"/>
        <v>0</v>
      </c>
      <c r="CZ75" s="168">
        <f t="shared" si="52"/>
        <v>0</v>
      </c>
      <c r="DA75" s="172">
        <f t="shared" si="54"/>
        <v>0</v>
      </c>
      <c r="DB75" s="173">
        <f t="shared" si="55"/>
        <v>0</v>
      </c>
      <c r="DC75" s="172">
        <f t="shared" si="95"/>
        <v>0</v>
      </c>
      <c r="DD75" s="172">
        <f t="shared" si="95"/>
        <v>0</v>
      </c>
      <c r="DE75" s="172">
        <f t="shared" si="95"/>
        <v>0</v>
      </c>
      <c r="DF75" s="172">
        <f t="shared" si="57"/>
        <v>0</v>
      </c>
      <c r="DG75" s="1"/>
      <c r="DH75" s="1"/>
      <c r="DI75" s="3"/>
      <c r="DJ75" s="258" t="s">
        <v>604</v>
      </c>
      <c r="DK75" s="259">
        <v>0.03</v>
      </c>
      <c r="DL75" s="8"/>
      <c r="DM75" s="8"/>
      <c r="DN75" s="8"/>
      <c r="DO75" s="8"/>
      <c r="DP75" s="8"/>
      <c r="DQ75" s="3"/>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row>
    <row r="76" spans="1:155" s="565" customFormat="1" ht="12" hidden="1" customHeight="1">
      <c r="A76" s="181"/>
      <c r="B76" s="732" t="str">
        <f>IF(F76&lt;&gt;1,$N$61,"")</f>
        <v/>
      </c>
      <c r="C76" s="732"/>
      <c r="D76" s="732"/>
      <c r="E76" s="732"/>
      <c r="F76" s="261">
        <f>SUM(F69:F72)+SUM(F74:F75)</f>
        <v>1</v>
      </c>
      <c r="G76" s="3"/>
      <c r="H76" s="70"/>
      <c r="I76" s="70"/>
      <c r="J76" s="70"/>
      <c r="K76" s="70"/>
      <c r="L76" s="70"/>
      <c r="M76" s="70"/>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45"/>
      <c r="BE76" s="165" t="s">
        <v>12</v>
      </c>
      <c r="BF76" s="23">
        <v>20</v>
      </c>
      <c r="BG76" s="23">
        <v>26</v>
      </c>
      <c r="BH76" s="23">
        <v>5</v>
      </c>
      <c r="BI76" s="90" t="b">
        <f t="shared" si="53"/>
        <v>1</v>
      </c>
      <c r="BJ76" s="46" t="b">
        <f t="shared" si="68"/>
        <v>1</v>
      </c>
      <c r="BK76" s="166">
        <f t="shared" si="69"/>
        <v>6.9230769230769234</v>
      </c>
      <c r="BL76" s="175">
        <f>IF(SUM(BL$51:BL75,BK76)&gt;$BK$4,0,BK76)</f>
        <v>6.9230769230769234</v>
      </c>
      <c r="BM76" s="23">
        <f t="shared" si="14"/>
        <v>0</v>
      </c>
      <c r="BN76" s="90">
        <f t="shared" si="15"/>
        <v>0</v>
      </c>
      <c r="BO76" s="24">
        <f t="shared" si="59"/>
        <v>0</v>
      </c>
      <c r="BP76" s="168">
        <f t="shared" si="70"/>
        <v>0</v>
      </c>
      <c r="BQ76" s="171">
        <f t="shared" si="71"/>
        <v>0</v>
      </c>
      <c r="BR76" s="170">
        <f t="shared" si="18"/>
        <v>0</v>
      </c>
      <c r="BS76" s="168">
        <f t="shared" si="72"/>
        <v>0</v>
      </c>
      <c r="BT76" s="171">
        <f t="shared" si="73"/>
        <v>0</v>
      </c>
      <c r="BU76" s="170">
        <f t="shared" si="21"/>
        <v>0</v>
      </c>
      <c r="BV76" s="168">
        <f t="shared" si="74"/>
        <v>0</v>
      </c>
      <c r="BW76" s="171">
        <f t="shared" si="75"/>
        <v>0</v>
      </c>
      <c r="BX76" s="170">
        <f t="shared" si="24"/>
        <v>0</v>
      </c>
      <c r="BY76" s="168">
        <f t="shared" si="76"/>
        <v>0</v>
      </c>
      <c r="BZ76" s="171">
        <f t="shared" si="77"/>
        <v>0</v>
      </c>
      <c r="CA76" s="170">
        <f t="shared" si="27"/>
        <v>0</v>
      </c>
      <c r="CB76" s="90">
        <f t="shared" si="78"/>
        <v>0</v>
      </c>
      <c r="CC76" s="171">
        <f t="shared" si="79"/>
        <v>0</v>
      </c>
      <c r="CD76" s="170">
        <f t="shared" si="30"/>
        <v>0</v>
      </c>
      <c r="CE76" s="90">
        <f t="shared" si="80"/>
        <v>0</v>
      </c>
      <c r="CF76" s="171">
        <f t="shared" si="81"/>
        <v>0</v>
      </c>
      <c r="CG76" s="170">
        <f t="shared" si="33"/>
        <v>0</v>
      </c>
      <c r="CH76" s="90">
        <f t="shared" si="82"/>
        <v>0</v>
      </c>
      <c r="CI76" s="171">
        <f t="shared" si="83"/>
        <v>0</v>
      </c>
      <c r="CJ76" s="170">
        <f t="shared" si="36"/>
        <v>0</v>
      </c>
      <c r="CK76" s="90">
        <f t="shared" si="84"/>
        <v>0</v>
      </c>
      <c r="CL76" s="171">
        <f t="shared" si="85"/>
        <v>0</v>
      </c>
      <c r="CM76" s="170">
        <f t="shared" si="39"/>
        <v>0</v>
      </c>
      <c r="CN76" s="90">
        <f t="shared" si="86"/>
        <v>0</v>
      </c>
      <c r="CO76" s="171">
        <f t="shared" si="87"/>
        <v>0</v>
      </c>
      <c r="CP76" s="170">
        <f t="shared" si="42"/>
        <v>0</v>
      </c>
      <c r="CQ76" s="90">
        <f t="shared" si="88"/>
        <v>0</v>
      </c>
      <c r="CR76" s="171">
        <f t="shared" si="89"/>
        <v>0</v>
      </c>
      <c r="CS76" s="170">
        <f t="shared" si="45"/>
        <v>0</v>
      </c>
      <c r="CT76" s="90">
        <f t="shared" si="90"/>
        <v>0</v>
      </c>
      <c r="CU76" s="171">
        <f t="shared" si="91"/>
        <v>0</v>
      </c>
      <c r="CV76" s="170">
        <f t="shared" si="48"/>
        <v>0</v>
      </c>
      <c r="CW76" s="90">
        <f t="shared" si="92"/>
        <v>0</v>
      </c>
      <c r="CX76" s="171">
        <f t="shared" si="93"/>
        <v>0</v>
      </c>
      <c r="CY76" s="170">
        <f t="shared" si="51"/>
        <v>0</v>
      </c>
      <c r="CZ76" s="168">
        <f t="shared" si="52"/>
        <v>0</v>
      </c>
      <c r="DA76" s="172">
        <f t="shared" si="54"/>
        <v>0</v>
      </c>
      <c r="DB76" s="173">
        <f t="shared" si="55"/>
        <v>0</v>
      </c>
      <c r="DC76" s="172">
        <f t="shared" si="95"/>
        <v>0</v>
      </c>
      <c r="DD76" s="172">
        <f t="shared" si="95"/>
        <v>0</v>
      </c>
      <c r="DE76" s="172">
        <f t="shared" si="95"/>
        <v>0</v>
      </c>
      <c r="DF76" s="172">
        <f t="shared" si="57"/>
        <v>0</v>
      </c>
      <c r="DG76" s="1"/>
      <c r="DH76" s="1"/>
      <c r="DI76" s="3"/>
      <c r="DJ76" s="258" t="s">
        <v>605</v>
      </c>
      <c r="DK76" s="259">
        <v>0.06</v>
      </c>
      <c r="DL76" s="8"/>
      <c r="DM76" s="8"/>
      <c r="DN76" s="8"/>
      <c r="DO76" s="8"/>
      <c r="DP76" s="8"/>
      <c r="DQ76" s="3"/>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row>
    <row r="77" spans="1:155" s="565" customFormat="1" ht="12.75">
      <c r="A77" s="181"/>
      <c r="B77" s="714"/>
      <c r="C77" s="714"/>
      <c r="D77" s="714"/>
      <c r="E77" s="714"/>
      <c r="F77" s="248"/>
      <c r="G77" s="3"/>
      <c r="H77" s="70"/>
      <c r="I77" s="70"/>
      <c r="J77" s="70"/>
      <c r="K77" s="70"/>
      <c r="L77" s="70"/>
      <c r="M77" s="70"/>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45"/>
      <c r="BE77" s="165" t="s">
        <v>12</v>
      </c>
      <c r="BF77" s="23">
        <v>20</v>
      </c>
      <c r="BG77" s="23">
        <v>27</v>
      </c>
      <c r="BH77" s="23">
        <v>6</v>
      </c>
      <c r="BI77" s="90" t="b">
        <f t="shared" si="53"/>
        <v>0</v>
      </c>
      <c r="BJ77" s="46" t="b">
        <f t="shared" si="68"/>
        <v>0</v>
      </c>
      <c r="BK77" s="166">
        <f t="shared" si="69"/>
        <v>0</v>
      </c>
      <c r="BL77" s="175">
        <f>IF(SUM(BL$51:BL76,BK77)&gt;$BK$4,0,BK77)</f>
        <v>0</v>
      </c>
      <c r="BM77" s="23">
        <f t="shared" si="14"/>
        <v>0</v>
      </c>
      <c r="BN77" s="90">
        <f t="shared" si="15"/>
        <v>0</v>
      </c>
      <c r="BO77" s="24">
        <f t="shared" si="59"/>
        <v>0</v>
      </c>
      <c r="BP77" s="168">
        <f t="shared" si="70"/>
        <v>0</v>
      </c>
      <c r="BQ77" s="171">
        <f t="shared" si="71"/>
        <v>0</v>
      </c>
      <c r="BR77" s="170">
        <f t="shared" si="18"/>
        <v>0</v>
      </c>
      <c r="BS77" s="168">
        <f t="shared" si="72"/>
        <v>0</v>
      </c>
      <c r="BT77" s="171">
        <f t="shared" si="73"/>
        <v>0</v>
      </c>
      <c r="BU77" s="170">
        <f t="shared" si="21"/>
        <v>0</v>
      </c>
      <c r="BV77" s="168">
        <f t="shared" si="74"/>
        <v>0</v>
      </c>
      <c r="BW77" s="171">
        <f t="shared" si="75"/>
        <v>0</v>
      </c>
      <c r="BX77" s="170">
        <f t="shared" si="24"/>
        <v>0</v>
      </c>
      <c r="BY77" s="168">
        <f t="shared" si="76"/>
        <v>0</v>
      </c>
      <c r="BZ77" s="171">
        <f t="shared" si="77"/>
        <v>0</v>
      </c>
      <c r="CA77" s="170">
        <f t="shared" si="27"/>
        <v>0</v>
      </c>
      <c r="CB77" s="90">
        <f t="shared" si="78"/>
        <v>0</v>
      </c>
      <c r="CC77" s="171">
        <f t="shared" si="79"/>
        <v>0</v>
      </c>
      <c r="CD77" s="170">
        <f t="shared" si="30"/>
        <v>0</v>
      </c>
      <c r="CE77" s="90">
        <f t="shared" si="80"/>
        <v>0</v>
      </c>
      <c r="CF77" s="171">
        <f t="shared" si="81"/>
        <v>0</v>
      </c>
      <c r="CG77" s="170">
        <f t="shared" si="33"/>
        <v>0</v>
      </c>
      <c r="CH77" s="90">
        <f t="shared" si="82"/>
        <v>0</v>
      </c>
      <c r="CI77" s="171">
        <f t="shared" si="83"/>
        <v>0</v>
      </c>
      <c r="CJ77" s="170">
        <f t="shared" si="36"/>
        <v>0</v>
      </c>
      <c r="CK77" s="90">
        <f t="shared" si="84"/>
        <v>0</v>
      </c>
      <c r="CL77" s="171">
        <f t="shared" si="85"/>
        <v>0</v>
      </c>
      <c r="CM77" s="170">
        <f t="shared" si="39"/>
        <v>0</v>
      </c>
      <c r="CN77" s="90">
        <f t="shared" si="86"/>
        <v>0</v>
      </c>
      <c r="CO77" s="171">
        <f t="shared" si="87"/>
        <v>0</v>
      </c>
      <c r="CP77" s="170">
        <f t="shared" si="42"/>
        <v>0</v>
      </c>
      <c r="CQ77" s="90">
        <f t="shared" si="88"/>
        <v>0</v>
      </c>
      <c r="CR77" s="171">
        <f t="shared" si="89"/>
        <v>0</v>
      </c>
      <c r="CS77" s="170">
        <f t="shared" si="45"/>
        <v>0</v>
      </c>
      <c r="CT77" s="90">
        <f t="shared" si="90"/>
        <v>0</v>
      </c>
      <c r="CU77" s="171">
        <f t="shared" si="91"/>
        <v>0</v>
      </c>
      <c r="CV77" s="170">
        <f t="shared" si="48"/>
        <v>0</v>
      </c>
      <c r="CW77" s="90">
        <f t="shared" si="92"/>
        <v>0</v>
      </c>
      <c r="CX77" s="171">
        <f t="shared" si="93"/>
        <v>0</v>
      </c>
      <c r="CY77" s="170">
        <f t="shared" si="51"/>
        <v>0</v>
      </c>
      <c r="CZ77" s="168">
        <f t="shared" si="52"/>
        <v>0</v>
      </c>
      <c r="DA77" s="172">
        <f t="shared" si="54"/>
        <v>0</v>
      </c>
      <c r="DB77" s="173">
        <f t="shared" si="55"/>
        <v>0</v>
      </c>
      <c r="DC77" s="172">
        <f t="shared" si="95"/>
        <v>0</v>
      </c>
      <c r="DD77" s="172">
        <f t="shared" si="95"/>
        <v>0</v>
      </c>
      <c r="DE77" s="172">
        <f t="shared" si="95"/>
        <v>0</v>
      </c>
      <c r="DF77" s="172">
        <f t="shared" si="57"/>
        <v>0</v>
      </c>
      <c r="DG77" s="1"/>
      <c r="DH77" s="1"/>
      <c r="DI77" s="3"/>
      <c r="DJ77" s="258" t="s">
        <v>618</v>
      </c>
      <c r="DK77" s="259">
        <v>0.8</v>
      </c>
      <c r="DL77" s="8"/>
      <c r="DM77" s="8"/>
      <c r="DN77" s="8"/>
      <c r="DO77" s="8"/>
      <c r="DP77" s="8"/>
      <c r="DQ77" s="3"/>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row>
    <row r="78" spans="1:155" s="565" customFormat="1">
      <c r="A78" s="181"/>
      <c r="B78" s="714" t="s">
        <v>227</v>
      </c>
      <c r="C78" s="714"/>
      <c r="D78" s="714"/>
      <c r="E78" s="714"/>
      <c r="F78" s="248">
        <f>AA60</f>
        <v>0</v>
      </c>
      <c r="G78" s="3"/>
      <c r="H78" s="3"/>
      <c r="I78" s="27"/>
      <c r="J78" s="27"/>
      <c r="K78" s="27"/>
      <c r="L78" s="3"/>
      <c r="M78" s="3"/>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45"/>
      <c r="BE78" s="165" t="s">
        <v>12</v>
      </c>
      <c r="BF78" s="23">
        <v>20</v>
      </c>
      <c r="BG78" s="23">
        <v>28</v>
      </c>
      <c r="BH78" s="23">
        <v>7</v>
      </c>
      <c r="BI78" s="90" t="b">
        <f t="shared" si="53"/>
        <v>0</v>
      </c>
      <c r="BJ78" s="46" t="b">
        <f t="shared" si="68"/>
        <v>1</v>
      </c>
      <c r="BK78" s="166">
        <f t="shared" si="69"/>
        <v>6.9230769230769234</v>
      </c>
      <c r="BL78" s="167">
        <f>$BK$4-SUM(BL51:BL77)</f>
        <v>0</v>
      </c>
      <c r="BM78" s="23">
        <f t="shared" si="14"/>
        <v>0</v>
      </c>
      <c r="BN78" s="90">
        <f t="shared" si="15"/>
        <v>0</v>
      </c>
      <c r="BO78" s="24">
        <f t="shared" si="59"/>
        <v>0</v>
      </c>
      <c r="BP78" s="168">
        <f t="shared" si="70"/>
        <v>0</v>
      </c>
      <c r="BQ78" s="171">
        <f t="shared" si="71"/>
        <v>0</v>
      </c>
      <c r="BR78" s="170">
        <f t="shared" si="18"/>
        <v>0</v>
      </c>
      <c r="BS78" s="168">
        <f t="shared" si="72"/>
        <v>0</v>
      </c>
      <c r="BT78" s="171">
        <f t="shared" si="73"/>
        <v>0</v>
      </c>
      <c r="BU78" s="170">
        <f t="shared" si="21"/>
        <v>0</v>
      </c>
      <c r="BV78" s="168">
        <f t="shared" si="74"/>
        <v>0</v>
      </c>
      <c r="BW78" s="171">
        <f t="shared" si="75"/>
        <v>0</v>
      </c>
      <c r="BX78" s="170">
        <f t="shared" si="24"/>
        <v>0</v>
      </c>
      <c r="BY78" s="168">
        <f t="shared" si="76"/>
        <v>0</v>
      </c>
      <c r="BZ78" s="171">
        <f t="shared" si="77"/>
        <v>0</v>
      </c>
      <c r="CA78" s="170">
        <f t="shared" si="27"/>
        <v>0</v>
      </c>
      <c r="CB78" s="90">
        <f t="shared" si="78"/>
        <v>0</v>
      </c>
      <c r="CC78" s="171">
        <f t="shared" si="79"/>
        <v>0</v>
      </c>
      <c r="CD78" s="170">
        <f t="shared" si="30"/>
        <v>0</v>
      </c>
      <c r="CE78" s="90">
        <f t="shared" si="80"/>
        <v>0</v>
      </c>
      <c r="CF78" s="171">
        <f t="shared" si="81"/>
        <v>0</v>
      </c>
      <c r="CG78" s="170">
        <f t="shared" si="33"/>
        <v>0</v>
      </c>
      <c r="CH78" s="90">
        <f t="shared" si="82"/>
        <v>0</v>
      </c>
      <c r="CI78" s="171">
        <f t="shared" si="83"/>
        <v>0</v>
      </c>
      <c r="CJ78" s="170">
        <f t="shared" si="36"/>
        <v>0</v>
      </c>
      <c r="CK78" s="90">
        <f t="shared" si="84"/>
        <v>0</v>
      </c>
      <c r="CL78" s="171">
        <f t="shared" si="85"/>
        <v>0</v>
      </c>
      <c r="CM78" s="170">
        <f t="shared" si="39"/>
        <v>0</v>
      </c>
      <c r="CN78" s="90">
        <f t="shared" si="86"/>
        <v>0</v>
      </c>
      <c r="CO78" s="171">
        <f t="shared" si="87"/>
        <v>0</v>
      </c>
      <c r="CP78" s="170">
        <f t="shared" si="42"/>
        <v>0</v>
      </c>
      <c r="CQ78" s="90">
        <f t="shared" si="88"/>
        <v>0</v>
      </c>
      <c r="CR78" s="171">
        <f t="shared" si="89"/>
        <v>0</v>
      </c>
      <c r="CS78" s="170">
        <f t="shared" si="45"/>
        <v>0</v>
      </c>
      <c r="CT78" s="90">
        <f t="shared" si="90"/>
        <v>0</v>
      </c>
      <c r="CU78" s="171">
        <f t="shared" si="91"/>
        <v>0</v>
      </c>
      <c r="CV78" s="170">
        <f t="shared" si="48"/>
        <v>0</v>
      </c>
      <c r="CW78" s="90">
        <f t="shared" si="92"/>
        <v>0</v>
      </c>
      <c r="CX78" s="171">
        <f t="shared" si="93"/>
        <v>0</v>
      </c>
      <c r="CY78" s="170">
        <f t="shared" si="51"/>
        <v>0</v>
      </c>
      <c r="CZ78" s="168">
        <f t="shared" si="52"/>
        <v>0</v>
      </c>
      <c r="DA78" s="172">
        <f t="shared" si="54"/>
        <v>0</v>
      </c>
      <c r="DB78" s="173">
        <f t="shared" si="55"/>
        <v>0</v>
      </c>
      <c r="DC78" s="172">
        <f t="shared" si="95"/>
        <v>0</v>
      </c>
      <c r="DD78" s="172">
        <f t="shared" si="95"/>
        <v>0</v>
      </c>
      <c r="DE78" s="172">
        <f t="shared" si="95"/>
        <v>0</v>
      </c>
      <c r="DF78" s="172">
        <f t="shared" si="57"/>
        <v>0</v>
      </c>
      <c r="DG78" s="1"/>
      <c r="DH78" s="1"/>
      <c r="DI78" s="3"/>
      <c r="DJ78" s="600" t="s">
        <v>619</v>
      </c>
      <c r="DK78" s="259">
        <v>1</v>
      </c>
      <c r="DL78" s="8"/>
      <c r="DM78" s="8"/>
      <c r="DN78" s="8"/>
      <c r="DO78" s="8"/>
      <c r="DP78" s="8"/>
      <c r="DQ78" s="3"/>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row>
    <row r="79" spans="1:155" s="565" customFormat="1" ht="12">
      <c r="A79" s="181"/>
      <c r="B79" s="3"/>
      <c r="C79" s="3"/>
      <c r="D79" s="3"/>
      <c r="E79" s="3"/>
      <c r="F79" s="3"/>
      <c r="G79" s="3"/>
      <c r="H79" s="3"/>
      <c r="I79" s="70"/>
      <c r="J79" s="70"/>
      <c r="K79" s="70"/>
      <c r="L79" s="70"/>
      <c r="M79" s="70"/>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45"/>
      <c r="BE79" s="165" t="s">
        <v>13</v>
      </c>
      <c r="BF79" s="23">
        <v>23</v>
      </c>
      <c r="BG79" s="23">
        <v>1</v>
      </c>
      <c r="BH79" s="23">
        <v>1</v>
      </c>
      <c r="BI79" s="90" t="b">
        <f t="shared" si="53"/>
        <v>1</v>
      </c>
      <c r="BJ79" s="46" t="b">
        <f t="shared" ref="BJ79:BJ109" si="96">MOD(BG79,$BL$7)=0</f>
        <v>0</v>
      </c>
      <c r="BK79" s="166">
        <f t="shared" ref="BK79:BK109" si="97">IF(BJ79,BL$8,0)</f>
        <v>0</v>
      </c>
      <c r="BL79" s="167">
        <f>BK79</f>
        <v>0</v>
      </c>
      <c r="BM79" s="23">
        <f t="shared" si="14"/>
        <v>0</v>
      </c>
      <c r="BN79" s="90">
        <f t="shared" si="15"/>
        <v>0</v>
      </c>
      <c r="BO79" s="24">
        <f t="shared" si="59"/>
        <v>0</v>
      </c>
      <c r="BP79" s="168">
        <f t="shared" ref="BP79:BP109" si="98">$Q$336/$BF$79*BR$16*$BI79</f>
        <v>0</v>
      </c>
      <c r="BQ79" s="171">
        <f t="shared" ref="BQ79:BQ109" si="99">AQ$371/$BF79*$BI79</f>
        <v>0</v>
      </c>
      <c r="BR79" s="170">
        <f t="shared" si="18"/>
        <v>0</v>
      </c>
      <c r="BS79" s="168">
        <f t="shared" ref="BS79:BS109" si="100">$R$336/$BF79*BU$16*$BI79</f>
        <v>0</v>
      </c>
      <c r="BT79" s="171">
        <f t="shared" ref="BT79:BT109" si="101">AR$371/$BF79*$BI79</f>
        <v>0</v>
      </c>
      <c r="BU79" s="170">
        <f t="shared" si="21"/>
        <v>0</v>
      </c>
      <c r="BV79" s="168">
        <f t="shared" ref="BV79:BV109" si="102">$S$336/$BF79*BX$16*$BI79</f>
        <v>0</v>
      </c>
      <c r="BW79" s="171">
        <f t="shared" ref="BW79:BW109" si="103">AS$371/$BF79*$BI79</f>
        <v>0</v>
      </c>
      <c r="BX79" s="170">
        <f t="shared" si="24"/>
        <v>0</v>
      </c>
      <c r="BY79" s="168">
        <f t="shared" ref="BY79:BY109" si="104">$T$336/$BF79*CA$16*$BI79</f>
        <v>0</v>
      </c>
      <c r="BZ79" s="171">
        <f t="shared" ref="BZ79:BZ109" si="105">AT$371/$BF79*$BI79</f>
        <v>0</v>
      </c>
      <c r="CA79" s="170">
        <f t="shared" si="27"/>
        <v>0</v>
      </c>
      <c r="CB79" s="90">
        <f t="shared" ref="CB79:CB109" si="106">$W$336/BF79*BI79*$C$419</f>
        <v>0</v>
      </c>
      <c r="CC79" s="171">
        <f t="shared" ref="CC79:CC109" si="107">AU$371/$BF79*$BI79</f>
        <v>0</v>
      </c>
      <c r="CD79" s="170">
        <f t="shared" si="30"/>
        <v>0</v>
      </c>
      <c r="CE79" s="90">
        <f t="shared" ref="CE79:CE109" si="108">$X$336/BF79*BI79*$C$420</f>
        <v>0</v>
      </c>
      <c r="CF79" s="171">
        <f t="shared" ref="CF79:CF109" si="109">AV$371/$BF79*$BI79</f>
        <v>0</v>
      </c>
      <c r="CG79" s="170">
        <f t="shared" si="33"/>
        <v>0</v>
      </c>
      <c r="CH79" s="90">
        <f t="shared" ref="CH79:CH109" si="110">$Y$336/BF79*BI79*$C$421</f>
        <v>0</v>
      </c>
      <c r="CI79" s="171">
        <f t="shared" ref="CI79:CI109" si="111">AW$371/$BF79*$BI79</f>
        <v>0</v>
      </c>
      <c r="CJ79" s="170">
        <f t="shared" si="36"/>
        <v>0</v>
      </c>
      <c r="CK79" s="90">
        <f t="shared" ref="CK79:CK109" si="112">$Z$336/BF79*BI79*$CM$16</f>
        <v>0</v>
      </c>
      <c r="CL79" s="171">
        <f t="shared" ref="CL79:CL109" si="113">AX$371/$BF79*$BI79</f>
        <v>0</v>
      </c>
      <c r="CM79" s="170">
        <f t="shared" si="39"/>
        <v>0</v>
      </c>
      <c r="CN79" s="90">
        <f t="shared" ref="CN79:CN109" si="114">$AA$336/BF79*BI79*$CP$16</f>
        <v>0</v>
      </c>
      <c r="CO79" s="171">
        <f t="shared" ref="CO79:CO109" si="115">$AY$371/$BF79*$BI79</f>
        <v>0</v>
      </c>
      <c r="CP79" s="170">
        <f t="shared" si="42"/>
        <v>0</v>
      </c>
      <c r="CQ79" s="90">
        <f t="shared" ref="CQ79:CQ109" si="116">$AB$336/BF79*BI79*$CS$16</f>
        <v>0</v>
      </c>
      <c r="CR79" s="171">
        <f t="shared" ref="CR79:CR109" si="117">AZ$371/$BF79*$BI79</f>
        <v>0</v>
      </c>
      <c r="CS79" s="170">
        <f t="shared" si="45"/>
        <v>0</v>
      </c>
      <c r="CT79" s="90">
        <f t="shared" ref="CT79:CT109" si="118">$AC$336/BF79*BI79*$CV$16</f>
        <v>0</v>
      </c>
      <c r="CU79" s="171">
        <f t="shared" ref="CU79:CU109" si="119">BA$371/$BF79*$BI79</f>
        <v>0</v>
      </c>
      <c r="CV79" s="170">
        <f t="shared" si="48"/>
        <v>0</v>
      </c>
      <c r="CW79" s="90">
        <f t="shared" ref="CW79:CW109" si="120">$AD$336/BF79*BI79*$CY$16</f>
        <v>0</v>
      </c>
      <c r="CX79" s="171">
        <f t="shared" ref="CX79:CX109" si="121">BB$371/$BF79*$BI79</f>
        <v>0</v>
      </c>
      <c r="CY79" s="170">
        <f t="shared" si="51"/>
        <v>0</v>
      </c>
      <c r="CZ79" s="168">
        <f t="shared" si="52"/>
        <v>0</v>
      </c>
      <c r="DA79" s="172">
        <f t="shared" si="54"/>
        <v>0</v>
      </c>
      <c r="DB79" s="173">
        <f t="shared" si="55"/>
        <v>0</v>
      </c>
      <c r="DC79" s="172">
        <f t="shared" si="95"/>
        <v>0</v>
      </c>
      <c r="DD79" s="172">
        <f t="shared" si="95"/>
        <v>0</v>
      </c>
      <c r="DE79" s="172">
        <f t="shared" si="95"/>
        <v>0</v>
      </c>
      <c r="DF79" s="172">
        <f>IF(DA79-(DE78+CZ79)&lt;0,0,DA79-(DE78+CZ79))</f>
        <v>0</v>
      </c>
      <c r="DG79" s="1"/>
      <c r="DH79" s="1"/>
      <c r="DI79" s="3"/>
      <c r="DJ79" s="8"/>
      <c r="DK79" s="8"/>
      <c r="DL79" s="8"/>
      <c r="DM79" s="8"/>
      <c r="DN79" s="8"/>
      <c r="DO79" s="8"/>
      <c r="DP79" s="8"/>
      <c r="DQ79" s="3"/>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row>
    <row r="80" spans="1:155" s="565" customFormat="1" ht="27.75" customHeight="1">
      <c r="A80" s="181"/>
      <c r="B80" s="222" t="s">
        <v>107</v>
      </c>
      <c r="C80" s="250"/>
      <c r="D80" s="250"/>
      <c r="E80" s="250"/>
      <c r="F80" s="251"/>
      <c r="G80" s="3"/>
      <c r="H80" s="3"/>
      <c r="I80" s="70"/>
      <c r="J80" s="70"/>
      <c r="K80" s="70"/>
      <c r="L80" s="70"/>
      <c r="M80" s="70"/>
      <c r="N80" s="14" t="s">
        <v>250</v>
      </c>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45"/>
      <c r="BE80" s="165" t="s">
        <v>13</v>
      </c>
      <c r="BF80" s="23">
        <v>23</v>
      </c>
      <c r="BG80" s="23">
        <v>2</v>
      </c>
      <c r="BH80" s="23">
        <v>2</v>
      </c>
      <c r="BI80" s="90" t="b">
        <f t="shared" si="53"/>
        <v>1</v>
      </c>
      <c r="BJ80" s="46" t="b">
        <f t="shared" si="96"/>
        <v>1</v>
      </c>
      <c r="BK80" s="166">
        <f t="shared" si="97"/>
        <v>7</v>
      </c>
      <c r="BL80" s="175">
        <f>IF(SUM(BL$79:BL79,BK80)&gt;$BL$4,0,BK80)</f>
        <v>7</v>
      </c>
      <c r="BM80" s="23">
        <f t="shared" si="14"/>
        <v>0</v>
      </c>
      <c r="BN80" s="90">
        <f t="shared" si="15"/>
        <v>0</v>
      </c>
      <c r="BO80" s="24">
        <f t="shared" si="59"/>
        <v>0</v>
      </c>
      <c r="BP80" s="168">
        <f t="shared" si="98"/>
        <v>0</v>
      </c>
      <c r="BQ80" s="171">
        <f t="shared" si="99"/>
        <v>0</v>
      </c>
      <c r="BR80" s="170">
        <f t="shared" si="18"/>
        <v>0</v>
      </c>
      <c r="BS80" s="168">
        <f t="shared" si="100"/>
        <v>0</v>
      </c>
      <c r="BT80" s="171">
        <f t="shared" si="101"/>
        <v>0</v>
      </c>
      <c r="BU80" s="170">
        <f t="shared" si="21"/>
        <v>0</v>
      </c>
      <c r="BV80" s="168">
        <f t="shared" si="102"/>
        <v>0</v>
      </c>
      <c r="BW80" s="171">
        <f t="shared" si="103"/>
        <v>0</v>
      </c>
      <c r="BX80" s="170">
        <f t="shared" si="24"/>
        <v>0</v>
      </c>
      <c r="BY80" s="168">
        <f t="shared" si="104"/>
        <v>0</v>
      </c>
      <c r="BZ80" s="171">
        <f t="shared" si="105"/>
        <v>0</v>
      </c>
      <c r="CA80" s="170">
        <f t="shared" si="27"/>
        <v>0</v>
      </c>
      <c r="CB80" s="90">
        <f t="shared" si="106"/>
        <v>0</v>
      </c>
      <c r="CC80" s="171">
        <f t="shared" si="107"/>
        <v>0</v>
      </c>
      <c r="CD80" s="170">
        <f t="shared" si="30"/>
        <v>0</v>
      </c>
      <c r="CE80" s="90">
        <f t="shared" si="108"/>
        <v>0</v>
      </c>
      <c r="CF80" s="171">
        <f t="shared" si="109"/>
        <v>0</v>
      </c>
      <c r="CG80" s="170">
        <f t="shared" si="33"/>
        <v>0</v>
      </c>
      <c r="CH80" s="90">
        <f t="shared" si="110"/>
        <v>0</v>
      </c>
      <c r="CI80" s="171">
        <f t="shared" si="111"/>
        <v>0</v>
      </c>
      <c r="CJ80" s="170">
        <f t="shared" si="36"/>
        <v>0</v>
      </c>
      <c r="CK80" s="90">
        <f t="shared" si="112"/>
        <v>0</v>
      </c>
      <c r="CL80" s="171">
        <f t="shared" si="113"/>
        <v>0</v>
      </c>
      <c r="CM80" s="170">
        <f t="shared" si="39"/>
        <v>0</v>
      </c>
      <c r="CN80" s="90">
        <f t="shared" si="114"/>
        <v>0</v>
      </c>
      <c r="CO80" s="171">
        <f t="shared" si="115"/>
        <v>0</v>
      </c>
      <c r="CP80" s="170">
        <f t="shared" si="42"/>
        <v>0</v>
      </c>
      <c r="CQ80" s="90">
        <f t="shared" si="116"/>
        <v>0</v>
      </c>
      <c r="CR80" s="171">
        <f t="shared" si="117"/>
        <v>0</v>
      </c>
      <c r="CS80" s="170">
        <f t="shared" si="45"/>
        <v>0</v>
      </c>
      <c r="CT80" s="90">
        <f t="shared" si="118"/>
        <v>0</v>
      </c>
      <c r="CU80" s="171">
        <f t="shared" si="119"/>
        <v>0</v>
      </c>
      <c r="CV80" s="170">
        <f t="shared" si="48"/>
        <v>0</v>
      </c>
      <c r="CW80" s="90">
        <f t="shared" si="120"/>
        <v>0</v>
      </c>
      <c r="CX80" s="171">
        <f t="shared" si="121"/>
        <v>0</v>
      </c>
      <c r="CY80" s="170">
        <f t="shared" si="51"/>
        <v>0</v>
      </c>
      <c r="CZ80" s="168">
        <f t="shared" si="52"/>
        <v>0</v>
      </c>
      <c r="DA80" s="172">
        <f t="shared" si="54"/>
        <v>0</v>
      </c>
      <c r="DB80" s="173">
        <f t="shared" si="55"/>
        <v>0</v>
      </c>
      <c r="DC80" s="172">
        <f t="shared" si="95"/>
        <v>0</v>
      </c>
      <c r="DD80" s="172">
        <f t="shared" si="95"/>
        <v>0</v>
      </c>
      <c r="DE80" s="172">
        <f t="shared" si="95"/>
        <v>0</v>
      </c>
      <c r="DF80" s="172">
        <f t="shared" si="57"/>
        <v>0</v>
      </c>
      <c r="DG80" s="1"/>
      <c r="DH80" s="1"/>
      <c r="DI80" s="3"/>
      <c r="DJ80" s="8"/>
      <c r="DK80" s="8"/>
      <c r="DL80" s="8"/>
      <c r="DM80" s="8"/>
      <c r="DN80" s="8"/>
      <c r="DO80" s="8"/>
      <c r="DP80" s="8"/>
      <c r="DQ80" s="3"/>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row>
    <row r="81" spans="1:155" s="565" customFormat="1" ht="12" hidden="1" customHeight="1">
      <c r="A81" s="230"/>
      <c r="B81" s="717" t="s">
        <v>198</v>
      </c>
      <c r="C81" s="717"/>
      <c r="D81" s="190" t="s">
        <v>251</v>
      </c>
      <c r="E81" s="190" t="s">
        <v>252</v>
      </c>
      <c r="F81" s="190" t="s">
        <v>200</v>
      </c>
      <c r="G81" s="3"/>
      <c r="H81" s="3"/>
      <c r="I81" s="70"/>
      <c r="J81" s="70"/>
      <c r="K81" s="70"/>
      <c r="L81" s="70"/>
      <c r="M81" s="70"/>
      <c r="N81" s="71" t="s">
        <v>253</v>
      </c>
      <c r="O81" s="71" t="s">
        <v>254</v>
      </c>
      <c r="P81" s="71" t="s">
        <v>255</v>
      </c>
      <c r="Q81" s="14"/>
      <c r="R81" s="14"/>
      <c r="S81" s="14"/>
      <c r="T81" s="14"/>
      <c r="U81" s="262" t="s">
        <v>203</v>
      </c>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45"/>
      <c r="BE81" s="165" t="s">
        <v>13</v>
      </c>
      <c r="BF81" s="23">
        <v>23</v>
      </c>
      <c r="BG81" s="23">
        <v>3</v>
      </c>
      <c r="BH81" s="23">
        <v>3</v>
      </c>
      <c r="BI81" s="90" t="b">
        <f t="shared" si="53"/>
        <v>1</v>
      </c>
      <c r="BJ81" s="46" t="b">
        <f t="shared" si="96"/>
        <v>0</v>
      </c>
      <c r="BK81" s="166">
        <f t="shared" si="97"/>
        <v>0</v>
      </c>
      <c r="BL81" s="175">
        <f>IF(SUM(BL$79:BL80,BK81)&gt;$BL$4,0,BK81)</f>
        <v>0</v>
      </c>
      <c r="BM81" s="23">
        <f t="shared" si="14"/>
        <v>0</v>
      </c>
      <c r="BN81" s="90">
        <f t="shared" si="15"/>
        <v>0</v>
      </c>
      <c r="BO81" s="24">
        <f t="shared" si="59"/>
        <v>0</v>
      </c>
      <c r="BP81" s="168">
        <f t="shared" si="98"/>
        <v>0</v>
      </c>
      <c r="BQ81" s="171">
        <f t="shared" si="99"/>
        <v>0</v>
      </c>
      <c r="BR81" s="170">
        <f t="shared" si="18"/>
        <v>0</v>
      </c>
      <c r="BS81" s="168">
        <f t="shared" si="100"/>
        <v>0</v>
      </c>
      <c r="BT81" s="171">
        <f t="shared" si="101"/>
        <v>0</v>
      </c>
      <c r="BU81" s="170">
        <f t="shared" si="21"/>
        <v>0</v>
      </c>
      <c r="BV81" s="168">
        <f t="shared" si="102"/>
        <v>0</v>
      </c>
      <c r="BW81" s="171">
        <f t="shared" si="103"/>
        <v>0</v>
      </c>
      <c r="BX81" s="170">
        <f t="shared" si="24"/>
        <v>0</v>
      </c>
      <c r="BY81" s="168">
        <f t="shared" si="104"/>
        <v>0</v>
      </c>
      <c r="BZ81" s="171">
        <f t="shared" si="105"/>
        <v>0</v>
      </c>
      <c r="CA81" s="170">
        <f t="shared" si="27"/>
        <v>0</v>
      </c>
      <c r="CB81" s="90">
        <f t="shared" si="106"/>
        <v>0</v>
      </c>
      <c r="CC81" s="171">
        <f t="shared" si="107"/>
        <v>0</v>
      </c>
      <c r="CD81" s="170">
        <f t="shared" si="30"/>
        <v>0</v>
      </c>
      <c r="CE81" s="90">
        <f t="shared" si="108"/>
        <v>0</v>
      </c>
      <c r="CF81" s="171">
        <f t="shared" si="109"/>
        <v>0</v>
      </c>
      <c r="CG81" s="170">
        <f t="shared" si="33"/>
        <v>0</v>
      </c>
      <c r="CH81" s="90">
        <f t="shared" si="110"/>
        <v>0</v>
      </c>
      <c r="CI81" s="171">
        <f t="shared" si="111"/>
        <v>0</v>
      </c>
      <c r="CJ81" s="170">
        <f t="shared" si="36"/>
        <v>0</v>
      </c>
      <c r="CK81" s="90">
        <f t="shared" si="112"/>
        <v>0</v>
      </c>
      <c r="CL81" s="171">
        <f t="shared" si="113"/>
        <v>0</v>
      </c>
      <c r="CM81" s="170">
        <f t="shared" si="39"/>
        <v>0</v>
      </c>
      <c r="CN81" s="90">
        <f t="shared" si="114"/>
        <v>0</v>
      </c>
      <c r="CO81" s="171">
        <f t="shared" si="115"/>
        <v>0</v>
      </c>
      <c r="CP81" s="170">
        <f t="shared" si="42"/>
        <v>0</v>
      </c>
      <c r="CQ81" s="90">
        <f t="shared" si="116"/>
        <v>0</v>
      </c>
      <c r="CR81" s="171">
        <f t="shared" si="117"/>
        <v>0</v>
      </c>
      <c r="CS81" s="170">
        <f t="shared" si="45"/>
        <v>0</v>
      </c>
      <c r="CT81" s="90">
        <f t="shared" si="118"/>
        <v>0</v>
      </c>
      <c r="CU81" s="171">
        <f t="shared" si="119"/>
        <v>0</v>
      </c>
      <c r="CV81" s="170">
        <f t="shared" si="48"/>
        <v>0</v>
      </c>
      <c r="CW81" s="90">
        <f t="shared" si="120"/>
        <v>0</v>
      </c>
      <c r="CX81" s="171">
        <f t="shared" si="121"/>
        <v>0</v>
      </c>
      <c r="CY81" s="170">
        <f t="shared" si="51"/>
        <v>0</v>
      </c>
      <c r="CZ81" s="168">
        <f t="shared" si="52"/>
        <v>0</v>
      </c>
      <c r="DA81" s="172">
        <f t="shared" si="54"/>
        <v>0</v>
      </c>
      <c r="DB81" s="173">
        <f t="shared" si="55"/>
        <v>0</v>
      </c>
      <c r="DC81" s="172">
        <f t="shared" si="95"/>
        <v>0</v>
      </c>
      <c r="DD81" s="172">
        <f t="shared" si="95"/>
        <v>0</v>
      </c>
      <c r="DE81" s="172">
        <f t="shared" si="95"/>
        <v>0</v>
      </c>
      <c r="DF81" s="172">
        <f t="shared" si="57"/>
        <v>0</v>
      </c>
      <c r="DG81" s="1"/>
      <c r="DH81" s="1"/>
      <c r="DI81" s="3"/>
      <c r="DJ81" s="8"/>
      <c r="DK81" s="8"/>
      <c r="DL81" s="8"/>
      <c r="DM81" s="8"/>
      <c r="DN81" s="8"/>
      <c r="DO81" s="8"/>
      <c r="DP81" s="8"/>
      <c r="DQ81" s="3"/>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row>
    <row r="82" spans="1:155" s="565" customFormat="1" ht="12" hidden="1">
      <c r="A82" s="181"/>
      <c r="B82" s="718" t="s">
        <v>256</v>
      </c>
      <c r="C82" s="720"/>
      <c r="D82" s="263" t="s">
        <v>226</v>
      </c>
      <c r="E82" s="264"/>
      <c r="F82" s="265">
        <v>1</v>
      </c>
      <c r="G82" s="3"/>
      <c r="H82" s="3"/>
      <c r="I82" s="70"/>
      <c r="J82" s="70"/>
      <c r="K82" s="70"/>
      <c r="L82" s="70"/>
      <c r="M82" s="70"/>
      <c r="N82" s="71">
        <f>1-ISBLANK(E82)</f>
        <v>0</v>
      </c>
      <c r="O82" s="71">
        <f>1-(OR(ISBLANK(D82),D82=$DJ$62))</f>
        <v>1</v>
      </c>
      <c r="P82" s="71">
        <f>IF(N82+O82=1,1,0)</f>
        <v>1</v>
      </c>
      <c r="Q82" s="14"/>
      <c r="R82" s="14"/>
      <c r="S82" s="14"/>
      <c r="T82" s="14"/>
      <c r="U82" s="266">
        <f>IFERROR(VLOOKUP(D82,$DJ$62:$DN$65,5,FALSE)/60,0)</f>
        <v>0.15</v>
      </c>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45"/>
      <c r="BE82" s="165" t="s">
        <v>13</v>
      </c>
      <c r="BF82" s="23">
        <v>23</v>
      </c>
      <c r="BG82" s="23">
        <v>4</v>
      </c>
      <c r="BH82" s="23">
        <v>4</v>
      </c>
      <c r="BI82" s="90" t="b">
        <f t="shared" si="53"/>
        <v>1</v>
      </c>
      <c r="BJ82" s="46" t="b">
        <f t="shared" si="96"/>
        <v>1</v>
      </c>
      <c r="BK82" s="166">
        <f t="shared" si="97"/>
        <v>7</v>
      </c>
      <c r="BL82" s="175">
        <f>IF(SUM(BL$79:BL81,BK82)&gt;$BL$4,0,BK82)</f>
        <v>7</v>
      </c>
      <c r="BM82" s="23">
        <f t="shared" si="14"/>
        <v>0</v>
      </c>
      <c r="BN82" s="90">
        <f t="shared" si="15"/>
        <v>0</v>
      </c>
      <c r="BO82" s="24">
        <f t="shared" si="59"/>
        <v>0</v>
      </c>
      <c r="BP82" s="168">
        <f t="shared" si="98"/>
        <v>0</v>
      </c>
      <c r="BQ82" s="171">
        <f t="shared" si="99"/>
        <v>0</v>
      </c>
      <c r="BR82" s="170">
        <f t="shared" si="18"/>
        <v>0</v>
      </c>
      <c r="BS82" s="168">
        <f t="shared" si="100"/>
        <v>0</v>
      </c>
      <c r="BT82" s="171">
        <f t="shared" si="101"/>
        <v>0</v>
      </c>
      <c r="BU82" s="170">
        <f t="shared" si="21"/>
        <v>0</v>
      </c>
      <c r="BV82" s="168">
        <f t="shared" si="102"/>
        <v>0</v>
      </c>
      <c r="BW82" s="171">
        <f t="shared" si="103"/>
        <v>0</v>
      </c>
      <c r="BX82" s="170">
        <f t="shared" si="24"/>
        <v>0</v>
      </c>
      <c r="BY82" s="168">
        <f t="shared" si="104"/>
        <v>0</v>
      </c>
      <c r="BZ82" s="171">
        <f t="shared" si="105"/>
        <v>0</v>
      </c>
      <c r="CA82" s="170">
        <f t="shared" si="27"/>
        <v>0</v>
      </c>
      <c r="CB82" s="90">
        <f t="shared" si="106"/>
        <v>0</v>
      </c>
      <c r="CC82" s="171">
        <f t="shared" si="107"/>
        <v>0</v>
      </c>
      <c r="CD82" s="170">
        <f t="shared" si="30"/>
        <v>0</v>
      </c>
      <c r="CE82" s="90">
        <f t="shared" si="108"/>
        <v>0</v>
      </c>
      <c r="CF82" s="171">
        <f t="shared" si="109"/>
        <v>0</v>
      </c>
      <c r="CG82" s="170">
        <f t="shared" si="33"/>
        <v>0</v>
      </c>
      <c r="CH82" s="90">
        <f t="shared" si="110"/>
        <v>0</v>
      </c>
      <c r="CI82" s="171">
        <f t="shared" si="111"/>
        <v>0</v>
      </c>
      <c r="CJ82" s="170">
        <f t="shared" si="36"/>
        <v>0</v>
      </c>
      <c r="CK82" s="90">
        <f t="shared" si="112"/>
        <v>0</v>
      </c>
      <c r="CL82" s="171">
        <f t="shared" si="113"/>
        <v>0</v>
      </c>
      <c r="CM82" s="170">
        <f t="shared" si="39"/>
        <v>0</v>
      </c>
      <c r="CN82" s="90">
        <f t="shared" si="114"/>
        <v>0</v>
      </c>
      <c r="CO82" s="171">
        <f t="shared" si="115"/>
        <v>0</v>
      </c>
      <c r="CP82" s="170">
        <f t="shared" si="42"/>
        <v>0</v>
      </c>
      <c r="CQ82" s="90">
        <f t="shared" si="116"/>
        <v>0</v>
      </c>
      <c r="CR82" s="171">
        <f t="shared" si="117"/>
        <v>0</v>
      </c>
      <c r="CS82" s="170">
        <f t="shared" si="45"/>
        <v>0</v>
      </c>
      <c r="CT82" s="90">
        <f t="shared" si="118"/>
        <v>0</v>
      </c>
      <c r="CU82" s="171">
        <f t="shared" si="119"/>
        <v>0</v>
      </c>
      <c r="CV82" s="170">
        <f t="shared" si="48"/>
        <v>0</v>
      </c>
      <c r="CW82" s="90">
        <f t="shared" si="120"/>
        <v>0</v>
      </c>
      <c r="CX82" s="171">
        <f t="shared" si="121"/>
        <v>0</v>
      </c>
      <c r="CY82" s="170">
        <f t="shared" si="51"/>
        <v>0</v>
      </c>
      <c r="CZ82" s="168">
        <f t="shared" si="52"/>
        <v>0</v>
      </c>
      <c r="DA82" s="172">
        <f t="shared" si="54"/>
        <v>0</v>
      </c>
      <c r="DB82" s="173">
        <f t="shared" si="55"/>
        <v>0</v>
      </c>
      <c r="DC82" s="172">
        <f t="shared" si="95"/>
        <v>0</v>
      </c>
      <c r="DD82" s="172">
        <f t="shared" si="95"/>
        <v>0</v>
      </c>
      <c r="DE82" s="172">
        <f t="shared" si="95"/>
        <v>0</v>
      </c>
      <c r="DF82" s="172">
        <f t="shared" si="57"/>
        <v>0</v>
      </c>
      <c r="DG82" s="1"/>
      <c r="DH82" s="1"/>
      <c r="DI82" s="3"/>
      <c r="DJ82" s="8"/>
      <c r="DK82" s="8"/>
      <c r="DL82" s="8"/>
      <c r="DM82" s="8"/>
      <c r="DN82" s="8"/>
      <c r="DO82" s="8"/>
      <c r="DP82" s="8"/>
      <c r="DQ82" s="3"/>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row>
    <row r="83" spans="1:155" s="565" customFormat="1" ht="12" hidden="1">
      <c r="A83" s="123"/>
      <c r="B83" s="722" t="s">
        <v>257</v>
      </c>
      <c r="C83" s="724"/>
      <c r="D83" s="263"/>
      <c r="E83" s="231"/>
      <c r="F83" s="255"/>
      <c r="G83" s="70"/>
      <c r="H83" s="70"/>
      <c r="I83" s="70"/>
      <c r="J83" s="70"/>
      <c r="K83" s="70"/>
      <c r="L83" s="70"/>
      <c r="M83" s="70"/>
      <c r="N83" s="71">
        <f>1-ISBLANK(E83)</f>
        <v>0</v>
      </c>
      <c r="O83" s="71">
        <f>1-(OR(ISBLANK(D83),D83=$DJ$62))</f>
        <v>0</v>
      </c>
      <c r="P83" s="71">
        <f>IF(N83+O83=1,1,0)</f>
        <v>0</v>
      </c>
      <c r="Q83" s="14"/>
      <c r="R83" s="14"/>
      <c r="S83" s="14"/>
      <c r="T83" s="14"/>
      <c r="U83" s="266">
        <f>IFERROR(VLOOKUP(D83,$DJ$62:$DN$65,5,FALSE)/60,0)</f>
        <v>0</v>
      </c>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45"/>
      <c r="BE83" s="165" t="s">
        <v>13</v>
      </c>
      <c r="BF83" s="23">
        <v>23</v>
      </c>
      <c r="BG83" s="23">
        <v>5</v>
      </c>
      <c r="BH83" s="23">
        <v>5</v>
      </c>
      <c r="BI83" s="90" t="b">
        <f t="shared" si="53"/>
        <v>1</v>
      </c>
      <c r="BJ83" s="46" t="b">
        <f t="shared" si="96"/>
        <v>0</v>
      </c>
      <c r="BK83" s="166">
        <f t="shared" si="97"/>
        <v>0</v>
      </c>
      <c r="BL83" s="175">
        <f>IF(SUM(BL$79:BL82,BK83)&gt;$BL$4,0,BK83)</f>
        <v>0</v>
      </c>
      <c r="BM83" s="23">
        <f t="shared" si="14"/>
        <v>0</v>
      </c>
      <c r="BN83" s="90">
        <f t="shared" si="15"/>
        <v>0</v>
      </c>
      <c r="BO83" s="24">
        <f t="shared" si="59"/>
        <v>0</v>
      </c>
      <c r="BP83" s="168">
        <f t="shared" si="98"/>
        <v>0</v>
      </c>
      <c r="BQ83" s="171">
        <f t="shared" si="99"/>
        <v>0</v>
      </c>
      <c r="BR83" s="170">
        <f t="shared" si="18"/>
        <v>0</v>
      </c>
      <c r="BS83" s="168">
        <f t="shared" si="100"/>
        <v>0</v>
      </c>
      <c r="BT83" s="171">
        <f t="shared" si="101"/>
        <v>0</v>
      </c>
      <c r="BU83" s="170">
        <f t="shared" si="21"/>
        <v>0</v>
      </c>
      <c r="BV83" s="168">
        <f t="shared" si="102"/>
        <v>0</v>
      </c>
      <c r="BW83" s="171">
        <f t="shared" si="103"/>
        <v>0</v>
      </c>
      <c r="BX83" s="170">
        <f t="shared" si="24"/>
        <v>0</v>
      </c>
      <c r="BY83" s="168">
        <f t="shared" si="104"/>
        <v>0</v>
      </c>
      <c r="BZ83" s="171">
        <f t="shared" si="105"/>
        <v>0</v>
      </c>
      <c r="CA83" s="170">
        <f t="shared" si="27"/>
        <v>0</v>
      </c>
      <c r="CB83" s="90">
        <f t="shared" si="106"/>
        <v>0</v>
      </c>
      <c r="CC83" s="171">
        <f t="shared" si="107"/>
        <v>0</v>
      </c>
      <c r="CD83" s="170">
        <f t="shared" si="30"/>
        <v>0</v>
      </c>
      <c r="CE83" s="90">
        <f t="shared" si="108"/>
        <v>0</v>
      </c>
      <c r="CF83" s="171">
        <f t="shared" si="109"/>
        <v>0</v>
      </c>
      <c r="CG83" s="170">
        <f t="shared" si="33"/>
        <v>0</v>
      </c>
      <c r="CH83" s="90">
        <f t="shared" si="110"/>
        <v>0</v>
      </c>
      <c r="CI83" s="171">
        <f t="shared" si="111"/>
        <v>0</v>
      </c>
      <c r="CJ83" s="170">
        <f t="shared" si="36"/>
        <v>0</v>
      </c>
      <c r="CK83" s="90">
        <f t="shared" si="112"/>
        <v>0</v>
      </c>
      <c r="CL83" s="171">
        <f t="shared" si="113"/>
        <v>0</v>
      </c>
      <c r="CM83" s="170">
        <f t="shared" si="39"/>
        <v>0</v>
      </c>
      <c r="CN83" s="90">
        <f t="shared" si="114"/>
        <v>0</v>
      </c>
      <c r="CO83" s="171">
        <f t="shared" si="115"/>
        <v>0</v>
      </c>
      <c r="CP83" s="170">
        <f t="shared" si="42"/>
        <v>0</v>
      </c>
      <c r="CQ83" s="90">
        <f t="shared" si="116"/>
        <v>0</v>
      </c>
      <c r="CR83" s="171">
        <f t="shared" si="117"/>
        <v>0</v>
      </c>
      <c r="CS83" s="170">
        <f t="shared" si="45"/>
        <v>0</v>
      </c>
      <c r="CT83" s="90">
        <f t="shared" si="118"/>
        <v>0</v>
      </c>
      <c r="CU83" s="171">
        <f t="shared" si="119"/>
        <v>0</v>
      </c>
      <c r="CV83" s="170">
        <f t="shared" si="48"/>
        <v>0</v>
      </c>
      <c r="CW83" s="90">
        <f t="shared" si="120"/>
        <v>0</v>
      </c>
      <c r="CX83" s="171">
        <f t="shared" si="121"/>
        <v>0</v>
      </c>
      <c r="CY83" s="170">
        <f t="shared" si="51"/>
        <v>0</v>
      </c>
      <c r="CZ83" s="168">
        <f t="shared" si="52"/>
        <v>0</v>
      </c>
      <c r="DA83" s="172">
        <f t="shared" si="54"/>
        <v>0</v>
      </c>
      <c r="DB83" s="173">
        <f t="shared" si="55"/>
        <v>0</v>
      </c>
      <c r="DC83" s="172">
        <f t="shared" si="95"/>
        <v>0</v>
      </c>
      <c r="DD83" s="172">
        <f t="shared" si="95"/>
        <v>0</v>
      </c>
      <c r="DE83" s="172">
        <f t="shared" si="95"/>
        <v>0</v>
      </c>
      <c r="DF83" s="172">
        <f t="shared" si="57"/>
        <v>0</v>
      </c>
      <c r="DG83" s="1"/>
      <c r="DH83" s="1"/>
      <c r="DI83" s="3"/>
      <c r="DJ83" s="8"/>
      <c r="DK83" s="8"/>
      <c r="DL83" s="8"/>
      <c r="DM83" s="8"/>
      <c r="DN83" s="8"/>
      <c r="DO83" s="8"/>
      <c r="DP83" s="8"/>
      <c r="DQ83" s="3"/>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row>
    <row r="84" spans="1:155" s="565" customFormat="1" hidden="1">
      <c r="A84" s="123"/>
      <c r="B84" s="722" t="s">
        <v>258</v>
      </c>
      <c r="C84" s="724"/>
      <c r="D84" s="263"/>
      <c r="E84" s="231"/>
      <c r="F84" s="255"/>
      <c r="G84" s="70"/>
      <c r="H84" s="3"/>
      <c r="I84" s="27"/>
      <c r="J84" s="27"/>
      <c r="K84" s="70"/>
      <c r="L84" s="70"/>
      <c r="M84" s="70"/>
      <c r="N84" s="71">
        <f>1-ISBLANK(E84)</f>
        <v>0</v>
      </c>
      <c r="O84" s="71">
        <f>1-(OR(ISBLANK(D84),D84=$DJ$62))</f>
        <v>0</v>
      </c>
      <c r="P84" s="71">
        <f>IF(N84+O84=1,1,0)</f>
        <v>0</v>
      </c>
      <c r="Q84" s="14"/>
      <c r="R84" s="14"/>
      <c r="S84" s="14"/>
      <c r="T84" s="14"/>
      <c r="U84" s="266">
        <f>IFERROR(VLOOKUP(D84,$DJ$62:$DN$65,5,FALSE)/60,0)</f>
        <v>0</v>
      </c>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45"/>
      <c r="BE84" s="165" t="s">
        <v>13</v>
      </c>
      <c r="BF84" s="23">
        <v>23</v>
      </c>
      <c r="BG84" s="23">
        <v>6</v>
      </c>
      <c r="BH84" s="23">
        <v>6</v>
      </c>
      <c r="BI84" s="90" t="b">
        <f t="shared" si="53"/>
        <v>0</v>
      </c>
      <c r="BJ84" s="46" t="b">
        <f t="shared" si="96"/>
        <v>1</v>
      </c>
      <c r="BK84" s="166">
        <f t="shared" si="97"/>
        <v>7</v>
      </c>
      <c r="BL84" s="175">
        <f>IF(SUM(BL$79:BL83,BK84)&gt;$BL$4,0,BK84)</f>
        <v>7</v>
      </c>
      <c r="BM84" s="23">
        <f t="shared" ref="BM84:BM147" si="122">BL84*$BJ$13</f>
        <v>0</v>
      </c>
      <c r="BN84" s="90">
        <f t="shared" ref="BN84:BN147" si="123">$BJ$14*(BL84&gt;0)</f>
        <v>0</v>
      </c>
      <c r="BO84" s="24">
        <f t="shared" si="59"/>
        <v>0</v>
      </c>
      <c r="BP84" s="168">
        <f t="shared" si="98"/>
        <v>0</v>
      </c>
      <c r="BQ84" s="171">
        <f t="shared" si="99"/>
        <v>0</v>
      </c>
      <c r="BR84" s="170">
        <f t="shared" ref="BR84:BR147" si="124">IF(BP84-(BQ84*$BR$17)&gt;0,BP84-(BQ84*$BR$17),0)</f>
        <v>0</v>
      </c>
      <c r="BS84" s="168">
        <f t="shared" si="100"/>
        <v>0</v>
      </c>
      <c r="BT84" s="171">
        <f t="shared" si="101"/>
        <v>0</v>
      </c>
      <c r="BU84" s="170">
        <f t="shared" ref="BU84:BU147" si="125">IF(BS84-(BT84*BU$17)&gt;0,BS84-(BT84*BU$17),0)</f>
        <v>0</v>
      </c>
      <c r="BV84" s="168">
        <f t="shared" si="102"/>
        <v>0</v>
      </c>
      <c r="BW84" s="171">
        <f t="shared" si="103"/>
        <v>0</v>
      </c>
      <c r="BX84" s="170">
        <f t="shared" ref="BX84:BX147" si="126">IF(BV84-(BW84*BX$17)&gt;0,BV84-(BW84*BX$17),0)</f>
        <v>0</v>
      </c>
      <c r="BY84" s="168">
        <f t="shared" si="104"/>
        <v>0</v>
      </c>
      <c r="BZ84" s="171">
        <f t="shared" si="105"/>
        <v>0</v>
      </c>
      <c r="CA84" s="170">
        <f t="shared" ref="CA84:CA147" si="127">IF(BY84-(BZ84*CA$17)&gt;0,BY84-(BZ84*CA$17),0)</f>
        <v>0</v>
      </c>
      <c r="CB84" s="90">
        <f t="shared" si="106"/>
        <v>0</v>
      </c>
      <c r="CC84" s="171">
        <f t="shared" si="107"/>
        <v>0</v>
      </c>
      <c r="CD84" s="170">
        <f t="shared" ref="CD84:CD147" si="128">IF(CB84-(CC84*CD$17)&gt;0,CB84-(CC84*CD$17),0)</f>
        <v>0</v>
      </c>
      <c r="CE84" s="90">
        <f t="shared" si="108"/>
        <v>0</v>
      </c>
      <c r="CF84" s="171">
        <f t="shared" si="109"/>
        <v>0</v>
      </c>
      <c r="CG84" s="170">
        <f t="shared" ref="CG84:CG147" si="129">IF(CE84-(CF84*CG$17)&gt;0,CE84-(CF84*CG$17),0)</f>
        <v>0</v>
      </c>
      <c r="CH84" s="90">
        <f t="shared" si="110"/>
        <v>0</v>
      </c>
      <c r="CI84" s="171">
        <f t="shared" si="111"/>
        <v>0</v>
      </c>
      <c r="CJ84" s="170">
        <f t="shared" ref="CJ84:CJ147" si="130">IF(CH84-(CI84*CJ$17)&gt;0,CH84-(CI84*CJ$17),0)</f>
        <v>0</v>
      </c>
      <c r="CK84" s="90">
        <f t="shared" si="112"/>
        <v>0</v>
      </c>
      <c r="CL84" s="171">
        <f t="shared" si="113"/>
        <v>0</v>
      </c>
      <c r="CM84" s="170">
        <f t="shared" ref="CM84:CM147" si="131">IF(CK84-(CL84*CM$17)&gt;0,CK84-(CL84*CM$17),0)</f>
        <v>0</v>
      </c>
      <c r="CN84" s="90">
        <f t="shared" si="114"/>
        <v>0</v>
      </c>
      <c r="CO84" s="171">
        <f t="shared" si="115"/>
        <v>0</v>
      </c>
      <c r="CP84" s="170">
        <f t="shared" ref="CP84:CP147" si="132">IF(CN84-(CO84*CP$17)&gt;0,CN84-(CO84*CP$17),0)</f>
        <v>0</v>
      </c>
      <c r="CQ84" s="90">
        <f t="shared" si="116"/>
        <v>0</v>
      </c>
      <c r="CR84" s="171">
        <f t="shared" si="117"/>
        <v>0</v>
      </c>
      <c r="CS84" s="170">
        <f t="shared" ref="CS84:CS147" si="133">IF(CQ84-(CR84*CS$17)&gt;0,CQ84-(CR84*CS$17),0)</f>
        <v>0</v>
      </c>
      <c r="CT84" s="90">
        <f t="shared" si="118"/>
        <v>0</v>
      </c>
      <c r="CU84" s="171">
        <f t="shared" si="119"/>
        <v>0</v>
      </c>
      <c r="CV84" s="170">
        <f t="shared" ref="CV84:CV147" si="134">IF(CT84-(CU84*CV$17)&gt;0,CT84-(CU84*CV$17),0)</f>
        <v>0</v>
      </c>
      <c r="CW84" s="90">
        <f t="shared" si="120"/>
        <v>0</v>
      </c>
      <c r="CX84" s="171">
        <f t="shared" si="121"/>
        <v>0</v>
      </c>
      <c r="CY84" s="170">
        <f t="shared" ref="CY84:CY147" si="135">IF(CW84-(CX84*CY$17)&gt;0,CW84-(CX84*CY$17),0)</f>
        <v>0</v>
      </c>
      <c r="CZ84" s="168">
        <f t="shared" ref="CZ84:CZ147" si="136">BO84</f>
        <v>0</v>
      </c>
      <c r="DA84" s="172">
        <f t="shared" si="54"/>
        <v>0</v>
      </c>
      <c r="DB84" s="173">
        <f t="shared" si="55"/>
        <v>0</v>
      </c>
      <c r="DC84" s="172">
        <f t="shared" si="95"/>
        <v>0</v>
      </c>
      <c r="DD84" s="172">
        <f t="shared" si="95"/>
        <v>0</v>
      </c>
      <c r="DE84" s="172">
        <f t="shared" si="95"/>
        <v>0</v>
      </c>
      <c r="DF84" s="172">
        <f t="shared" si="57"/>
        <v>0</v>
      </c>
      <c r="DG84" s="1"/>
      <c r="DH84" s="1"/>
      <c r="DI84" s="3"/>
      <c r="DJ84" s="8"/>
      <c r="DK84" s="8"/>
      <c r="DL84" s="8"/>
      <c r="DM84" s="8"/>
      <c r="DN84" s="8"/>
      <c r="DO84" s="8"/>
      <c r="DP84" s="8"/>
      <c r="DQ84" s="3"/>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row>
    <row r="85" spans="1:155" s="565" customFormat="1" ht="12" hidden="1">
      <c r="A85" s="123"/>
      <c r="B85" s="722" t="s">
        <v>259</v>
      </c>
      <c r="C85" s="724"/>
      <c r="D85" s="263"/>
      <c r="E85" s="231"/>
      <c r="F85" s="255"/>
      <c r="G85" s="3"/>
      <c r="H85" s="70"/>
      <c r="I85" s="70"/>
      <c r="J85" s="70"/>
      <c r="K85" s="70"/>
      <c r="L85" s="70"/>
      <c r="M85" s="70"/>
      <c r="N85" s="71">
        <f>1-ISBLANK(E85)</f>
        <v>0</v>
      </c>
      <c r="O85" s="71">
        <f>1-(OR(ISBLANK(D85),D85=$DJ$62))</f>
        <v>0</v>
      </c>
      <c r="P85" s="71">
        <f>IF(N85+O85=1,1,0)</f>
        <v>0</v>
      </c>
      <c r="Q85" s="14"/>
      <c r="R85" s="14"/>
      <c r="S85" s="14"/>
      <c r="T85" s="14"/>
      <c r="U85" s="266">
        <f>IFERROR(VLOOKUP(D85,$DJ$62:$DN$65,5,FALSE)/60,0)</f>
        <v>0</v>
      </c>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45"/>
      <c r="BE85" s="165" t="s">
        <v>13</v>
      </c>
      <c r="BF85" s="23">
        <v>23</v>
      </c>
      <c r="BG85" s="23">
        <v>7</v>
      </c>
      <c r="BH85" s="23">
        <v>7</v>
      </c>
      <c r="BI85" s="90" t="b">
        <f t="shared" ref="BI85:BI148" si="137">BH85&lt;=5</f>
        <v>0</v>
      </c>
      <c r="BJ85" s="46" t="b">
        <f t="shared" si="96"/>
        <v>0</v>
      </c>
      <c r="BK85" s="166">
        <f t="shared" si="97"/>
        <v>0</v>
      </c>
      <c r="BL85" s="175">
        <f>IF(SUM(BL$79:BL84,BK85)&gt;$BL$4,0,BK85)</f>
        <v>0</v>
      </c>
      <c r="BM85" s="23">
        <f t="shared" si="122"/>
        <v>0</v>
      </c>
      <c r="BN85" s="90">
        <f t="shared" si="123"/>
        <v>0</v>
      </c>
      <c r="BO85" s="24">
        <f t="shared" si="59"/>
        <v>0</v>
      </c>
      <c r="BP85" s="168">
        <f t="shared" si="98"/>
        <v>0</v>
      </c>
      <c r="BQ85" s="171">
        <f t="shared" si="99"/>
        <v>0</v>
      </c>
      <c r="BR85" s="170">
        <f t="shared" si="124"/>
        <v>0</v>
      </c>
      <c r="BS85" s="168">
        <f t="shared" si="100"/>
        <v>0</v>
      </c>
      <c r="BT85" s="171">
        <f t="shared" si="101"/>
        <v>0</v>
      </c>
      <c r="BU85" s="170">
        <f t="shared" si="125"/>
        <v>0</v>
      </c>
      <c r="BV85" s="168">
        <f t="shared" si="102"/>
        <v>0</v>
      </c>
      <c r="BW85" s="171">
        <f t="shared" si="103"/>
        <v>0</v>
      </c>
      <c r="BX85" s="170">
        <f t="shared" si="126"/>
        <v>0</v>
      </c>
      <c r="BY85" s="168">
        <f t="shared" si="104"/>
        <v>0</v>
      </c>
      <c r="BZ85" s="171">
        <f t="shared" si="105"/>
        <v>0</v>
      </c>
      <c r="CA85" s="170">
        <f t="shared" si="127"/>
        <v>0</v>
      </c>
      <c r="CB85" s="90">
        <f t="shared" si="106"/>
        <v>0</v>
      </c>
      <c r="CC85" s="171">
        <f t="shared" si="107"/>
        <v>0</v>
      </c>
      <c r="CD85" s="170">
        <f t="shared" si="128"/>
        <v>0</v>
      </c>
      <c r="CE85" s="90">
        <f t="shared" si="108"/>
        <v>0</v>
      </c>
      <c r="CF85" s="171">
        <f t="shared" si="109"/>
        <v>0</v>
      </c>
      <c r="CG85" s="170">
        <f t="shared" si="129"/>
        <v>0</v>
      </c>
      <c r="CH85" s="90">
        <f t="shared" si="110"/>
        <v>0</v>
      </c>
      <c r="CI85" s="171">
        <f t="shared" si="111"/>
        <v>0</v>
      </c>
      <c r="CJ85" s="170">
        <f t="shared" si="130"/>
        <v>0</v>
      </c>
      <c r="CK85" s="90">
        <f t="shared" si="112"/>
        <v>0</v>
      </c>
      <c r="CL85" s="171">
        <f t="shared" si="113"/>
        <v>0</v>
      </c>
      <c r="CM85" s="170">
        <f t="shared" si="131"/>
        <v>0</v>
      </c>
      <c r="CN85" s="90">
        <f t="shared" si="114"/>
        <v>0</v>
      </c>
      <c r="CO85" s="171">
        <f t="shared" si="115"/>
        <v>0</v>
      </c>
      <c r="CP85" s="170">
        <f t="shared" si="132"/>
        <v>0</v>
      </c>
      <c r="CQ85" s="90">
        <f t="shared" si="116"/>
        <v>0</v>
      </c>
      <c r="CR85" s="171">
        <f t="shared" si="117"/>
        <v>0</v>
      </c>
      <c r="CS85" s="170">
        <f t="shared" si="133"/>
        <v>0</v>
      </c>
      <c r="CT85" s="90">
        <f t="shared" si="118"/>
        <v>0</v>
      </c>
      <c r="CU85" s="171">
        <f t="shared" si="119"/>
        <v>0</v>
      </c>
      <c r="CV85" s="170">
        <f t="shared" si="134"/>
        <v>0</v>
      </c>
      <c r="CW85" s="90">
        <f t="shared" si="120"/>
        <v>0</v>
      </c>
      <c r="CX85" s="171">
        <f t="shared" si="121"/>
        <v>0</v>
      </c>
      <c r="CY85" s="170">
        <f t="shared" si="135"/>
        <v>0</v>
      </c>
      <c r="CZ85" s="168">
        <f t="shared" si="136"/>
        <v>0</v>
      </c>
      <c r="DA85" s="172">
        <f t="shared" ref="DA85:DA148" si="138">BR85+BU85+BX85+CA85+CD85+CG85+CJ85+CM85+CP85+CS85+CV85+CY85</f>
        <v>0</v>
      </c>
      <c r="DB85" s="173">
        <f t="shared" ref="DB85:DB148" si="139">CZ85-DA85</f>
        <v>0</v>
      </c>
      <c r="DC85" s="172">
        <f t="shared" ref="DC85:DE100" si="140">IF(DC84+$DB85&lt;0,0,IF(DC84+$DB85&gt;$F$405,$F$405,DC84+$DB85))</f>
        <v>0</v>
      </c>
      <c r="DD85" s="172">
        <f t="shared" si="140"/>
        <v>0</v>
      </c>
      <c r="DE85" s="172">
        <f t="shared" si="140"/>
        <v>0</v>
      </c>
      <c r="DF85" s="172">
        <f t="shared" si="57"/>
        <v>0</v>
      </c>
      <c r="DG85" s="1"/>
      <c r="DH85" s="1"/>
      <c r="DI85" s="3"/>
      <c r="DJ85" s="8"/>
      <c r="DK85" s="8"/>
      <c r="DL85" s="8"/>
      <c r="DM85" s="8"/>
      <c r="DN85" s="8"/>
      <c r="DO85" s="8"/>
      <c r="DP85" s="8"/>
      <c r="DQ85" s="3"/>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row>
    <row r="86" spans="1:155" s="565" customFormat="1" ht="12" hidden="1" customHeight="1">
      <c r="A86" s="123"/>
      <c r="B86" s="728" t="str">
        <f>IF(F86&lt;&gt;1,$N$61,"")</f>
        <v/>
      </c>
      <c r="C86" s="728"/>
      <c r="D86" s="728"/>
      <c r="E86" s="728"/>
      <c r="F86" s="267">
        <f>SUM(F82:F85)</f>
        <v>1</v>
      </c>
      <c r="G86" s="268" t="str">
        <f>IF(SUM(P82:P85)&gt;0,N87,"")</f>
        <v>Please specify flow rate and controls for each different indoor tap type</v>
      </c>
      <c r="H86" s="70"/>
      <c r="I86" s="70"/>
      <c r="J86" s="70"/>
      <c r="K86" s="70"/>
      <c r="L86" s="70"/>
      <c r="M86" s="70"/>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45"/>
      <c r="BE86" s="165" t="s">
        <v>13</v>
      </c>
      <c r="BF86" s="23">
        <v>23</v>
      </c>
      <c r="BG86" s="23">
        <v>8</v>
      </c>
      <c r="BH86" s="23">
        <v>1</v>
      </c>
      <c r="BI86" s="90" t="b">
        <f t="shared" si="137"/>
        <v>1</v>
      </c>
      <c r="BJ86" s="46" t="b">
        <f t="shared" si="96"/>
        <v>1</v>
      </c>
      <c r="BK86" s="166">
        <f t="shared" si="97"/>
        <v>7</v>
      </c>
      <c r="BL86" s="175">
        <f>IF(SUM(BL$79:BL85,BK86)&gt;$BL$4,0,BK86)</f>
        <v>7</v>
      </c>
      <c r="BM86" s="23">
        <f t="shared" si="122"/>
        <v>0</v>
      </c>
      <c r="BN86" s="90">
        <f t="shared" si="123"/>
        <v>0</v>
      </c>
      <c r="BO86" s="24">
        <f t="shared" si="59"/>
        <v>0</v>
      </c>
      <c r="BP86" s="168">
        <f t="shared" si="98"/>
        <v>0</v>
      </c>
      <c r="BQ86" s="171">
        <f t="shared" si="99"/>
        <v>0</v>
      </c>
      <c r="BR86" s="170">
        <f t="shared" si="124"/>
        <v>0</v>
      </c>
      <c r="BS86" s="168">
        <f t="shared" si="100"/>
        <v>0</v>
      </c>
      <c r="BT86" s="171">
        <f t="shared" si="101"/>
        <v>0</v>
      </c>
      <c r="BU86" s="170">
        <f t="shared" si="125"/>
        <v>0</v>
      </c>
      <c r="BV86" s="168">
        <f t="shared" si="102"/>
        <v>0</v>
      </c>
      <c r="BW86" s="171">
        <f t="shared" si="103"/>
        <v>0</v>
      </c>
      <c r="BX86" s="170">
        <f t="shared" si="126"/>
        <v>0</v>
      </c>
      <c r="BY86" s="168">
        <f t="shared" si="104"/>
        <v>0</v>
      </c>
      <c r="BZ86" s="171">
        <f t="shared" si="105"/>
        <v>0</v>
      </c>
      <c r="CA86" s="170">
        <f t="shared" si="127"/>
        <v>0</v>
      </c>
      <c r="CB86" s="90">
        <f t="shared" si="106"/>
        <v>0</v>
      </c>
      <c r="CC86" s="171">
        <f t="shared" si="107"/>
        <v>0</v>
      </c>
      <c r="CD86" s="170">
        <f t="shared" si="128"/>
        <v>0</v>
      </c>
      <c r="CE86" s="90">
        <f t="shared" si="108"/>
        <v>0</v>
      </c>
      <c r="CF86" s="171">
        <f t="shared" si="109"/>
        <v>0</v>
      </c>
      <c r="CG86" s="170">
        <f t="shared" si="129"/>
        <v>0</v>
      </c>
      <c r="CH86" s="90">
        <f t="shared" si="110"/>
        <v>0</v>
      </c>
      <c r="CI86" s="171">
        <f t="shared" si="111"/>
        <v>0</v>
      </c>
      <c r="CJ86" s="170">
        <f t="shared" si="130"/>
        <v>0</v>
      </c>
      <c r="CK86" s="90">
        <f t="shared" si="112"/>
        <v>0</v>
      </c>
      <c r="CL86" s="171">
        <f t="shared" si="113"/>
        <v>0</v>
      </c>
      <c r="CM86" s="170">
        <f t="shared" si="131"/>
        <v>0</v>
      </c>
      <c r="CN86" s="90">
        <f t="shared" si="114"/>
        <v>0</v>
      </c>
      <c r="CO86" s="171">
        <f t="shared" si="115"/>
        <v>0</v>
      </c>
      <c r="CP86" s="170">
        <f t="shared" si="132"/>
        <v>0</v>
      </c>
      <c r="CQ86" s="90">
        <f t="shared" si="116"/>
        <v>0</v>
      </c>
      <c r="CR86" s="171">
        <f t="shared" si="117"/>
        <v>0</v>
      </c>
      <c r="CS86" s="170">
        <f t="shared" si="133"/>
        <v>0</v>
      </c>
      <c r="CT86" s="90">
        <f t="shared" si="118"/>
        <v>0</v>
      </c>
      <c r="CU86" s="171">
        <f t="shared" si="119"/>
        <v>0</v>
      </c>
      <c r="CV86" s="170">
        <f t="shared" si="134"/>
        <v>0</v>
      </c>
      <c r="CW86" s="90">
        <f t="shared" si="120"/>
        <v>0</v>
      </c>
      <c r="CX86" s="171">
        <f t="shared" si="121"/>
        <v>0</v>
      </c>
      <c r="CY86" s="170">
        <f t="shared" si="135"/>
        <v>0</v>
      </c>
      <c r="CZ86" s="168">
        <f t="shared" si="136"/>
        <v>0</v>
      </c>
      <c r="DA86" s="172">
        <f t="shared" si="138"/>
        <v>0</v>
      </c>
      <c r="DB86" s="173">
        <f t="shared" si="139"/>
        <v>0</v>
      </c>
      <c r="DC86" s="172">
        <f t="shared" si="140"/>
        <v>0</v>
      </c>
      <c r="DD86" s="172">
        <f t="shared" si="140"/>
        <v>0</v>
      </c>
      <c r="DE86" s="172">
        <f t="shared" si="140"/>
        <v>0</v>
      </c>
      <c r="DF86" s="172">
        <f t="shared" ref="DF86:DF149" si="141">IF(DA86-(DE85+CZ86)&lt;0,0,DA86-(DE85+CZ86))</f>
        <v>0</v>
      </c>
      <c r="DG86" s="1"/>
      <c r="DH86" s="1"/>
      <c r="DI86" s="3"/>
      <c r="DJ86" s="8"/>
      <c r="DK86" s="8"/>
      <c r="DL86" s="8"/>
      <c r="DM86" s="8"/>
      <c r="DN86" s="8"/>
      <c r="DO86" s="8"/>
      <c r="DP86" s="8"/>
      <c r="DQ86" s="3"/>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row>
    <row r="87" spans="1:155" s="565" customFormat="1" ht="12">
      <c r="A87" s="123"/>
      <c r="B87" s="714"/>
      <c r="C87" s="714"/>
      <c r="D87" s="714"/>
      <c r="E87" s="714"/>
      <c r="F87" s="248"/>
      <c r="G87" s="70"/>
      <c r="H87" s="70"/>
      <c r="I87" s="70"/>
      <c r="J87" s="70"/>
      <c r="K87" s="70"/>
      <c r="L87" s="70"/>
      <c r="M87" s="70"/>
      <c r="N87" s="14" t="s">
        <v>260</v>
      </c>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45"/>
      <c r="BE87" s="165" t="s">
        <v>13</v>
      </c>
      <c r="BF87" s="23">
        <v>23</v>
      </c>
      <c r="BG87" s="23">
        <v>9</v>
      </c>
      <c r="BH87" s="23">
        <v>2</v>
      </c>
      <c r="BI87" s="90" t="b">
        <f t="shared" si="137"/>
        <v>1</v>
      </c>
      <c r="BJ87" s="46" t="b">
        <f t="shared" si="96"/>
        <v>0</v>
      </c>
      <c r="BK87" s="166">
        <f t="shared" si="97"/>
        <v>0</v>
      </c>
      <c r="BL87" s="175">
        <f>IF(SUM(BL$79:BL86,BK87)&gt;$BL$4,0,BK87)</f>
        <v>0</v>
      </c>
      <c r="BM87" s="23">
        <f t="shared" si="122"/>
        <v>0</v>
      </c>
      <c r="BN87" s="90">
        <f t="shared" si="123"/>
        <v>0</v>
      </c>
      <c r="BO87" s="24">
        <f t="shared" si="59"/>
        <v>0</v>
      </c>
      <c r="BP87" s="168">
        <f t="shared" si="98"/>
        <v>0</v>
      </c>
      <c r="BQ87" s="171">
        <f t="shared" si="99"/>
        <v>0</v>
      </c>
      <c r="BR87" s="170">
        <f t="shared" si="124"/>
        <v>0</v>
      </c>
      <c r="BS87" s="168">
        <f t="shared" si="100"/>
        <v>0</v>
      </c>
      <c r="BT87" s="171">
        <f t="shared" si="101"/>
        <v>0</v>
      </c>
      <c r="BU87" s="170">
        <f t="shared" si="125"/>
        <v>0</v>
      </c>
      <c r="BV87" s="168">
        <f t="shared" si="102"/>
        <v>0</v>
      </c>
      <c r="BW87" s="171">
        <f t="shared" si="103"/>
        <v>0</v>
      </c>
      <c r="BX87" s="170">
        <f t="shared" si="126"/>
        <v>0</v>
      </c>
      <c r="BY87" s="168">
        <f t="shared" si="104"/>
        <v>0</v>
      </c>
      <c r="BZ87" s="171">
        <f t="shared" si="105"/>
        <v>0</v>
      </c>
      <c r="CA87" s="170">
        <f t="shared" si="127"/>
        <v>0</v>
      </c>
      <c r="CB87" s="90">
        <f t="shared" si="106"/>
        <v>0</v>
      </c>
      <c r="CC87" s="171">
        <f t="shared" si="107"/>
        <v>0</v>
      </c>
      <c r="CD87" s="170">
        <f t="shared" si="128"/>
        <v>0</v>
      </c>
      <c r="CE87" s="90">
        <f t="shared" si="108"/>
        <v>0</v>
      </c>
      <c r="CF87" s="171">
        <f t="shared" si="109"/>
        <v>0</v>
      </c>
      <c r="CG87" s="170">
        <f t="shared" si="129"/>
        <v>0</v>
      </c>
      <c r="CH87" s="90">
        <f t="shared" si="110"/>
        <v>0</v>
      </c>
      <c r="CI87" s="171">
        <f t="shared" si="111"/>
        <v>0</v>
      </c>
      <c r="CJ87" s="170">
        <f t="shared" si="130"/>
        <v>0</v>
      </c>
      <c r="CK87" s="90">
        <f t="shared" si="112"/>
        <v>0</v>
      </c>
      <c r="CL87" s="171">
        <f t="shared" si="113"/>
        <v>0</v>
      </c>
      <c r="CM87" s="170">
        <f t="shared" si="131"/>
        <v>0</v>
      </c>
      <c r="CN87" s="90">
        <f t="shared" si="114"/>
        <v>0</v>
      </c>
      <c r="CO87" s="171">
        <f t="shared" si="115"/>
        <v>0</v>
      </c>
      <c r="CP87" s="170">
        <f t="shared" si="132"/>
        <v>0</v>
      </c>
      <c r="CQ87" s="90">
        <f t="shared" si="116"/>
        <v>0</v>
      </c>
      <c r="CR87" s="171">
        <f t="shared" si="117"/>
        <v>0</v>
      </c>
      <c r="CS87" s="170">
        <f t="shared" si="133"/>
        <v>0</v>
      </c>
      <c r="CT87" s="90">
        <f t="shared" si="118"/>
        <v>0</v>
      </c>
      <c r="CU87" s="171">
        <f t="shared" si="119"/>
        <v>0</v>
      </c>
      <c r="CV87" s="170">
        <f t="shared" si="134"/>
        <v>0</v>
      </c>
      <c r="CW87" s="90">
        <f t="shared" si="120"/>
        <v>0</v>
      </c>
      <c r="CX87" s="171">
        <f t="shared" si="121"/>
        <v>0</v>
      </c>
      <c r="CY87" s="170">
        <f t="shared" si="135"/>
        <v>0</v>
      </c>
      <c r="CZ87" s="168">
        <f t="shared" si="136"/>
        <v>0</v>
      </c>
      <c r="DA87" s="172">
        <f t="shared" si="138"/>
        <v>0</v>
      </c>
      <c r="DB87" s="173">
        <f t="shared" si="139"/>
        <v>0</v>
      </c>
      <c r="DC87" s="172">
        <f t="shared" si="140"/>
        <v>0</v>
      </c>
      <c r="DD87" s="172">
        <f t="shared" si="140"/>
        <v>0</v>
      </c>
      <c r="DE87" s="172">
        <f t="shared" si="140"/>
        <v>0</v>
      </c>
      <c r="DF87" s="172">
        <f t="shared" si="141"/>
        <v>0</v>
      </c>
      <c r="DG87" s="1"/>
      <c r="DH87" s="1"/>
      <c r="DI87" s="3"/>
      <c r="DJ87" s="8"/>
      <c r="DK87" s="8"/>
      <c r="DL87" s="8"/>
      <c r="DM87" s="8"/>
      <c r="DN87" s="8"/>
      <c r="DO87" s="8"/>
      <c r="DP87" s="8"/>
      <c r="DQ87" s="3"/>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row>
    <row r="88" spans="1:155" s="565" customFormat="1" ht="12">
      <c r="A88" s="181"/>
      <c r="B88" s="714" t="s">
        <v>227</v>
      </c>
      <c r="C88" s="714"/>
      <c r="D88" s="714"/>
      <c r="E88" s="714"/>
      <c r="F88" s="248">
        <f>AA62</f>
        <v>0</v>
      </c>
      <c r="G88" s="70"/>
      <c r="H88" s="70"/>
      <c r="I88" s="70"/>
      <c r="J88" s="70"/>
      <c r="K88" s="70"/>
      <c r="L88" s="70"/>
      <c r="M88" s="70"/>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45"/>
      <c r="BE88" s="165" t="s">
        <v>13</v>
      </c>
      <c r="BF88" s="23">
        <v>23</v>
      </c>
      <c r="BG88" s="23">
        <v>10</v>
      </c>
      <c r="BH88" s="23">
        <v>3</v>
      </c>
      <c r="BI88" s="90" t="b">
        <f t="shared" si="137"/>
        <v>1</v>
      </c>
      <c r="BJ88" s="46" t="b">
        <f t="shared" si="96"/>
        <v>1</v>
      </c>
      <c r="BK88" s="166">
        <f t="shared" si="97"/>
        <v>7</v>
      </c>
      <c r="BL88" s="175">
        <f>IF(SUM(BL$79:BL87,BK88)&gt;$BL$4,0,BK88)</f>
        <v>7</v>
      </c>
      <c r="BM88" s="23">
        <f t="shared" si="122"/>
        <v>0</v>
      </c>
      <c r="BN88" s="90">
        <f t="shared" si="123"/>
        <v>0</v>
      </c>
      <c r="BO88" s="24">
        <f t="shared" si="59"/>
        <v>0</v>
      </c>
      <c r="BP88" s="168">
        <f t="shared" si="98"/>
        <v>0</v>
      </c>
      <c r="BQ88" s="171">
        <f t="shared" si="99"/>
        <v>0</v>
      </c>
      <c r="BR88" s="170">
        <f t="shared" si="124"/>
        <v>0</v>
      </c>
      <c r="BS88" s="168">
        <f t="shared" si="100"/>
        <v>0</v>
      </c>
      <c r="BT88" s="171">
        <f t="shared" si="101"/>
        <v>0</v>
      </c>
      <c r="BU88" s="170">
        <f t="shared" si="125"/>
        <v>0</v>
      </c>
      <c r="BV88" s="168">
        <f t="shared" si="102"/>
        <v>0</v>
      </c>
      <c r="BW88" s="171">
        <f t="shared" si="103"/>
        <v>0</v>
      </c>
      <c r="BX88" s="170">
        <f t="shared" si="126"/>
        <v>0</v>
      </c>
      <c r="BY88" s="168">
        <f t="shared" si="104"/>
        <v>0</v>
      </c>
      <c r="BZ88" s="171">
        <f t="shared" si="105"/>
        <v>0</v>
      </c>
      <c r="CA88" s="170">
        <f t="shared" si="127"/>
        <v>0</v>
      </c>
      <c r="CB88" s="90">
        <f t="shared" si="106"/>
        <v>0</v>
      </c>
      <c r="CC88" s="171">
        <f t="shared" si="107"/>
        <v>0</v>
      </c>
      <c r="CD88" s="170">
        <f t="shared" si="128"/>
        <v>0</v>
      </c>
      <c r="CE88" s="90">
        <f t="shared" si="108"/>
        <v>0</v>
      </c>
      <c r="CF88" s="171">
        <f t="shared" si="109"/>
        <v>0</v>
      </c>
      <c r="CG88" s="170">
        <f t="shared" si="129"/>
        <v>0</v>
      </c>
      <c r="CH88" s="90">
        <f t="shared" si="110"/>
        <v>0</v>
      </c>
      <c r="CI88" s="171">
        <f t="shared" si="111"/>
        <v>0</v>
      </c>
      <c r="CJ88" s="170">
        <f t="shared" si="130"/>
        <v>0</v>
      </c>
      <c r="CK88" s="90">
        <f t="shared" si="112"/>
        <v>0</v>
      </c>
      <c r="CL88" s="171">
        <f t="shared" si="113"/>
        <v>0</v>
      </c>
      <c r="CM88" s="170">
        <f t="shared" si="131"/>
        <v>0</v>
      </c>
      <c r="CN88" s="90">
        <f t="shared" si="114"/>
        <v>0</v>
      </c>
      <c r="CO88" s="171">
        <f t="shared" si="115"/>
        <v>0</v>
      </c>
      <c r="CP88" s="170">
        <f t="shared" si="132"/>
        <v>0</v>
      </c>
      <c r="CQ88" s="90">
        <f t="shared" si="116"/>
        <v>0</v>
      </c>
      <c r="CR88" s="171">
        <f t="shared" si="117"/>
        <v>0</v>
      </c>
      <c r="CS88" s="170">
        <f t="shared" si="133"/>
        <v>0</v>
      </c>
      <c r="CT88" s="90">
        <f t="shared" si="118"/>
        <v>0</v>
      </c>
      <c r="CU88" s="171">
        <f t="shared" si="119"/>
        <v>0</v>
      </c>
      <c r="CV88" s="170">
        <f t="shared" si="134"/>
        <v>0</v>
      </c>
      <c r="CW88" s="90">
        <f t="shared" si="120"/>
        <v>0</v>
      </c>
      <c r="CX88" s="171">
        <f t="shared" si="121"/>
        <v>0</v>
      </c>
      <c r="CY88" s="170">
        <f t="shared" si="135"/>
        <v>0</v>
      </c>
      <c r="CZ88" s="168">
        <f t="shared" si="136"/>
        <v>0</v>
      </c>
      <c r="DA88" s="172">
        <f t="shared" si="138"/>
        <v>0</v>
      </c>
      <c r="DB88" s="173">
        <f t="shared" si="139"/>
        <v>0</v>
      </c>
      <c r="DC88" s="172">
        <f t="shared" si="140"/>
        <v>0</v>
      </c>
      <c r="DD88" s="172">
        <f t="shared" si="140"/>
        <v>0</v>
      </c>
      <c r="DE88" s="172">
        <f t="shared" si="140"/>
        <v>0</v>
      </c>
      <c r="DF88" s="172">
        <f t="shared" si="141"/>
        <v>0</v>
      </c>
      <c r="DG88" s="1"/>
      <c r="DH88" s="1"/>
      <c r="DI88" s="3"/>
      <c r="DJ88" s="8"/>
      <c r="DK88" s="8"/>
      <c r="DL88" s="8"/>
      <c r="DM88" s="8"/>
      <c r="DN88" s="8"/>
      <c r="DO88" s="8"/>
      <c r="DP88" s="8"/>
      <c r="DQ88" s="3"/>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row>
    <row r="89" spans="1:155" s="565" customFormat="1" ht="12">
      <c r="A89" s="181"/>
      <c r="B89" s="3"/>
      <c r="C89" s="3"/>
      <c r="D89" s="3"/>
      <c r="E89" s="3"/>
      <c r="F89" s="3"/>
      <c r="G89" s="70"/>
      <c r="H89" s="70"/>
      <c r="I89" s="3"/>
      <c r="J89" s="3"/>
      <c r="K89" s="3"/>
      <c r="L89" s="3"/>
      <c r="M89" s="3"/>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45"/>
      <c r="BE89" s="165" t="s">
        <v>13</v>
      </c>
      <c r="BF89" s="23">
        <v>23</v>
      </c>
      <c r="BG89" s="23">
        <v>11</v>
      </c>
      <c r="BH89" s="23">
        <v>4</v>
      </c>
      <c r="BI89" s="90" t="b">
        <f t="shared" si="137"/>
        <v>1</v>
      </c>
      <c r="BJ89" s="46" t="b">
        <f t="shared" si="96"/>
        <v>0</v>
      </c>
      <c r="BK89" s="166">
        <f t="shared" si="97"/>
        <v>0</v>
      </c>
      <c r="BL89" s="175">
        <f>IF(SUM(BL$79:BL88,BK89)&gt;$BL$4,0,BK89)</f>
        <v>0</v>
      </c>
      <c r="BM89" s="23">
        <f t="shared" si="122"/>
        <v>0</v>
      </c>
      <c r="BN89" s="90">
        <f t="shared" si="123"/>
        <v>0</v>
      </c>
      <c r="BO89" s="24">
        <f t="shared" ref="BO89:BO152" si="142">BM89-BN89</f>
        <v>0</v>
      </c>
      <c r="BP89" s="168">
        <f t="shared" si="98"/>
        <v>0</v>
      </c>
      <c r="BQ89" s="171">
        <f t="shared" si="99"/>
        <v>0</v>
      </c>
      <c r="BR89" s="170">
        <f t="shared" si="124"/>
        <v>0</v>
      </c>
      <c r="BS89" s="168">
        <f t="shared" si="100"/>
        <v>0</v>
      </c>
      <c r="BT89" s="171">
        <f t="shared" si="101"/>
        <v>0</v>
      </c>
      <c r="BU89" s="170">
        <f t="shared" si="125"/>
        <v>0</v>
      </c>
      <c r="BV89" s="168">
        <f t="shared" si="102"/>
        <v>0</v>
      </c>
      <c r="BW89" s="171">
        <f t="shared" si="103"/>
        <v>0</v>
      </c>
      <c r="BX89" s="170">
        <f t="shared" si="126"/>
        <v>0</v>
      </c>
      <c r="BY89" s="168">
        <f t="shared" si="104"/>
        <v>0</v>
      </c>
      <c r="BZ89" s="171">
        <f t="shared" si="105"/>
        <v>0</v>
      </c>
      <c r="CA89" s="170">
        <f t="shared" si="127"/>
        <v>0</v>
      </c>
      <c r="CB89" s="90">
        <f t="shared" si="106"/>
        <v>0</v>
      </c>
      <c r="CC89" s="171">
        <f t="shared" si="107"/>
        <v>0</v>
      </c>
      <c r="CD89" s="170">
        <f t="shared" si="128"/>
        <v>0</v>
      </c>
      <c r="CE89" s="90">
        <f t="shared" si="108"/>
        <v>0</v>
      </c>
      <c r="CF89" s="171">
        <f t="shared" si="109"/>
        <v>0</v>
      </c>
      <c r="CG89" s="170">
        <f t="shared" si="129"/>
        <v>0</v>
      </c>
      <c r="CH89" s="90">
        <f t="shared" si="110"/>
        <v>0</v>
      </c>
      <c r="CI89" s="171">
        <f t="shared" si="111"/>
        <v>0</v>
      </c>
      <c r="CJ89" s="170">
        <f t="shared" si="130"/>
        <v>0</v>
      </c>
      <c r="CK89" s="90">
        <f t="shared" si="112"/>
        <v>0</v>
      </c>
      <c r="CL89" s="171">
        <f t="shared" si="113"/>
        <v>0</v>
      </c>
      <c r="CM89" s="170">
        <f t="shared" si="131"/>
        <v>0</v>
      </c>
      <c r="CN89" s="90">
        <f t="shared" si="114"/>
        <v>0</v>
      </c>
      <c r="CO89" s="171">
        <f t="shared" si="115"/>
        <v>0</v>
      </c>
      <c r="CP89" s="170">
        <f t="shared" si="132"/>
        <v>0</v>
      </c>
      <c r="CQ89" s="90">
        <f t="shared" si="116"/>
        <v>0</v>
      </c>
      <c r="CR89" s="171">
        <f t="shared" si="117"/>
        <v>0</v>
      </c>
      <c r="CS89" s="170">
        <f t="shared" si="133"/>
        <v>0</v>
      </c>
      <c r="CT89" s="90">
        <f t="shared" si="118"/>
        <v>0</v>
      </c>
      <c r="CU89" s="171">
        <f t="shared" si="119"/>
        <v>0</v>
      </c>
      <c r="CV89" s="170">
        <f t="shared" si="134"/>
        <v>0</v>
      </c>
      <c r="CW89" s="90">
        <f t="shared" si="120"/>
        <v>0</v>
      </c>
      <c r="CX89" s="171">
        <f t="shared" si="121"/>
        <v>0</v>
      </c>
      <c r="CY89" s="170">
        <f t="shared" si="135"/>
        <v>0</v>
      </c>
      <c r="CZ89" s="168">
        <f t="shared" si="136"/>
        <v>0</v>
      </c>
      <c r="DA89" s="172">
        <f t="shared" si="138"/>
        <v>0</v>
      </c>
      <c r="DB89" s="173">
        <f t="shared" si="139"/>
        <v>0</v>
      </c>
      <c r="DC89" s="172">
        <f t="shared" si="140"/>
        <v>0</v>
      </c>
      <c r="DD89" s="172">
        <f t="shared" si="140"/>
        <v>0</v>
      </c>
      <c r="DE89" s="172">
        <f t="shared" si="140"/>
        <v>0</v>
      </c>
      <c r="DF89" s="172">
        <f t="shared" si="141"/>
        <v>0</v>
      </c>
      <c r="DG89" s="1"/>
      <c r="DH89" s="1"/>
      <c r="DI89" s="3"/>
      <c r="DJ89" s="8"/>
      <c r="DK89" s="8"/>
      <c r="DL89" s="8"/>
      <c r="DM89" s="8"/>
      <c r="DN89" s="8"/>
      <c r="DO89" s="8"/>
      <c r="DP89" s="8"/>
      <c r="DQ89" s="3"/>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row>
    <row r="90" spans="1:155" s="565" customFormat="1" ht="32.25" customHeight="1">
      <c r="A90" s="181"/>
      <c r="B90" s="222" t="s">
        <v>108</v>
      </c>
      <c r="C90" s="222"/>
      <c r="D90" s="222"/>
      <c r="E90" s="222"/>
      <c r="F90" s="222"/>
      <c r="G90" s="70"/>
      <c r="H90" s="597" t="str">
        <f>IF(E91=DJ78,DL78,"")</f>
        <v/>
      </c>
      <c r="I90" s="70"/>
      <c r="J90" s="70"/>
      <c r="K90" s="70"/>
      <c r="L90" s="70"/>
      <c r="M90" s="70"/>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45"/>
      <c r="BE90" s="165" t="s">
        <v>13</v>
      </c>
      <c r="BF90" s="23">
        <v>23</v>
      </c>
      <c r="BG90" s="23">
        <v>12</v>
      </c>
      <c r="BH90" s="23">
        <v>5</v>
      </c>
      <c r="BI90" s="90" t="b">
        <f t="shared" si="137"/>
        <v>1</v>
      </c>
      <c r="BJ90" s="46" t="b">
        <f t="shared" si="96"/>
        <v>1</v>
      </c>
      <c r="BK90" s="166">
        <f t="shared" si="97"/>
        <v>7</v>
      </c>
      <c r="BL90" s="175">
        <f>IF(SUM(BL$79:BL89,BK90)&gt;$BL$4,0,BK90)</f>
        <v>7</v>
      </c>
      <c r="BM90" s="23">
        <f t="shared" si="122"/>
        <v>0</v>
      </c>
      <c r="BN90" s="90">
        <f t="shared" si="123"/>
        <v>0</v>
      </c>
      <c r="BO90" s="24">
        <f t="shared" si="142"/>
        <v>0</v>
      </c>
      <c r="BP90" s="168">
        <f t="shared" si="98"/>
        <v>0</v>
      </c>
      <c r="BQ90" s="171">
        <f t="shared" si="99"/>
        <v>0</v>
      </c>
      <c r="BR90" s="170">
        <f t="shared" si="124"/>
        <v>0</v>
      </c>
      <c r="BS90" s="168">
        <f t="shared" si="100"/>
        <v>0</v>
      </c>
      <c r="BT90" s="171">
        <f t="shared" si="101"/>
        <v>0</v>
      </c>
      <c r="BU90" s="170">
        <f t="shared" si="125"/>
        <v>0</v>
      </c>
      <c r="BV90" s="168">
        <f t="shared" si="102"/>
        <v>0</v>
      </c>
      <c r="BW90" s="171">
        <f t="shared" si="103"/>
        <v>0</v>
      </c>
      <c r="BX90" s="170">
        <f t="shared" si="126"/>
        <v>0</v>
      </c>
      <c r="BY90" s="168">
        <f t="shared" si="104"/>
        <v>0</v>
      </c>
      <c r="BZ90" s="171">
        <f t="shared" si="105"/>
        <v>0</v>
      </c>
      <c r="CA90" s="170">
        <f t="shared" si="127"/>
        <v>0</v>
      </c>
      <c r="CB90" s="90">
        <f t="shared" si="106"/>
        <v>0</v>
      </c>
      <c r="CC90" s="171">
        <f t="shared" si="107"/>
        <v>0</v>
      </c>
      <c r="CD90" s="170">
        <f t="shared" si="128"/>
        <v>0</v>
      </c>
      <c r="CE90" s="90">
        <f t="shared" si="108"/>
        <v>0</v>
      </c>
      <c r="CF90" s="171">
        <f t="shared" si="109"/>
        <v>0</v>
      </c>
      <c r="CG90" s="170">
        <f t="shared" si="129"/>
        <v>0</v>
      </c>
      <c r="CH90" s="90">
        <f t="shared" si="110"/>
        <v>0</v>
      </c>
      <c r="CI90" s="171">
        <f t="shared" si="111"/>
        <v>0</v>
      </c>
      <c r="CJ90" s="170">
        <f t="shared" si="130"/>
        <v>0</v>
      </c>
      <c r="CK90" s="90">
        <f t="shared" si="112"/>
        <v>0</v>
      </c>
      <c r="CL90" s="171">
        <f t="shared" si="113"/>
        <v>0</v>
      </c>
      <c r="CM90" s="170">
        <f t="shared" si="131"/>
        <v>0</v>
      </c>
      <c r="CN90" s="90">
        <f t="shared" si="114"/>
        <v>0</v>
      </c>
      <c r="CO90" s="171">
        <f t="shared" si="115"/>
        <v>0</v>
      </c>
      <c r="CP90" s="170">
        <f t="shared" si="132"/>
        <v>0</v>
      </c>
      <c r="CQ90" s="90">
        <f t="shared" si="116"/>
        <v>0</v>
      </c>
      <c r="CR90" s="171">
        <f t="shared" si="117"/>
        <v>0</v>
      </c>
      <c r="CS90" s="170">
        <f t="shared" si="133"/>
        <v>0</v>
      </c>
      <c r="CT90" s="90">
        <f t="shared" si="118"/>
        <v>0</v>
      </c>
      <c r="CU90" s="171">
        <f t="shared" si="119"/>
        <v>0</v>
      </c>
      <c r="CV90" s="170">
        <f t="shared" si="134"/>
        <v>0</v>
      </c>
      <c r="CW90" s="90">
        <f t="shared" si="120"/>
        <v>0</v>
      </c>
      <c r="CX90" s="171">
        <f t="shared" si="121"/>
        <v>0</v>
      </c>
      <c r="CY90" s="170">
        <f t="shared" si="135"/>
        <v>0</v>
      </c>
      <c r="CZ90" s="168">
        <f t="shared" si="136"/>
        <v>0</v>
      </c>
      <c r="DA90" s="172">
        <f t="shared" si="138"/>
        <v>0</v>
      </c>
      <c r="DB90" s="173">
        <f t="shared" si="139"/>
        <v>0</v>
      </c>
      <c r="DC90" s="172">
        <f t="shared" si="140"/>
        <v>0</v>
      </c>
      <c r="DD90" s="172">
        <f t="shared" si="140"/>
        <v>0</v>
      </c>
      <c r="DE90" s="172">
        <f t="shared" si="140"/>
        <v>0</v>
      </c>
      <c r="DF90" s="172">
        <f t="shared" si="141"/>
        <v>0</v>
      </c>
      <c r="DG90" s="1"/>
      <c r="DH90" s="1"/>
      <c r="DI90" s="3"/>
      <c r="DJ90" s="8"/>
      <c r="DK90" s="8"/>
      <c r="DL90" s="8"/>
      <c r="DM90" s="8"/>
      <c r="DN90" s="8"/>
      <c r="DO90" s="8"/>
      <c r="DP90" s="8"/>
      <c r="DQ90" s="3"/>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row>
    <row r="91" spans="1:155" s="565" customFormat="1" ht="28.5" hidden="1" customHeight="1">
      <c r="A91" s="230"/>
      <c r="B91" s="717"/>
      <c r="C91" s="717"/>
      <c r="D91" s="729"/>
      <c r="E91" s="730"/>
      <c r="F91" s="731"/>
      <c r="G91" s="598" t="s">
        <v>261</v>
      </c>
      <c r="H91" s="598"/>
      <c r="I91" s="70"/>
      <c r="J91" s="70"/>
      <c r="K91" s="70"/>
      <c r="L91" s="70"/>
      <c r="M91" s="70"/>
      <c r="N91" s="14" t="s">
        <v>262</v>
      </c>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45"/>
      <c r="BE91" s="165" t="s">
        <v>13</v>
      </c>
      <c r="BF91" s="23">
        <v>23</v>
      </c>
      <c r="BG91" s="23">
        <v>13</v>
      </c>
      <c r="BH91" s="23">
        <v>6</v>
      </c>
      <c r="BI91" s="90" t="b">
        <f t="shared" si="137"/>
        <v>0</v>
      </c>
      <c r="BJ91" s="46" t="b">
        <f t="shared" si="96"/>
        <v>0</v>
      </c>
      <c r="BK91" s="166">
        <f t="shared" si="97"/>
        <v>0</v>
      </c>
      <c r="BL91" s="175">
        <f>IF(SUM(BL$79:BL90,BK91)&gt;$BL$4,0,BK91)</f>
        <v>0</v>
      </c>
      <c r="BM91" s="23">
        <f t="shared" si="122"/>
        <v>0</v>
      </c>
      <c r="BN91" s="90">
        <f t="shared" si="123"/>
        <v>0</v>
      </c>
      <c r="BO91" s="24">
        <f t="shared" si="142"/>
        <v>0</v>
      </c>
      <c r="BP91" s="168">
        <f t="shared" si="98"/>
        <v>0</v>
      </c>
      <c r="BQ91" s="171">
        <f t="shared" si="99"/>
        <v>0</v>
      </c>
      <c r="BR91" s="170">
        <f t="shared" si="124"/>
        <v>0</v>
      </c>
      <c r="BS91" s="168">
        <f t="shared" si="100"/>
        <v>0</v>
      </c>
      <c r="BT91" s="171">
        <f t="shared" si="101"/>
        <v>0</v>
      </c>
      <c r="BU91" s="170">
        <f t="shared" si="125"/>
        <v>0</v>
      </c>
      <c r="BV91" s="168">
        <f t="shared" si="102"/>
        <v>0</v>
      </c>
      <c r="BW91" s="171">
        <f t="shared" si="103"/>
        <v>0</v>
      </c>
      <c r="BX91" s="170">
        <f t="shared" si="126"/>
        <v>0</v>
      </c>
      <c r="BY91" s="168">
        <f t="shared" si="104"/>
        <v>0</v>
      </c>
      <c r="BZ91" s="171">
        <f t="shared" si="105"/>
        <v>0</v>
      </c>
      <c r="CA91" s="170">
        <f t="shared" si="127"/>
        <v>0</v>
      </c>
      <c r="CB91" s="90">
        <f t="shared" si="106"/>
        <v>0</v>
      </c>
      <c r="CC91" s="171">
        <f t="shared" si="107"/>
        <v>0</v>
      </c>
      <c r="CD91" s="170">
        <f t="shared" si="128"/>
        <v>0</v>
      </c>
      <c r="CE91" s="90">
        <f t="shared" si="108"/>
        <v>0</v>
      </c>
      <c r="CF91" s="171">
        <f t="shared" si="109"/>
        <v>0</v>
      </c>
      <c r="CG91" s="170">
        <f t="shared" si="129"/>
        <v>0</v>
      </c>
      <c r="CH91" s="90">
        <f t="shared" si="110"/>
        <v>0</v>
      </c>
      <c r="CI91" s="171">
        <f t="shared" si="111"/>
        <v>0</v>
      </c>
      <c r="CJ91" s="170">
        <f t="shared" si="130"/>
        <v>0</v>
      </c>
      <c r="CK91" s="90">
        <f t="shared" si="112"/>
        <v>0</v>
      </c>
      <c r="CL91" s="171">
        <f t="shared" si="113"/>
        <v>0</v>
      </c>
      <c r="CM91" s="170">
        <f t="shared" si="131"/>
        <v>0</v>
      </c>
      <c r="CN91" s="90">
        <f t="shared" si="114"/>
        <v>0</v>
      </c>
      <c r="CO91" s="171">
        <f t="shared" si="115"/>
        <v>0</v>
      </c>
      <c r="CP91" s="170">
        <f t="shared" si="132"/>
        <v>0</v>
      </c>
      <c r="CQ91" s="90">
        <f t="shared" si="116"/>
        <v>0</v>
      </c>
      <c r="CR91" s="171">
        <f t="shared" si="117"/>
        <v>0</v>
      </c>
      <c r="CS91" s="170">
        <f t="shared" si="133"/>
        <v>0</v>
      </c>
      <c r="CT91" s="90">
        <f t="shared" si="118"/>
        <v>0</v>
      </c>
      <c r="CU91" s="171">
        <f t="shared" si="119"/>
        <v>0</v>
      </c>
      <c r="CV91" s="170">
        <f t="shared" si="134"/>
        <v>0</v>
      </c>
      <c r="CW91" s="90">
        <f t="shared" si="120"/>
        <v>0</v>
      </c>
      <c r="CX91" s="171">
        <f t="shared" si="121"/>
        <v>0</v>
      </c>
      <c r="CY91" s="170">
        <f t="shared" si="135"/>
        <v>0</v>
      </c>
      <c r="CZ91" s="168">
        <f t="shared" si="136"/>
        <v>0</v>
      </c>
      <c r="DA91" s="172">
        <f t="shared" si="138"/>
        <v>0</v>
      </c>
      <c r="DB91" s="173">
        <f t="shared" si="139"/>
        <v>0</v>
      </c>
      <c r="DC91" s="172">
        <f t="shared" si="140"/>
        <v>0</v>
      </c>
      <c r="DD91" s="172">
        <f t="shared" si="140"/>
        <v>0</v>
      </c>
      <c r="DE91" s="172">
        <f t="shared" si="140"/>
        <v>0</v>
      </c>
      <c r="DF91" s="172">
        <f t="shared" si="141"/>
        <v>0</v>
      </c>
      <c r="DG91" s="1"/>
      <c r="DH91" s="1"/>
      <c r="DI91" s="3"/>
      <c r="DJ91" s="8"/>
      <c r="DK91" s="8"/>
      <c r="DL91" s="8"/>
      <c r="DM91" s="8"/>
      <c r="DN91" s="8"/>
      <c r="DO91" s="8"/>
      <c r="DP91" s="8"/>
      <c r="DQ91" s="3"/>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row>
    <row r="92" spans="1:155" s="565" customFormat="1" ht="12" hidden="1" customHeight="1">
      <c r="A92" s="51"/>
      <c r="B92" s="717" t="s">
        <v>198</v>
      </c>
      <c r="C92" s="717"/>
      <c r="D92" s="717"/>
      <c r="E92" s="190" t="s">
        <v>252</v>
      </c>
      <c r="F92" s="190" t="s">
        <v>200</v>
      </c>
      <c r="G92" s="269"/>
      <c r="H92" s="3"/>
      <c r="I92" s="70"/>
      <c r="J92" s="70"/>
      <c r="K92" s="70"/>
      <c r="L92" s="70"/>
      <c r="M92" s="70"/>
      <c r="N92" s="14" t="b">
        <f>(AND(SUM(G13:G27)&gt;0,E91=DJ72,(SUM(E93:F95)&gt;0)))</f>
        <v>0</v>
      </c>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45"/>
      <c r="BE92" s="165" t="s">
        <v>13</v>
      </c>
      <c r="BF92" s="23">
        <v>23</v>
      </c>
      <c r="BG92" s="23">
        <v>14</v>
      </c>
      <c r="BH92" s="23">
        <v>7</v>
      </c>
      <c r="BI92" s="90" t="b">
        <f t="shared" si="137"/>
        <v>0</v>
      </c>
      <c r="BJ92" s="46" t="b">
        <f t="shared" si="96"/>
        <v>1</v>
      </c>
      <c r="BK92" s="166">
        <f t="shared" si="97"/>
        <v>7</v>
      </c>
      <c r="BL92" s="175">
        <f>IF(SUM(BL$79:BL91,BK92)&gt;$BL$4,0,BK92)</f>
        <v>7</v>
      </c>
      <c r="BM92" s="23">
        <f t="shared" si="122"/>
        <v>0</v>
      </c>
      <c r="BN92" s="90">
        <f t="shared" si="123"/>
        <v>0</v>
      </c>
      <c r="BO92" s="24">
        <f t="shared" si="142"/>
        <v>0</v>
      </c>
      <c r="BP92" s="168">
        <f t="shared" si="98"/>
        <v>0</v>
      </c>
      <c r="BQ92" s="171">
        <f t="shared" si="99"/>
        <v>0</v>
      </c>
      <c r="BR92" s="170">
        <f t="shared" si="124"/>
        <v>0</v>
      </c>
      <c r="BS92" s="168">
        <f t="shared" si="100"/>
        <v>0</v>
      </c>
      <c r="BT92" s="171">
        <f t="shared" si="101"/>
        <v>0</v>
      </c>
      <c r="BU92" s="170">
        <f t="shared" si="125"/>
        <v>0</v>
      </c>
      <c r="BV92" s="168">
        <f t="shared" si="102"/>
        <v>0</v>
      </c>
      <c r="BW92" s="171">
        <f t="shared" si="103"/>
        <v>0</v>
      </c>
      <c r="BX92" s="170">
        <f t="shared" si="126"/>
        <v>0</v>
      </c>
      <c r="BY92" s="168">
        <f t="shared" si="104"/>
        <v>0</v>
      </c>
      <c r="BZ92" s="171">
        <f t="shared" si="105"/>
        <v>0</v>
      </c>
      <c r="CA92" s="170">
        <f t="shared" si="127"/>
        <v>0</v>
      </c>
      <c r="CB92" s="90">
        <f t="shared" si="106"/>
        <v>0</v>
      </c>
      <c r="CC92" s="171">
        <f t="shared" si="107"/>
        <v>0</v>
      </c>
      <c r="CD92" s="170">
        <f t="shared" si="128"/>
        <v>0</v>
      </c>
      <c r="CE92" s="90">
        <f t="shared" si="108"/>
        <v>0</v>
      </c>
      <c r="CF92" s="171">
        <f t="shared" si="109"/>
        <v>0</v>
      </c>
      <c r="CG92" s="170">
        <f t="shared" si="129"/>
        <v>0</v>
      </c>
      <c r="CH92" s="90">
        <f t="shared" si="110"/>
        <v>0</v>
      </c>
      <c r="CI92" s="171">
        <f t="shared" si="111"/>
        <v>0</v>
      </c>
      <c r="CJ92" s="170">
        <f t="shared" si="130"/>
        <v>0</v>
      </c>
      <c r="CK92" s="90">
        <f t="shared" si="112"/>
        <v>0</v>
      </c>
      <c r="CL92" s="171">
        <f t="shared" si="113"/>
        <v>0</v>
      </c>
      <c r="CM92" s="170">
        <f t="shared" si="131"/>
        <v>0</v>
      </c>
      <c r="CN92" s="90">
        <f t="shared" si="114"/>
        <v>0</v>
      </c>
      <c r="CO92" s="171">
        <f t="shared" si="115"/>
        <v>0</v>
      </c>
      <c r="CP92" s="170">
        <f t="shared" si="132"/>
        <v>0</v>
      </c>
      <c r="CQ92" s="90">
        <f t="shared" si="116"/>
        <v>0</v>
      </c>
      <c r="CR92" s="171">
        <f t="shared" si="117"/>
        <v>0</v>
      </c>
      <c r="CS92" s="170">
        <f t="shared" si="133"/>
        <v>0</v>
      </c>
      <c r="CT92" s="90">
        <f t="shared" si="118"/>
        <v>0</v>
      </c>
      <c r="CU92" s="171">
        <f t="shared" si="119"/>
        <v>0</v>
      </c>
      <c r="CV92" s="170">
        <f t="shared" si="134"/>
        <v>0</v>
      </c>
      <c r="CW92" s="90">
        <f t="shared" si="120"/>
        <v>0</v>
      </c>
      <c r="CX92" s="171">
        <f t="shared" si="121"/>
        <v>0</v>
      </c>
      <c r="CY92" s="170">
        <f t="shared" si="135"/>
        <v>0</v>
      </c>
      <c r="CZ92" s="168">
        <f t="shared" si="136"/>
        <v>0</v>
      </c>
      <c r="DA92" s="172">
        <f t="shared" si="138"/>
        <v>0</v>
      </c>
      <c r="DB92" s="173">
        <f t="shared" si="139"/>
        <v>0</v>
      </c>
      <c r="DC92" s="172">
        <f t="shared" si="140"/>
        <v>0</v>
      </c>
      <c r="DD92" s="172">
        <f t="shared" si="140"/>
        <v>0</v>
      </c>
      <c r="DE92" s="172">
        <f t="shared" si="140"/>
        <v>0</v>
      </c>
      <c r="DF92" s="172">
        <f t="shared" si="141"/>
        <v>0</v>
      </c>
      <c r="DG92" s="1"/>
      <c r="DH92" s="1"/>
      <c r="DI92" s="3"/>
      <c r="DJ92" s="8"/>
      <c r="DK92" s="8"/>
      <c r="DL92" s="8"/>
      <c r="DM92" s="8"/>
      <c r="DN92" s="8"/>
      <c r="DO92" s="8"/>
      <c r="DP92" s="8"/>
      <c r="DQ92" s="3"/>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row>
    <row r="93" spans="1:155" s="565" customFormat="1" ht="15" hidden="1" customHeight="1">
      <c r="A93" s="270"/>
      <c r="B93" s="718" t="s">
        <v>263</v>
      </c>
      <c r="C93" s="719"/>
      <c r="D93" s="720"/>
      <c r="E93" s="271"/>
      <c r="F93" s="265"/>
      <c r="G93" s="721" t="s">
        <v>264</v>
      </c>
      <c r="H93" s="721"/>
      <c r="I93" s="721"/>
      <c r="J93" s="27"/>
      <c r="K93" s="27"/>
      <c r="L93" s="3"/>
      <c r="M93" s="70"/>
      <c r="N93" s="14" t="s">
        <v>265</v>
      </c>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45"/>
      <c r="BE93" s="165" t="s">
        <v>13</v>
      </c>
      <c r="BF93" s="23">
        <v>23</v>
      </c>
      <c r="BG93" s="23">
        <v>15</v>
      </c>
      <c r="BH93" s="23">
        <v>1</v>
      </c>
      <c r="BI93" s="90" t="b">
        <f t="shared" si="137"/>
        <v>1</v>
      </c>
      <c r="BJ93" s="46" t="b">
        <f t="shared" si="96"/>
        <v>0</v>
      </c>
      <c r="BK93" s="166">
        <f t="shared" si="97"/>
        <v>0</v>
      </c>
      <c r="BL93" s="175">
        <f>IF(SUM(BL$79:BL92,BK93)&gt;$BL$4,0,BK93)</f>
        <v>0</v>
      </c>
      <c r="BM93" s="23">
        <f t="shared" si="122"/>
        <v>0</v>
      </c>
      <c r="BN93" s="90">
        <f t="shared" si="123"/>
        <v>0</v>
      </c>
      <c r="BO93" s="24">
        <f t="shared" si="142"/>
        <v>0</v>
      </c>
      <c r="BP93" s="168">
        <f t="shared" si="98"/>
        <v>0</v>
      </c>
      <c r="BQ93" s="171">
        <f t="shared" si="99"/>
        <v>0</v>
      </c>
      <c r="BR93" s="170">
        <f t="shared" si="124"/>
        <v>0</v>
      </c>
      <c r="BS93" s="168">
        <f t="shared" si="100"/>
        <v>0</v>
      </c>
      <c r="BT93" s="171">
        <f t="shared" si="101"/>
        <v>0</v>
      </c>
      <c r="BU93" s="170">
        <f t="shared" si="125"/>
        <v>0</v>
      </c>
      <c r="BV93" s="168">
        <f t="shared" si="102"/>
        <v>0</v>
      </c>
      <c r="BW93" s="171">
        <f t="shared" si="103"/>
        <v>0</v>
      </c>
      <c r="BX93" s="170">
        <f t="shared" si="126"/>
        <v>0</v>
      </c>
      <c r="BY93" s="168">
        <f t="shared" si="104"/>
        <v>0</v>
      </c>
      <c r="BZ93" s="171">
        <f t="shared" si="105"/>
        <v>0</v>
      </c>
      <c r="CA93" s="170">
        <f t="shared" si="127"/>
        <v>0</v>
      </c>
      <c r="CB93" s="90">
        <f t="shared" si="106"/>
        <v>0</v>
      </c>
      <c r="CC93" s="171">
        <f t="shared" si="107"/>
        <v>0</v>
      </c>
      <c r="CD93" s="170">
        <f t="shared" si="128"/>
        <v>0</v>
      </c>
      <c r="CE93" s="90">
        <f t="shared" si="108"/>
        <v>0</v>
      </c>
      <c r="CF93" s="171">
        <f t="shared" si="109"/>
        <v>0</v>
      </c>
      <c r="CG93" s="170">
        <f t="shared" si="129"/>
        <v>0</v>
      </c>
      <c r="CH93" s="90">
        <f t="shared" si="110"/>
        <v>0</v>
      </c>
      <c r="CI93" s="171">
        <f t="shared" si="111"/>
        <v>0</v>
      </c>
      <c r="CJ93" s="170">
        <f t="shared" si="130"/>
        <v>0</v>
      </c>
      <c r="CK93" s="90">
        <f t="shared" si="112"/>
        <v>0</v>
      </c>
      <c r="CL93" s="171">
        <f t="shared" si="113"/>
        <v>0</v>
      </c>
      <c r="CM93" s="170">
        <f t="shared" si="131"/>
        <v>0</v>
      </c>
      <c r="CN93" s="90">
        <f t="shared" si="114"/>
        <v>0</v>
      </c>
      <c r="CO93" s="171">
        <f t="shared" si="115"/>
        <v>0</v>
      </c>
      <c r="CP93" s="170">
        <f t="shared" si="132"/>
        <v>0</v>
      </c>
      <c r="CQ93" s="90">
        <f t="shared" si="116"/>
        <v>0</v>
      </c>
      <c r="CR93" s="171">
        <f t="shared" si="117"/>
        <v>0</v>
      </c>
      <c r="CS93" s="170">
        <f t="shared" si="133"/>
        <v>0</v>
      </c>
      <c r="CT93" s="90">
        <f t="shared" si="118"/>
        <v>0</v>
      </c>
      <c r="CU93" s="171">
        <f t="shared" si="119"/>
        <v>0</v>
      </c>
      <c r="CV93" s="170">
        <f t="shared" si="134"/>
        <v>0</v>
      </c>
      <c r="CW93" s="90">
        <f t="shared" si="120"/>
        <v>0</v>
      </c>
      <c r="CX93" s="171">
        <f t="shared" si="121"/>
        <v>0</v>
      </c>
      <c r="CY93" s="170">
        <f t="shared" si="135"/>
        <v>0</v>
      </c>
      <c r="CZ93" s="168">
        <f t="shared" si="136"/>
        <v>0</v>
      </c>
      <c r="DA93" s="172">
        <f t="shared" si="138"/>
        <v>0</v>
      </c>
      <c r="DB93" s="173">
        <f t="shared" si="139"/>
        <v>0</v>
      </c>
      <c r="DC93" s="172">
        <f t="shared" si="140"/>
        <v>0</v>
      </c>
      <c r="DD93" s="172">
        <f t="shared" si="140"/>
        <v>0</v>
      </c>
      <c r="DE93" s="172">
        <f t="shared" si="140"/>
        <v>0</v>
      </c>
      <c r="DF93" s="172">
        <f t="shared" si="141"/>
        <v>0</v>
      </c>
      <c r="DG93" s="1"/>
      <c r="DH93" s="1"/>
      <c r="DI93" s="3"/>
      <c r="DJ93" s="8"/>
      <c r="DK93" s="8"/>
      <c r="DL93" s="8"/>
      <c r="DM93" s="8"/>
      <c r="DN93" s="8"/>
      <c r="DO93" s="8"/>
      <c r="DP93" s="8"/>
      <c r="DQ93" s="3"/>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row>
    <row r="94" spans="1:155" s="565" customFormat="1" hidden="1">
      <c r="A94" s="181"/>
      <c r="B94" s="722" t="s">
        <v>266</v>
      </c>
      <c r="C94" s="723"/>
      <c r="D94" s="724"/>
      <c r="E94" s="104"/>
      <c r="F94" s="255"/>
      <c r="G94" s="721"/>
      <c r="H94" s="721"/>
      <c r="I94" s="721"/>
      <c r="J94" s="27"/>
      <c r="K94" s="27"/>
      <c r="L94" s="3"/>
      <c r="M94" s="70"/>
      <c r="N94" s="14" t="b">
        <f>AND(SUM(E93:F95)&gt;0,SUM(G13:G27)=0)</f>
        <v>0</v>
      </c>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45"/>
      <c r="BE94" s="165" t="s">
        <v>13</v>
      </c>
      <c r="BF94" s="23">
        <v>23</v>
      </c>
      <c r="BG94" s="23">
        <v>16</v>
      </c>
      <c r="BH94" s="23">
        <v>2</v>
      </c>
      <c r="BI94" s="90" t="b">
        <f t="shared" si="137"/>
        <v>1</v>
      </c>
      <c r="BJ94" s="46" t="b">
        <f t="shared" si="96"/>
        <v>1</v>
      </c>
      <c r="BK94" s="166">
        <f t="shared" si="97"/>
        <v>7</v>
      </c>
      <c r="BL94" s="175">
        <f>IF(SUM(BL$79:BL93,BK94)&gt;$BL$4,0,BK94)</f>
        <v>7</v>
      </c>
      <c r="BM94" s="23">
        <f t="shared" si="122"/>
        <v>0</v>
      </c>
      <c r="BN94" s="90">
        <f t="shared" si="123"/>
        <v>0</v>
      </c>
      <c r="BO94" s="24">
        <f t="shared" si="142"/>
        <v>0</v>
      </c>
      <c r="BP94" s="168">
        <f t="shared" si="98"/>
        <v>0</v>
      </c>
      <c r="BQ94" s="171">
        <f t="shared" si="99"/>
        <v>0</v>
      </c>
      <c r="BR94" s="170">
        <f t="shared" si="124"/>
        <v>0</v>
      </c>
      <c r="BS94" s="168">
        <f t="shared" si="100"/>
        <v>0</v>
      </c>
      <c r="BT94" s="171">
        <f t="shared" si="101"/>
        <v>0</v>
      </c>
      <c r="BU94" s="170">
        <f t="shared" si="125"/>
        <v>0</v>
      </c>
      <c r="BV94" s="168">
        <f t="shared" si="102"/>
        <v>0</v>
      </c>
      <c r="BW94" s="171">
        <f t="shared" si="103"/>
        <v>0</v>
      </c>
      <c r="BX94" s="170">
        <f t="shared" si="126"/>
        <v>0</v>
      </c>
      <c r="BY94" s="168">
        <f t="shared" si="104"/>
        <v>0</v>
      </c>
      <c r="BZ94" s="171">
        <f t="shared" si="105"/>
        <v>0</v>
      </c>
      <c r="CA94" s="170">
        <f t="shared" si="127"/>
        <v>0</v>
      </c>
      <c r="CB94" s="90">
        <f t="shared" si="106"/>
        <v>0</v>
      </c>
      <c r="CC94" s="171">
        <f t="shared" si="107"/>
        <v>0</v>
      </c>
      <c r="CD94" s="170">
        <f t="shared" si="128"/>
        <v>0</v>
      </c>
      <c r="CE94" s="90">
        <f t="shared" si="108"/>
        <v>0</v>
      </c>
      <c r="CF94" s="171">
        <f t="shared" si="109"/>
        <v>0</v>
      </c>
      <c r="CG94" s="170">
        <f t="shared" si="129"/>
        <v>0</v>
      </c>
      <c r="CH94" s="90">
        <f t="shared" si="110"/>
        <v>0</v>
      </c>
      <c r="CI94" s="171">
        <f t="shared" si="111"/>
        <v>0</v>
      </c>
      <c r="CJ94" s="170">
        <f t="shared" si="130"/>
        <v>0</v>
      </c>
      <c r="CK94" s="90">
        <f t="shared" si="112"/>
        <v>0</v>
      </c>
      <c r="CL94" s="171">
        <f t="shared" si="113"/>
        <v>0</v>
      </c>
      <c r="CM94" s="170">
        <f t="shared" si="131"/>
        <v>0</v>
      </c>
      <c r="CN94" s="90">
        <f t="shared" si="114"/>
        <v>0</v>
      </c>
      <c r="CO94" s="171">
        <f t="shared" si="115"/>
        <v>0</v>
      </c>
      <c r="CP94" s="170">
        <f t="shared" si="132"/>
        <v>0</v>
      </c>
      <c r="CQ94" s="90">
        <f t="shared" si="116"/>
        <v>0</v>
      </c>
      <c r="CR94" s="171">
        <f t="shared" si="117"/>
        <v>0</v>
      </c>
      <c r="CS94" s="170">
        <f t="shared" si="133"/>
        <v>0</v>
      </c>
      <c r="CT94" s="90">
        <f t="shared" si="118"/>
        <v>0</v>
      </c>
      <c r="CU94" s="171">
        <f t="shared" si="119"/>
        <v>0</v>
      </c>
      <c r="CV94" s="170">
        <f t="shared" si="134"/>
        <v>0</v>
      </c>
      <c r="CW94" s="90">
        <f t="shared" si="120"/>
        <v>0</v>
      </c>
      <c r="CX94" s="171">
        <f t="shared" si="121"/>
        <v>0</v>
      </c>
      <c r="CY94" s="170">
        <f t="shared" si="135"/>
        <v>0</v>
      </c>
      <c r="CZ94" s="168">
        <f t="shared" si="136"/>
        <v>0</v>
      </c>
      <c r="DA94" s="172">
        <f t="shared" si="138"/>
        <v>0</v>
      </c>
      <c r="DB94" s="173">
        <f t="shared" si="139"/>
        <v>0</v>
      </c>
      <c r="DC94" s="172">
        <f t="shared" si="140"/>
        <v>0</v>
      </c>
      <c r="DD94" s="172">
        <f t="shared" si="140"/>
        <v>0</v>
      </c>
      <c r="DE94" s="172">
        <f t="shared" si="140"/>
        <v>0</v>
      </c>
      <c r="DF94" s="172">
        <f t="shared" si="141"/>
        <v>0</v>
      </c>
      <c r="DG94" s="1"/>
      <c r="DH94" s="1"/>
      <c r="DI94" s="3"/>
      <c r="DJ94" s="8"/>
      <c r="DK94" s="8"/>
      <c r="DL94" s="8"/>
      <c r="DM94" s="8"/>
      <c r="DN94" s="8"/>
      <c r="DO94" s="8"/>
      <c r="DP94" s="8"/>
      <c r="DQ94" s="3"/>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row>
    <row r="95" spans="1:155" s="565" customFormat="1" hidden="1">
      <c r="A95" s="123"/>
      <c r="B95" s="722" t="s">
        <v>267</v>
      </c>
      <c r="C95" s="723"/>
      <c r="D95" s="724"/>
      <c r="E95" s="104"/>
      <c r="F95" s="255"/>
      <c r="G95" s="721"/>
      <c r="H95" s="721"/>
      <c r="I95" s="721"/>
      <c r="J95" s="27"/>
      <c r="K95" s="27"/>
      <c r="L95" s="3"/>
      <c r="M95" s="70"/>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45"/>
      <c r="BE95" s="165" t="s">
        <v>13</v>
      </c>
      <c r="BF95" s="23">
        <v>23</v>
      </c>
      <c r="BG95" s="23">
        <v>17</v>
      </c>
      <c r="BH95" s="23">
        <v>3</v>
      </c>
      <c r="BI95" s="90" t="b">
        <f t="shared" si="137"/>
        <v>1</v>
      </c>
      <c r="BJ95" s="46" t="b">
        <f t="shared" si="96"/>
        <v>0</v>
      </c>
      <c r="BK95" s="166">
        <f t="shared" si="97"/>
        <v>0</v>
      </c>
      <c r="BL95" s="175">
        <f>IF(SUM(BL$79:BL94,BK95)&gt;$BL$4,0,BK95)</f>
        <v>0</v>
      </c>
      <c r="BM95" s="23">
        <f t="shared" si="122"/>
        <v>0</v>
      </c>
      <c r="BN95" s="90">
        <f t="shared" si="123"/>
        <v>0</v>
      </c>
      <c r="BO95" s="24">
        <f t="shared" si="142"/>
        <v>0</v>
      </c>
      <c r="BP95" s="168">
        <f t="shared" si="98"/>
        <v>0</v>
      </c>
      <c r="BQ95" s="171">
        <f t="shared" si="99"/>
        <v>0</v>
      </c>
      <c r="BR95" s="170">
        <f t="shared" si="124"/>
        <v>0</v>
      </c>
      <c r="BS95" s="168">
        <f t="shared" si="100"/>
        <v>0</v>
      </c>
      <c r="BT95" s="171">
        <f t="shared" si="101"/>
        <v>0</v>
      </c>
      <c r="BU95" s="170">
        <f t="shared" si="125"/>
        <v>0</v>
      </c>
      <c r="BV95" s="168">
        <f t="shared" si="102"/>
        <v>0</v>
      </c>
      <c r="BW95" s="171">
        <f t="shared" si="103"/>
        <v>0</v>
      </c>
      <c r="BX95" s="170">
        <f t="shared" si="126"/>
        <v>0</v>
      </c>
      <c r="BY95" s="168">
        <f t="shared" si="104"/>
        <v>0</v>
      </c>
      <c r="BZ95" s="171">
        <f t="shared" si="105"/>
        <v>0</v>
      </c>
      <c r="CA95" s="170">
        <f t="shared" si="127"/>
        <v>0</v>
      </c>
      <c r="CB95" s="90">
        <f t="shared" si="106"/>
        <v>0</v>
      </c>
      <c r="CC95" s="171">
        <f t="shared" si="107"/>
        <v>0</v>
      </c>
      <c r="CD95" s="170">
        <f t="shared" si="128"/>
        <v>0</v>
      </c>
      <c r="CE95" s="90">
        <f t="shared" si="108"/>
        <v>0</v>
      </c>
      <c r="CF95" s="171">
        <f t="shared" si="109"/>
        <v>0</v>
      </c>
      <c r="CG95" s="170">
        <f t="shared" si="129"/>
        <v>0</v>
      </c>
      <c r="CH95" s="90">
        <f t="shared" si="110"/>
        <v>0</v>
      </c>
      <c r="CI95" s="171">
        <f t="shared" si="111"/>
        <v>0</v>
      </c>
      <c r="CJ95" s="170">
        <f t="shared" si="130"/>
        <v>0</v>
      </c>
      <c r="CK95" s="90">
        <f t="shared" si="112"/>
        <v>0</v>
      </c>
      <c r="CL95" s="171">
        <f t="shared" si="113"/>
        <v>0</v>
      </c>
      <c r="CM95" s="170">
        <f t="shared" si="131"/>
        <v>0</v>
      </c>
      <c r="CN95" s="90">
        <f t="shared" si="114"/>
        <v>0</v>
      </c>
      <c r="CO95" s="171">
        <f t="shared" si="115"/>
        <v>0</v>
      </c>
      <c r="CP95" s="170">
        <f t="shared" si="132"/>
        <v>0</v>
      </c>
      <c r="CQ95" s="90">
        <f t="shared" si="116"/>
        <v>0</v>
      </c>
      <c r="CR95" s="171">
        <f t="shared" si="117"/>
        <v>0</v>
      </c>
      <c r="CS95" s="170">
        <f t="shared" si="133"/>
        <v>0</v>
      </c>
      <c r="CT95" s="90">
        <f t="shared" si="118"/>
        <v>0</v>
      </c>
      <c r="CU95" s="171">
        <f t="shared" si="119"/>
        <v>0</v>
      </c>
      <c r="CV95" s="170">
        <f t="shared" si="134"/>
        <v>0</v>
      </c>
      <c r="CW95" s="90">
        <f t="shared" si="120"/>
        <v>0</v>
      </c>
      <c r="CX95" s="171">
        <f t="shared" si="121"/>
        <v>0</v>
      </c>
      <c r="CY95" s="170">
        <f t="shared" si="135"/>
        <v>0</v>
      </c>
      <c r="CZ95" s="168">
        <f t="shared" si="136"/>
        <v>0</v>
      </c>
      <c r="DA95" s="172">
        <f t="shared" si="138"/>
        <v>0</v>
      </c>
      <c r="DB95" s="173">
        <f t="shared" si="139"/>
        <v>0</v>
      </c>
      <c r="DC95" s="172">
        <f t="shared" si="140"/>
        <v>0</v>
      </c>
      <c r="DD95" s="172">
        <f t="shared" si="140"/>
        <v>0</v>
      </c>
      <c r="DE95" s="172">
        <f t="shared" si="140"/>
        <v>0</v>
      </c>
      <c r="DF95" s="172">
        <f t="shared" si="141"/>
        <v>0</v>
      </c>
      <c r="DG95" s="1"/>
      <c r="DH95" s="1"/>
      <c r="DI95" s="3"/>
      <c r="DJ95" s="8"/>
      <c r="DK95" s="8"/>
      <c r="DL95" s="8"/>
      <c r="DM95" s="8"/>
      <c r="DN95" s="8"/>
      <c r="DO95" s="8"/>
      <c r="DP95" s="8"/>
      <c r="DQ95" s="3"/>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row>
    <row r="96" spans="1:155" s="565" customFormat="1" ht="10.5" hidden="1" customHeight="1">
      <c r="A96" s="123"/>
      <c r="B96" s="725" t="str">
        <f>IF(F96&lt;&gt;1,$N$61,"")</f>
        <v>Please complete for 100% of fittings</v>
      </c>
      <c r="C96" s="726"/>
      <c r="D96" s="726"/>
      <c r="E96" s="727"/>
      <c r="F96" s="267">
        <f>SUM(F93:F95)</f>
        <v>0</v>
      </c>
      <c r="G96" s="70"/>
      <c r="H96" s="70"/>
      <c r="I96" s="70"/>
      <c r="J96" s="70"/>
      <c r="K96" s="70"/>
      <c r="L96" s="70"/>
      <c r="M96" s="70"/>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45"/>
      <c r="BE96" s="165" t="s">
        <v>13</v>
      </c>
      <c r="BF96" s="23">
        <v>23</v>
      </c>
      <c r="BG96" s="23">
        <v>18</v>
      </c>
      <c r="BH96" s="23">
        <v>4</v>
      </c>
      <c r="BI96" s="90" t="b">
        <f t="shared" si="137"/>
        <v>1</v>
      </c>
      <c r="BJ96" s="46" t="b">
        <f t="shared" si="96"/>
        <v>1</v>
      </c>
      <c r="BK96" s="166">
        <f t="shared" si="97"/>
        <v>7</v>
      </c>
      <c r="BL96" s="175">
        <f>IF(SUM(BL$79:BL95,BK96)&gt;$BL$4,0,BK96)</f>
        <v>7</v>
      </c>
      <c r="BM96" s="23">
        <f t="shared" si="122"/>
        <v>0</v>
      </c>
      <c r="BN96" s="90">
        <f t="shared" si="123"/>
        <v>0</v>
      </c>
      <c r="BO96" s="24">
        <f t="shared" si="142"/>
        <v>0</v>
      </c>
      <c r="BP96" s="168">
        <f t="shared" si="98"/>
        <v>0</v>
      </c>
      <c r="BQ96" s="171">
        <f t="shared" si="99"/>
        <v>0</v>
      </c>
      <c r="BR96" s="170">
        <f t="shared" si="124"/>
        <v>0</v>
      </c>
      <c r="BS96" s="168">
        <f t="shared" si="100"/>
        <v>0</v>
      </c>
      <c r="BT96" s="171">
        <f t="shared" si="101"/>
        <v>0</v>
      </c>
      <c r="BU96" s="170">
        <f t="shared" si="125"/>
        <v>0</v>
      </c>
      <c r="BV96" s="168">
        <f t="shared" si="102"/>
        <v>0</v>
      </c>
      <c r="BW96" s="171">
        <f t="shared" si="103"/>
        <v>0</v>
      </c>
      <c r="BX96" s="170">
        <f t="shared" si="126"/>
        <v>0</v>
      </c>
      <c r="BY96" s="168">
        <f t="shared" si="104"/>
        <v>0</v>
      </c>
      <c r="BZ96" s="171">
        <f t="shared" si="105"/>
        <v>0</v>
      </c>
      <c r="CA96" s="170">
        <f t="shared" si="127"/>
        <v>0</v>
      </c>
      <c r="CB96" s="90">
        <f t="shared" si="106"/>
        <v>0</v>
      </c>
      <c r="CC96" s="171">
        <f t="shared" si="107"/>
        <v>0</v>
      </c>
      <c r="CD96" s="170">
        <f t="shared" si="128"/>
        <v>0</v>
      </c>
      <c r="CE96" s="90">
        <f t="shared" si="108"/>
        <v>0</v>
      </c>
      <c r="CF96" s="171">
        <f t="shared" si="109"/>
        <v>0</v>
      </c>
      <c r="CG96" s="170">
        <f t="shared" si="129"/>
        <v>0</v>
      </c>
      <c r="CH96" s="90">
        <f t="shared" si="110"/>
        <v>0</v>
      </c>
      <c r="CI96" s="171">
        <f t="shared" si="111"/>
        <v>0</v>
      </c>
      <c r="CJ96" s="170">
        <f t="shared" si="130"/>
        <v>0</v>
      </c>
      <c r="CK96" s="90">
        <f t="shared" si="112"/>
        <v>0</v>
      </c>
      <c r="CL96" s="171">
        <f t="shared" si="113"/>
        <v>0</v>
      </c>
      <c r="CM96" s="170">
        <f t="shared" si="131"/>
        <v>0</v>
      </c>
      <c r="CN96" s="90">
        <f t="shared" si="114"/>
        <v>0</v>
      </c>
      <c r="CO96" s="171">
        <f t="shared" si="115"/>
        <v>0</v>
      </c>
      <c r="CP96" s="170">
        <f t="shared" si="132"/>
        <v>0</v>
      </c>
      <c r="CQ96" s="90">
        <f t="shared" si="116"/>
        <v>0</v>
      </c>
      <c r="CR96" s="171">
        <f t="shared" si="117"/>
        <v>0</v>
      </c>
      <c r="CS96" s="170">
        <f t="shared" si="133"/>
        <v>0</v>
      </c>
      <c r="CT96" s="90">
        <f t="shared" si="118"/>
        <v>0</v>
      </c>
      <c r="CU96" s="171">
        <f t="shared" si="119"/>
        <v>0</v>
      </c>
      <c r="CV96" s="170">
        <f t="shared" si="134"/>
        <v>0</v>
      </c>
      <c r="CW96" s="90">
        <f t="shared" si="120"/>
        <v>0</v>
      </c>
      <c r="CX96" s="171">
        <f t="shared" si="121"/>
        <v>0</v>
      </c>
      <c r="CY96" s="170">
        <f t="shared" si="135"/>
        <v>0</v>
      </c>
      <c r="CZ96" s="168">
        <f t="shared" si="136"/>
        <v>0</v>
      </c>
      <c r="DA96" s="172">
        <f t="shared" si="138"/>
        <v>0</v>
      </c>
      <c r="DB96" s="173">
        <f t="shared" si="139"/>
        <v>0</v>
      </c>
      <c r="DC96" s="172">
        <f t="shared" si="140"/>
        <v>0</v>
      </c>
      <c r="DD96" s="172">
        <f t="shared" si="140"/>
        <v>0</v>
      </c>
      <c r="DE96" s="172">
        <f t="shared" si="140"/>
        <v>0</v>
      </c>
      <c r="DF96" s="172">
        <f t="shared" si="141"/>
        <v>0</v>
      </c>
      <c r="DG96" s="1"/>
      <c r="DH96" s="1"/>
      <c r="DI96" s="3"/>
      <c r="DJ96" s="8"/>
      <c r="DK96" s="8"/>
      <c r="DL96" s="8"/>
      <c r="DM96" s="8"/>
      <c r="DN96" s="8"/>
      <c r="DO96" s="8"/>
      <c r="DP96" s="8"/>
      <c r="DQ96" s="3"/>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row>
    <row r="97" spans="1:155" s="565" customFormat="1" ht="12">
      <c r="A97" s="123"/>
      <c r="B97" s="714"/>
      <c r="C97" s="714"/>
      <c r="D97" s="714"/>
      <c r="E97" s="714"/>
      <c r="F97" s="248"/>
      <c r="G97" s="70"/>
      <c r="H97" s="70"/>
      <c r="I97" s="70"/>
      <c r="J97" s="70"/>
      <c r="K97" s="70"/>
      <c r="L97" s="70"/>
      <c r="M97" s="70"/>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45"/>
      <c r="BE97" s="165" t="s">
        <v>13</v>
      </c>
      <c r="BF97" s="23">
        <v>23</v>
      </c>
      <c r="BG97" s="23">
        <v>19</v>
      </c>
      <c r="BH97" s="23">
        <v>5</v>
      </c>
      <c r="BI97" s="90" t="b">
        <f t="shared" si="137"/>
        <v>1</v>
      </c>
      <c r="BJ97" s="46" t="b">
        <f t="shared" si="96"/>
        <v>0</v>
      </c>
      <c r="BK97" s="166">
        <f t="shared" si="97"/>
        <v>0</v>
      </c>
      <c r="BL97" s="175">
        <f>IF(SUM(BL$79:BL96,BK97)&gt;$BL$4,0,BK97)</f>
        <v>0</v>
      </c>
      <c r="BM97" s="23">
        <f t="shared" si="122"/>
        <v>0</v>
      </c>
      <c r="BN97" s="90">
        <f t="shared" si="123"/>
        <v>0</v>
      </c>
      <c r="BO97" s="24">
        <f t="shared" si="142"/>
        <v>0</v>
      </c>
      <c r="BP97" s="168">
        <f t="shared" si="98"/>
        <v>0</v>
      </c>
      <c r="BQ97" s="171">
        <f t="shared" si="99"/>
        <v>0</v>
      </c>
      <c r="BR97" s="170">
        <f t="shared" si="124"/>
        <v>0</v>
      </c>
      <c r="BS97" s="168">
        <f t="shared" si="100"/>
        <v>0</v>
      </c>
      <c r="BT97" s="171">
        <f t="shared" si="101"/>
        <v>0</v>
      </c>
      <c r="BU97" s="170">
        <f t="shared" si="125"/>
        <v>0</v>
      </c>
      <c r="BV97" s="168">
        <f t="shared" si="102"/>
        <v>0</v>
      </c>
      <c r="BW97" s="171">
        <f t="shared" si="103"/>
        <v>0</v>
      </c>
      <c r="BX97" s="170">
        <f t="shared" si="126"/>
        <v>0</v>
      </c>
      <c r="BY97" s="168">
        <f t="shared" si="104"/>
        <v>0</v>
      </c>
      <c r="BZ97" s="171">
        <f t="shared" si="105"/>
        <v>0</v>
      </c>
      <c r="CA97" s="170">
        <f t="shared" si="127"/>
        <v>0</v>
      </c>
      <c r="CB97" s="90">
        <f t="shared" si="106"/>
        <v>0</v>
      </c>
      <c r="CC97" s="171">
        <f t="shared" si="107"/>
        <v>0</v>
      </c>
      <c r="CD97" s="170">
        <f t="shared" si="128"/>
        <v>0</v>
      </c>
      <c r="CE97" s="90">
        <f t="shared" si="108"/>
        <v>0</v>
      </c>
      <c r="CF97" s="171">
        <f t="shared" si="109"/>
        <v>0</v>
      </c>
      <c r="CG97" s="170">
        <f t="shared" si="129"/>
        <v>0</v>
      </c>
      <c r="CH97" s="90">
        <f t="shared" si="110"/>
        <v>0</v>
      </c>
      <c r="CI97" s="171">
        <f t="shared" si="111"/>
        <v>0</v>
      </c>
      <c r="CJ97" s="170">
        <f t="shared" si="130"/>
        <v>0</v>
      </c>
      <c r="CK97" s="90">
        <f t="shared" si="112"/>
        <v>0</v>
      </c>
      <c r="CL97" s="171">
        <f t="shared" si="113"/>
        <v>0</v>
      </c>
      <c r="CM97" s="170">
        <f t="shared" si="131"/>
        <v>0</v>
      </c>
      <c r="CN97" s="90">
        <f t="shared" si="114"/>
        <v>0</v>
      </c>
      <c r="CO97" s="171">
        <f t="shared" si="115"/>
        <v>0</v>
      </c>
      <c r="CP97" s="170">
        <f t="shared" si="132"/>
        <v>0</v>
      </c>
      <c r="CQ97" s="90">
        <f t="shared" si="116"/>
        <v>0</v>
      </c>
      <c r="CR97" s="171">
        <f t="shared" si="117"/>
        <v>0</v>
      </c>
      <c r="CS97" s="170">
        <f t="shared" si="133"/>
        <v>0</v>
      </c>
      <c r="CT97" s="90">
        <f t="shared" si="118"/>
        <v>0</v>
      </c>
      <c r="CU97" s="171">
        <f t="shared" si="119"/>
        <v>0</v>
      </c>
      <c r="CV97" s="170">
        <f t="shared" si="134"/>
        <v>0</v>
      </c>
      <c r="CW97" s="90">
        <f t="shared" si="120"/>
        <v>0</v>
      </c>
      <c r="CX97" s="171">
        <f t="shared" si="121"/>
        <v>0</v>
      </c>
      <c r="CY97" s="170">
        <f t="shared" si="135"/>
        <v>0</v>
      </c>
      <c r="CZ97" s="168">
        <f t="shared" si="136"/>
        <v>0</v>
      </c>
      <c r="DA97" s="172">
        <f t="shared" si="138"/>
        <v>0</v>
      </c>
      <c r="DB97" s="173">
        <f t="shared" si="139"/>
        <v>0</v>
      </c>
      <c r="DC97" s="172">
        <f t="shared" si="140"/>
        <v>0</v>
      </c>
      <c r="DD97" s="172">
        <f t="shared" si="140"/>
        <v>0</v>
      </c>
      <c r="DE97" s="172">
        <f t="shared" si="140"/>
        <v>0</v>
      </c>
      <c r="DF97" s="172">
        <f t="shared" si="141"/>
        <v>0</v>
      </c>
      <c r="DG97" s="1"/>
      <c r="DH97" s="1"/>
      <c r="DI97" s="3"/>
      <c r="DJ97" s="8"/>
      <c r="DK97" s="8"/>
      <c r="DL97" s="8"/>
      <c r="DM97" s="8"/>
      <c r="DN97" s="8"/>
      <c r="DO97" s="8"/>
      <c r="DP97" s="8"/>
      <c r="DQ97" s="3"/>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row>
    <row r="98" spans="1:155" s="565" customFormat="1" ht="12">
      <c r="A98" s="181"/>
      <c r="B98" s="714" t="s">
        <v>227</v>
      </c>
      <c r="C98" s="714"/>
      <c r="D98" s="714"/>
      <c r="E98" s="714"/>
      <c r="F98" s="248">
        <f>AA63</f>
        <v>0</v>
      </c>
      <c r="G98" s="70"/>
      <c r="H98" s="70"/>
      <c r="I98" s="70"/>
      <c r="J98" s="70"/>
      <c r="K98" s="70"/>
      <c r="L98" s="70"/>
      <c r="M98" s="70"/>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70"/>
      <c r="BE98" s="165" t="s">
        <v>13</v>
      </c>
      <c r="BF98" s="23">
        <v>23</v>
      </c>
      <c r="BG98" s="23">
        <v>20</v>
      </c>
      <c r="BH98" s="23">
        <v>6</v>
      </c>
      <c r="BI98" s="90" t="b">
        <f t="shared" si="137"/>
        <v>0</v>
      </c>
      <c r="BJ98" s="46" t="b">
        <f t="shared" si="96"/>
        <v>1</v>
      </c>
      <c r="BK98" s="166">
        <f t="shared" si="97"/>
        <v>7</v>
      </c>
      <c r="BL98" s="175">
        <f>IF(SUM(BL$79:BL97,BK98)&gt;$BL$4,0,BK98)</f>
        <v>7</v>
      </c>
      <c r="BM98" s="23">
        <f t="shared" si="122"/>
        <v>0</v>
      </c>
      <c r="BN98" s="90">
        <f t="shared" si="123"/>
        <v>0</v>
      </c>
      <c r="BO98" s="24">
        <f t="shared" si="142"/>
        <v>0</v>
      </c>
      <c r="BP98" s="168">
        <f t="shared" si="98"/>
        <v>0</v>
      </c>
      <c r="BQ98" s="171">
        <f t="shared" si="99"/>
        <v>0</v>
      </c>
      <c r="BR98" s="170">
        <f t="shared" si="124"/>
        <v>0</v>
      </c>
      <c r="BS98" s="168">
        <f t="shared" si="100"/>
        <v>0</v>
      </c>
      <c r="BT98" s="171">
        <f t="shared" si="101"/>
        <v>0</v>
      </c>
      <c r="BU98" s="170">
        <f t="shared" si="125"/>
        <v>0</v>
      </c>
      <c r="BV98" s="168">
        <f t="shared" si="102"/>
        <v>0</v>
      </c>
      <c r="BW98" s="171">
        <f t="shared" si="103"/>
        <v>0</v>
      </c>
      <c r="BX98" s="170">
        <f t="shared" si="126"/>
        <v>0</v>
      </c>
      <c r="BY98" s="168">
        <f t="shared" si="104"/>
        <v>0</v>
      </c>
      <c r="BZ98" s="171">
        <f t="shared" si="105"/>
        <v>0</v>
      </c>
      <c r="CA98" s="170">
        <f t="shared" si="127"/>
        <v>0</v>
      </c>
      <c r="CB98" s="90">
        <f t="shared" si="106"/>
        <v>0</v>
      </c>
      <c r="CC98" s="171">
        <f t="shared" si="107"/>
        <v>0</v>
      </c>
      <c r="CD98" s="170">
        <f t="shared" si="128"/>
        <v>0</v>
      </c>
      <c r="CE98" s="90">
        <f t="shared" si="108"/>
        <v>0</v>
      </c>
      <c r="CF98" s="171">
        <f t="shared" si="109"/>
        <v>0</v>
      </c>
      <c r="CG98" s="170">
        <f t="shared" si="129"/>
        <v>0</v>
      </c>
      <c r="CH98" s="90">
        <f t="shared" si="110"/>
        <v>0</v>
      </c>
      <c r="CI98" s="171">
        <f t="shared" si="111"/>
        <v>0</v>
      </c>
      <c r="CJ98" s="170">
        <f t="shared" si="130"/>
        <v>0</v>
      </c>
      <c r="CK98" s="90">
        <f t="shared" si="112"/>
        <v>0</v>
      </c>
      <c r="CL98" s="171">
        <f t="shared" si="113"/>
        <v>0</v>
      </c>
      <c r="CM98" s="170">
        <f t="shared" si="131"/>
        <v>0</v>
      </c>
      <c r="CN98" s="90">
        <f t="shared" si="114"/>
        <v>0</v>
      </c>
      <c r="CO98" s="171">
        <f t="shared" si="115"/>
        <v>0</v>
      </c>
      <c r="CP98" s="170">
        <f t="shared" si="132"/>
        <v>0</v>
      </c>
      <c r="CQ98" s="90">
        <f t="shared" si="116"/>
        <v>0</v>
      </c>
      <c r="CR98" s="171">
        <f t="shared" si="117"/>
        <v>0</v>
      </c>
      <c r="CS98" s="170">
        <f t="shared" si="133"/>
        <v>0</v>
      </c>
      <c r="CT98" s="90">
        <f t="shared" si="118"/>
        <v>0</v>
      </c>
      <c r="CU98" s="171">
        <f t="shared" si="119"/>
        <v>0</v>
      </c>
      <c r="CV98" s="170">
        <f t="shared" si="134"/>
        <v>0</v>
      </c>
      <c r="CW98" s="90">
        <f t="shared" si="120"/>
        <v>0</v>
      </c>
      <c r="CX98" s="171">
        <f t="shared" si="121"/>
        <v>0</v>
      </c>
      <c r="CY98" s="170">
        <f t="shared" si="135"/>
        <v>0</v>
      </c>
      <c r="CZ98" s="168">
        <f t="shared" si="136"/>
        <v>0</v>
      </c>
      <c r="DA98" s="172">
        <f t="shared" si="138"/>
        <v>0</v>
      </c>
      <c r="DB98" s="173">
        <f t="shared" si="139"/>
        <v>0</v>
      </c>
      <c r="DC98" s="172">
        <f t="shared" si="140"/>
        <v>0</v>
      </c>
      <c r="DD98" s="172">
        <f t="shared" si="140"/>
        <v>0</v>
      </c>
      <c r="DE98" s="172">
        <f t="shared" si="140"/>
        <v>0</v>
      </c>
      <c r="DF98" s="172">
        <f t="shared" si="141"/>
        <v>0</v>
      </c>
      <c r="DG98" s="1"/>
      <c r="DH98" s="1"/>
      <c r="DI98" s="3"/>
      <c r="DJ98" s="8"/>
      <c r="DK98" s="8"/>
      <c r="DL98" s="8"/>
      <c r="DM98" s="8"/>
      <c r="DN98" s="8"/>
      <c r="DO98" s="8"/>
      <c r="DP98" s="8"/>
      <c r="DQ98" s="3"/>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row>
    <row r="99" spans="1:155" s="565" customFormat="1" ht="12">
      <c r="A99" s="181"/>
      <c r="B99" s="3"/>
      <c r="C99" s="3"/>
      <c r="D99" s="3"/>
      <c r="E99" s="3"/>
      <c r="F99" s="3"/>
      <c r="G99" s="70"/>
      <c r="H99" s="70"/>
      <c r="I99" s="3"/>
      <c r="J99" s="3"/>
      <c r="K99" s="3"/>
      <c r="L99" s="3"/>
      <c r="M99" s="3"/>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70"/>
      <c r="BE99" s="165" t="s">
        <v>13</v>
      </c>
      <c r="BF99" s="23">
        <v>23</v>
      </c>
      <c r="BG99" s="23">
        <v>21</v>
      </c>
      <c r="BH99" s="23">
        <v>7</v>
      </c>
      <c r="BI99" s="90" t="b">
        <f t="shared" si="137"/>
        <v>0</v>
      </c>
      <c r="BJ99" s="46" t="b">
        <f t="shared" si="96"/>
        <v>0</v>
      </c>
      <c r="BK99" s="166">
        <f t="shared" si="97"/>
        <v>0</v>
      </c>
      <c r="BL99" s="175">
        <f>IF(SUM(BL$79:BL98,BK99)&gt;$BL$4,0,BK99)</f>
        <v>0</v>
      </c>
      <c r="BM99" s="23">
        <f t="shared" si="122"/>
        <v>0</v>
      </c>
      <c r="BN99" s="90">
        <f t="shared" si="123"/>
        <v>0</v>
      </c>
      <c r="BO99" s="24">
        <f t="shared" si="142"/>
        <v>0</v>
      </c>
      <c r="BP99" s="168">
        <f t="shared" si="98"/>
        <v>0</v>
      </c>
      <c r="BQ99" s="171">
        <f t="shared" si="99"/>
        <v>0</v>
      </c>
      <c r="BR99" s="170">
        <f t="shared" si="124"/>
        <v>0</v>
      </c>
      <c r="BS99" s="168">
        <f t="shared" si="100"/>
        <v>0</v>
      </c>
      <c r="BT99" s="171">
        <f t="shared" si="101"/>
        <v>0</v>
      </c>
      <c r="BU99" s="170">
        <f t="shared" si="125"/>
        <v>0</v>
      </c>
      <c r="BV99" s="168">
        <f t="shared" si="102"/>
        <v>0</v>
      </c>
      <c r="BW99" s="171">
        <f t="shared" si="103"/>
        <v>0</v>
      </c>
      <c r="BX99" s="170">
        <f t="shared" si="126"/>
        <v>0</v>
      </c>
      <c r="BY99" s="168">
        <f t="shared" si="104"/>
        <v>0</v>
      </c>
      <c r="BZ99" s="171">
        <f t="shared" si="105"/>
        <v>0</v>
      </c>
      <c r="CA99" s="170">
        <f t="shared" si="127"/>
        <v>0</v>
      </c>
      <c r="CB99" s="90">
        <f t="shared" si="106"/>
        <v>0</v>
      </c>
      <c r="CC99" s="171">
        <f t="shared" si="107"/>
        <v>0</v>
      </c>
      <c r="CD99" s="170">
        <f t="shared" si="128"/>
        <v>0</v>
      </c>
      <c r="CE99" s="90">
        <f t="shared" si="108"/>
        <v>0</v>
      </c>
      <c r="CF99" s="171">
        <f t="shared" si="109"/>
        <v>0</v>
      </c>
      <c r="CG99" s="170">
        <f t="shared" si="129"/>
        <v>0</v>
      </c>
      <c r="CH99" s="90">
        <f t="shared" si="110"/>
        <v>0</v>
      </c>
      <c r="CI99" s="171">
        <f t="shared" si="111"/>
        <v>0</v>
      </c>
      <c r="CJ99" s="170">
        <f t="shared" si="130"/>
        <v>0</v>
      </c>
      <c r="CK99" s="90">
        <f t="shared" si="112"/>
        <v>0</v>
      </c>
      <c r="CL99" s="171">
        <f t="shared" si="113"/>
        <v>0</v>
      </c>
      <c r="CM99" s="170">
        <f t="shared" si="131"/>
        <v>0</v>
      </c>
      <c r="CN99" s="90">
        <f t="shared" si="114"/>
        <v>0</v>
      </c>
      <c r="CO99" s="171">
        <f t="shared" si="115"/>
        <v>0</v>
      </c>
      <c r="CP99" s="170">
        <f t="shared" si="132"/>
        <v>0</v>
      </c>
      <c r="CQ99" s="90">
        <f t="shared" si="116"/>
        <v>0</v>
      </c>
      <c r="CR99" s="171">
        <f t="shared" si="117"/>
        <v>0</v>
      </c>
      <c r="CS99" s="170">
        <f t="shared" si="133"/>
        <v>0</v>
      </c>
      <c r="CT99" s="90">
        <f t="shared" si="118"/>
        <v>0</v>
      </c>
      <c r="CU99" s="171">
        <f t="shared" si="119"/>
        <v>0</v>
      </c>
      <c r="CV99" s="170">
        <f t="shared" si="134"/>
        <v>0</v>
      </c>
      <c r="CW99" s="90">
        <f t="shared" si="120"/>
        <v>0</v>
      </c>
      <c r="CX99" s="171">
        <f t="shared" si="121"/>
        <v>0</v>
      </c>
      <c r="CY99" s="170">
        <f t="shared" si="135"/>
        <v>0</v>
      </c>
      <c r="CZ99" s="168">
        <f t="shared" si="136"/>
        <v>0</v>
      </c>
      <c r="DA99" s="172">
        <f t="shared" si="138"/>
        <v>0</v>
      </c>
      <c r="DB99" s="173">
        <f t="shared" si="139"/>
        <v>0</v>
      </c>
      <c r="DC99" s="172">
        <f t="shared" si="140"/>
        <v>0</v>
      </c>
      <c r="DD99" s="172">
        <f t="shared" si="140"/>
        <v>0</v>
      </c>
      <c r="DE99" s="172">
        <f t="shared" si="140"/>
        <v>0</v>
      </c>
      <c r="DF99" s="172">
        <f t="shared" si="141"/>
        <v>0</v>
      </c>
      <c r="DG99" s="1"/>
      <c r="DH99" s="1"/>
      <c r="DI99" s="3"/>
      <c r="DJ99" s="8"/>
      <c r="DK99" s="8"/>
      <c r="DL99" s="8"/>
      <c r="DM99" s="8"/>
      <c r="DN99" s="8"/>
      <c r="DO99" s="8"/>
      <c r="DP99" s="8"/>
      <c r="DQ99" s="3"/>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row>
    <row r="100" spans="1:155" s="565" customFormat="1" ht="12">
      <c r="A100" s="181"/>
      <c r="B100" s="3"/>
      <c r="C100" s="3"/>
      <c r="D100" s="3"/>
      <c r="E100" s="3"/>
      <c r="F100" s="3"/>
      <c r="G100" s="70"/>
      <c r="H100" s="70"/>
      <c r="I100" s="70"/>
      <c r="J100" s="70"/>
      <c r="K100" s="70"/>
      <c r="L100" s="70"/>
      <c r="M100" s="70"/>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70"/>
      <c r="BE100" s="165" t="s">
        <v>13</v>
      </c>
      <c r="BF100" s="23">
        <v>23</v>
      </c>
      <c r="BG100" s="23">
        <v>22</v>
      </c>
      <c r="BH100" s="23">
        <v>1</v>
      </c>
      <c r="BI100" s="90" t="b">
        <f t="shared" si="137"/>
        <v>1</v>
      </c>
      <c r="BJ100" s="46" t="b">
        <f t="shared" si="96"/>
        <v>1</v>
      </c>
      <c r="BK100" s="166">
        <f t="shared" si="97"/>
        <v>7</v>
      </c>
      <c r="BL100" s="175">
        <f>IF(SUM(BL$79:BL99,BK100)&gt;$BL$4,0,BK100)</f>
        <v>7</v>
      </c>
      <c r="BM100" s="23">
        <f t="shared" si="122"/>
        <v>0</v>
      </c>
      <c r="BN100" s="90">
        <f t="shared" si="123"/>
        <v>0</v>
      </c>
      <c r="BO100" s="24">
        <f t="shared" si="142"/>
        <v>0</v>
      </c>
      <c r="BP100" s="168">
        <f t="shared" si="98"/>
        <v>0</v>
      </c>
      <c r="BQ100" s="171">
        <f t="shared" si="99"/>
        <v>0</v>
      </c>
      <c r="BR100" s="170">
        <f t="shared" si="124"/>
        <v>0</v>
      </c>
      <c r="BS100" s="168">
        <f t="shared" si="100"/>
        <v>0</v>
      </c>
      <c r="BT100" s="171">
        <f t="shared" si="101"/>
        <v>0</v>
      </c>
      <c r="BU100" s="170">
        <f t="shared" si="125"/>
        <v>0</v>
      </c>
      <c r="BV100" s="168">
        <f t="shared" si="102"/>
        <v>0</v>
      </c>
      <c r="BW100" s="171">
        <f t="shared" si="103"/>
        <v>0</v>
      </c>
      <c r="BX100" s="170">
        <f t="shared" si="126"/>
        <v>0</v>
      </c>
      <c r="BY100" s="168">
        <f t="shared" si="104"/>
        <v>0</v>
      </c>
      <c r="BZ100" s="171">
        <f t="shared" si="105"/>
        <v>0</v>
      </c>
      <c r="CA100" s="170">
        <f t="shared" si="127"/>
        <v>0</v>
      </c>
      <c r="CB100" s="90">
        <f t="shared" si="106"/>
        <v>0</v>
      </c>
      <c r="CC100" s="171">
        <f t="shared" si="107"/>
        <v>0</v>
      </c>
      <c r="CD100" s="170">
        <f t="shared" si="128"/>
        <v>0</v>
      </c>
      <c r="CE100" s="90">
        <f t="shared" si="108"/>
        <v>0</v>
      </c>
      <c r="CF100" s="171">
        <f t="shared" si="109"/>
        <v>0</v>
      </c>
      <c r="CG100" s="170">
        <f t="shared" si="129"/>
        <v>0</v>
      </c>
      <c r="CH100" s="90">
        <f t="shared" si="110"/>
        <v>0</v>
      </c>
      <c r="CI100" s="171">
        <f t="shared" si="111"/>
        <v>0</v>
      </c>
      <c r="CJ100" s="170">
        <f t="shared" si="130"/>
        <v>0</v>
      </c>
      <c r="CK100" s="90">
        <f t="shared" si="112"/>
        <v>0</v>
      </c>
      <c r="CL100" s="171">
        <f t="shared" si="113"/>
        <v>0</v>
      </c>
      <c r="CM100" s="170">
        <f t="shared" si="131"/>
        <v>0</v>
      </c>
      <c r="CN100" s="90">
        <f t="shared" si="114"/>
        <v>0</v>
      </c>
      <c r="CO100" s="171">
        <f t="shared" si="115"/>
        <v>0</v>
      </c>
      <c r="CP100" s="170">
        <f t="shared" si="132"/>
        <v>0</v>
      </c>
      <c r="CQ100" s="90">
        <f t="shared" si="116"/>
        <v>0</v>
      </c>
      <c r="CR100" s="171">
        <f t="shared" si="117"/>
        <v>0</v>
      </c>
      <c r="CS100" s="170">
        <f t="shared" si="133"/>
        <v>0</v>
      </c>
      <c r="CT100" s="90">
        <f t="shared" si="118"/>
        <v>0</v>
      </c>
      <c r="CU100" s="171">
        <f t="shared" si="119"/>
        <v>0</v>
      </c>
      <c r="CV100" s="170">
        <f t="shared" si="134"/>
        <v>0</v>
      </c>
      <c r="CW100" s="90">
        <f t="shared" si="120"/>
        <v>0</v>
      </c>
      <c r="CX100" s="171">
        <f t="shared" si="121"/>
        <v>0</v>
      </c>
      <c r="CY100" s="170">
        <f t="shared" si="135"/>
        <v>0</v>
      </c>
      <c r="CZ100" s="168">
        <f t="shared" si="136"/>
        <v>0</v>
      </c>
      <c r="DA100" s="172">
        <f t="shared" si="138"/>
        <v>0</v>
      </c>
      <c r="DB100" s="173">
        <f t="shared" si="139"/>
        <v>0</v>
      </c>
      <c r="DC100" s="172">
        <f t="shared" si="140"/>
        <v>0</v>
      </c>
      <c r="DD100" s="172">
        <f t="shared" si="140"/>
        <v>0</v>
      </c>
      <c r="DE100" s="172">
        <f t="shared" si="140"/>
        <v>0</v>
      </c>
      <c r="DF100" s="172">
        <f t="shared" si="141"/>
        <v>0</v>
      </c>
      <c r="DG100" s="1"/>
      <c r="DH100" s="1"/>
      <c r="DI100" s="3"/>
      <c r="DJ100" s="8"/>
      <c r="DK100" s="8"/>
      <c r="DL100" s="8"/>
      <c r="DM100" s="8"/>
      <c r="DN100" s="8"/>
      <c r="DO100" s="8"/>
      <c r="DP100" s="8"/>
      <c r="DQ100" s="3"/>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row>
    <row r="101" spans="1:155" s="565" customFormat="1" ht="14.25">
      <c r="A101" s="221"/>
      <c r="B101" s="272" t="s">
        <v>268</v>
      </c>
      <c r="C101" s="222"/>
      <c r="D101" s="222"/>
      <c r="E101" s="70"/>
      <c r="F101" s="70"/>
      <c r="G101" s="70"/>
      <c r="H101" s="70"/>
      <c r="I101" s="70"/>
      <c r="J101" s="70"/>
      <c r="K101" s="70"/>
      <c r="L101" s="70"/>
      <c r="M101" s="70"/>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70"/>
      <c r="BE101" s="165" t="s">
        <v>13</v>
      </c>
      <c r="BF101" s="23">
        <v>23</v>
      </c>
      <c r="BG101" s="23">
        <v>23</v>
      </c>
      <c r="BH101" s="23">
        <v>2</v>
      </c>
      <c r="BI101" s="90" t="b">
        <f t="shared" si="137"/>
        <v>1</v>
      </c>
      <c r="BJ101" s="46" t="b">
        <f t="shared" si="96"/>
        <v>0</v>
      </c>
      <c r="BK101" s="166">
        <f t="shared" si="97"/>
        <v>0</v>
      </c>
      <c r="BL101" s="175">
        <f>IF(SUM(BL$79:BL100,BK101)&gt;$BL$4,0,BK101)</f>
        <v>0</v>
      </c>
      <c r="BM101" s="23">
        <f t="shared" si="122"/>
        <v>0</v>
      </c>
      <c r="BN101" s="90">
        <f t="shared" si="123"/>
        <v>0</v>
      </c>
      <c r="BO101" s="24">
        <f t="shared" si="142"/>
        <v>0</v>
      </c>
      <c r="BP101" s="168">
        <f t="shared" si="98"/>
        <v>0</v>
      </c>
      <c r="BQ101" s="171">
        <f t="shared" si="99"/>
        <v>0</v>
      </c>
      <c r="BR101" s="170">
        <f t="shared" si="124"/>
        <v>0</v>
      </c>
      <c r="BS101" s="168">
        <f t="shared" si="100"/>
        <v>0</v>
      </c>
      <c r="BT101" s="171">
        <f t="shared" si="101"/>
        <v>0</v>
      </c>
      <c r="BU101" s="170">
        <f t="shared" si="125"/>
        <v>0</v>
      </c>
      <c r="BV101" s="168">
        <f t="shared" si="102"/>
        <v>0</v>
      </c>
      <c r="BW101" s="171">
        <f t="shared" si="103"/>
        <v>0</v>
      </c>
      <c r="BX101" s="170">
        <f t="shared" si="126"/>
        <v>0</v>
      </c>
      <c r="BY101" s="168">
        <f t="shared" si="104"/>
        <v>0</v>
      </c>
      <c r="BZ101" s="171">
        <f t="shared" si="105"/>
        <v>0</v>
      </c>
      <c r="CA101" s="170">
        <f t="shared" si="127"/>
        <v>0</v>
      </c>
      <c r="CB101" s="90">
        <f t="shared" si="106"/>
        <v>0</v>
      </c>
      <c r="CC101" s="171">
        <f t="shared" si="107"/>
        <v>0</v>
      </c>
      <c r="CD101" s="170">
        <f t="shared" si="128"/>
        <v>0</v>
      </c>
      <c r="CE101" s="90">
        <f t="shared" si="108"/>
        <v>0</v>
      </c>
      <c r="CF101" s="171">
        <f t="shared" si="109"/>
        <v>0</v>
      </c>
      <c r="CG101" s="170">
        <f t="shared" si="129"/>
        <v>0</v>
      </c>
      <c r="CH101" s="90">
        <f t="shared" si="110"/>
        <v>0</v>
      </c>
      <c r="CI101" s="171">
        <f t="shared" si="111"/>
        <v>0</v>
      </c>
      <c r="CJ101" s="170">
        <f t="shared" si="130"/>
        <v>0</v>
      </c>
      <c r="CK101" s="90">
        <f t="shared" si="112"/>
        <v>0</v>
      </c>
      <c r="CL101" s="171">
        <f t="shared" si="113"/>
        <v>0</v>
      </c>
      <c r="CM101" s="170">
        <f t="shared" si="131"/>
        <v>0</v>
      </c>
      <c r="CN101" s="90">
        <f t="shared" si="114"/>
        <v>0</v>
      </c>
      <c r="CO101" s="171">
        <f t="shared" si="115"/>
        <v>0</v>
      </c>
      <c r="CP101" s="170">
        <f t="shared" si="132"/>
        <v>0</v>
      </c>
      <c r="CQ101" s="90">
        <f t="shared" si="116"/>
        <v>0</v>
      </c>
      <c r="CR101" s="171">
        <f t="shared" si="117"/>
        <v>0</v>
      </c>
      <c r="CS101" s="170">
        <f t="shared" si="133"/>
        <v>0</v>
      </c>
      <c r="CT101" s="90">
        <f t="shared" si="118"/>
        <v>0</v>
      </c>
      <c r="CU101" s="171">
        <f t="shared" si="119"/>
        <v>0</v>
      </c>
      <c r="CV101" s="170">
        <f t="shared" si="134"/>
        <v>0</v>
      </c>
      <c r="CW101" s="90">
        <f t="shared" si="120"/>
        <v>0</v>
      </c>
      <c r="CX101" s="171">
        <f t="shared" si="121"/>
        <v>0</v>
      </c>
      <c r="CY101" s="170">
        <f t="shared" si="135"/>
        <v>0</v>
      </c>
      <c r="CZ101" s="168">
        <f t="shared" si="136"/>
        <v>0</v>
      </c>
      <c r="DA101" s="172">
        <f t="shared" si="138"/>
        <v>0</v>
      </c>
      <c r="DB101" s="173">
        <f t="shared" si="139"/>
        <v>0</v>
      </c>
      <c r="DC101" s="172">
        <f t="shared" ref="DC101:DE116" si="143">IF(DC100+$DB101&lt;0,0,IF(DC100+$DB101&gt;$F$405,$F$405,DC100+$DB101))</f>
        <v>0</v>
      </c>
      <c r="DD101" s="172">
        <f t="shared" si="143"/>
        <v>0</v>
      </c>
      <c r="DE101" s="172">
        <f t="shared" si="143"/>
        <v>0</v>
      </c>
      <c r="DF101" s="172">
        <f t="shared" si="141"/>
        <v>0</v>
      </c>
      <c r="DG101" s="1"/>
      <c r="DH101" s="1"/>
      <c r="DI101" s="3"/>
      <c r="DJ101" s="8"/>
      <c r="DK101" s="8"/>
      <c r="DL101" s="8"/>
      <c r="DM101" s="8"/>
      <c r="DN101" s="8"/>
      <c r="DO101" s="8"/>
      <c r="DP101" s="8"/>
      <c r="DQ101" s="3"/>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row>
    <row r="102" spans="1:155" s="565" customFormat="1" ht="12">
      <c r="A102" s="181"/>
      <c r="B102" s="70"/>
      <c r="C102" s="70"/>
      <c r="D102" s="70"/>
      <c r="E102" s="70"/>
      <c r="F102" s="70"/>
      <c r="G102" s="70"/>
      <c r="H102" s="70"/>
      <c r="I102" s="70"/>
      <c r="J102" s="70"/>
      <c r="K102" s="70"/>
      <c r="L102" s="70"/>
      <c r="M102" s="70"/>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3"/>
      <c r="BE102" s="165" t="s">
        <v>13</v>
      </c>
      <c r="BF102" s="23">
        <v>23</v>
      </c>
      <c r="BG102" s="23">
        <v>24</v>
      </c>
      <c r="BH102" s="23">
        <v>3</v>
      </c>
      <c r="BI102" s="90" t="b">
        <f t="shared" si="137"/>
        <v>1</v>
      </c>
      <c r="BJ102" s="46" t="b">
        <f t="shared" si="96"/>
        <v>1</v>
      </c>
      <c r="BK102" s="166">
        <f t="shared" si="97"/>
        <v>7</v>
      </c>
      <c r="BL102" s="175">
        <f>IF(SUM(BL$79:BL101,BK102)&gt;$BL$4,0,BK102)</f>
        <v>7</v>
      </c>
      <c r="BM102" s="23">
        <f t="shared" si="122"/>
        <v>0</v>
      </c>
      <c r="BN102" s="90">
        <f t="shared" si="123"/>
        <v>0</v>
      </c>
      <c r="BO102" s="24">
        <f t="shared" si="142"/>
        <v>0</v>
      </c>
      <c r="BP102" s="168">
        <f t="shared" si="98"/>
        <v>0</v>
      </c>
      <c r="BQ102" s="171">
        <f t="shared" si="99"/>
        <v>0</v>
      </c>
      <c r="BR102" s="170">
        <f t="shared" si="124"/>
        <v>0</v>
      </c>
      <c r="BS102" s="168">
        <f t="shared" si="100"/>
        <v>0</v>
      </c>
      <c r="BT102" s="171">
        <f t="shared" si="101"/>
        <v>0</v>
      </c>
      <c r="BU102" s="170">
        <f t="shared" si="125"/>
        <v>0</v>
      </c>
      <c r="BV102" s="168">
        <f t="shared" si="102"/>
        <v>0</v>
      </c>
      <c r="BW102" s="171">
        <f t="shared" si="103"/>
        <v>0</v>
      </c>
      <c r="BX102" s="170">
        <f t="shared" si="126"/>
        <v>0</v>
      </c>
      <c r="BY102" s="168">
        <f t="shared" si="104"/>
        <v>0</v>
      </c>
      <c r="BZ102" s="171">
        <f t="shared" si="105"/>
        <v>0</v>
      </c>
      <c r="CA102" s="170">
        <f t="shared" si="127"/>
        <v>0</v>
      </c>
      <c r="CB102" s="90">
        <f t="shared" si="106"/>
        <v>0</v>
      </c>
      <c r="CC102" s="171">
        <f t="shared" si="107"/>
        <v>0</v>
      </c>
      <c r="CD102" s="170">
        <f t="shared" si="128"/>
        <v>0</v>
      </c>
      <c r="CE102" s="90">
        <f t="shared" si="108"/>
        <v>0</v>
      </c>
      <c r="CF102" s="171">
        <f t="shared" si="109"/>
        <v>0</v>
      </c>
      <c r="CG102" s="170">
        <f t="shared" si="129"/>
        <v>0</v>
      </c>
      <c r="CH102" s="90">
        <f t="shared" si="110"/>
        <v>0</v>
      </c>
      <c r="CI102" s="171">
        <f t="shared" si="111"/>
        <v>0</v>
      </c>
      <c r="CJ102" s="170">
        <f t="shared" si="130"/>
        <v>0</v>
      </c>
      <c r="CK102" s="90">
        <f t="shared" si="112"/>
        <v>0</v>
      </c>
      <c r="CL102" s="171">
        <f t="shared" si="113"/>
        <v>0</v>
      </c>
      <c r="CM102" s="170">
        <f t="shared" si="131"/>
        <v>0</v>
      </c>
      <c r="CN102" s="90">
        <f t="shared" si="114"/>
        <v>0</v>
      </c>
      <c r="CO102" s="171">
        <f t="shared" si="115"/>
        <v>0</v>
      </c>
      <c r="CP102" s="170">
        <f t="shared" si="132"/>
        <v>0</v>
      </c>
      <c r="CQ102" s="90">
        <f t="shared" si="116"/>
        <v>0</v>
      </c>
      <c r="CR102" s="171">
        <f t="shared" si="117"/>
        <v>0</v>
      </c>
      <c r="CS102" s="170">
        <f t="shared" si="133"/>
        <v>0</v>
      </c>
      <c r="CT102" s="90">
        <f t="shared" si="118"/>
        <v>0</v>
      </c>
      <c r="CU102" s="171">
        <f t="shared" si="119"/>
        <v>0</v>
      </c>
      <c r="CV102" s="170">
        <f t="shared" si="134"/>
        <v>0</v>
      </c>
      <c r="CW102" s="90">
        <f t="shared" si="120"/>
        <v>0</v>
      </c>
      <c r="CX102" s="171">
        <f t="shared" si="121"/>
        <v>0</v>
      </c>
      <c r="CY102" s="170">
        <f t="shared" si="135"/>
        <v>0</v>
      </c>
      <c r="CZ102" s="168">
        <f t="shared" si="136"/>
        <v>0</v>
      </c>
      <c r="DA102" s="172">
        <f t="shared" si="138"/>
        <v>0</v>
      </c>
      <c r="DB102" s="173">
        <f t="shared" si="139"/>
        <v>0</v>
      </c>
      <c r="DC102" s="172">
        <f t="shared" si="143"/>
        <v>0</v>
      </c>
      <c r="DD102" s="172">
        <f t="shared" si="143"/>
        <v>0</v>
      </c>
      <c r="DE102" s="172">
        <f t="shared" si="143"/>
        <v>0</v>
      </c>
      <c r="DF102" s="172">
        <f t="shared" si="141"/>
        <v>0</v>
      </c>
      <c r="DG102" s="1"/>
      <c r="DH102" s="1"/>
      <c r="DI102" s="3"/>
      <c r="DJ102" s="8"/>
      <c r="DK102" s="8"/>
      <c r="DL102" s="8"/>
      <c r="DM102" s="8"/>
      <c r="DN102" s="8"/>
      <c r="DO102" s="8"/>
      <c r="DP102" s="8"/>
      <c r="DQ102" s="3"/>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row>
    <row r="103" spans="1:155" s="565" customFormat="1" ht="12">
      <c r="A103" s="181"/>
      <c r="B103" s="70"/>
      <c r="C103" s="70"/>
      <c r="D103" s="273" t="str">
        <f>$X$56</f>
        <v>Notional Building</v>
      </c>
      <c r="E103" s="70"/>
      <c r="F103" s="70"/>
      <c r="G103" s="70"/>
      <c r="H103" s="70"/>
      <c r="I103" s="70"/>
      <c r="J103" s="70"/>
      <c r="K103" s="70"/>
      <c r="L103" s="70"/>
      <c r="M103" s="70"/>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70"/>
      <c r="BE103" s="165" t="s">
        <v>13</v>
      </c>
      <c r="BF103" s="23">
        <v>23</v>
      </c>
      <c r="BG103" s="23">
        <v>25</v>
      </c>
      <c r="BH103" s="23">
        <v>4</v>
      </c>
      <c r="BI103" s="90" t="b">
        <f t="shared" si="137"/>
        <v>1</v>
      </c>
      <c r="BJ103" s="46" t="b">
        <f t="shared" si="96"/>
        <v>0</v>
      </c>
      <c r="BK103" s="166">
        <f t="shared" si="97"/>
        <v>0</v>
      </c>
      <c r="BL103" s="175">
        <f>IF(SUM(BL$79:BL102,BK103)&gt;$BL$4,0,BK103)</f>
        <v>0</v>
      </c>
      <c r="BM103" s="23">
        <f t="shared" si="122"/>
        <v>0</v>
      </c>
      <c r="BN103" s="90">
        <f t="shared" si="123"/>
        <v>0</v>
      </c>
      <c r="BO103" s="24">
        <f t="shared" si="142"/>
        <v>0</v>
      </c>
      <c r="BP103" s="168">
        <f t="shared" si="98"/>
        <v>0</v>
      </c>
      <c r="BQ103" s="171">
        <f t="shared" si="99"/>
        <v>0</v>
      </c>
      <c r="BR103" s="170">
        <f t="shared" si="124"/>
        <v>0</v>
      </c>
      <c r="BS103" s="168">
        <f t="shared" si="100"/>
        <v>0</v>
      </c>
      <c r="BT103" s="171">
        <f t="shared" si="101"/>
        <v>0</v>
      </c>
      <c r="BU103" s="170">
        <f t="shared" si="125"/>
        <v>0</v>
      </c>
      <c r="BV103" s="168">
        <f t="shared" si="102"/>
        <v>0</v>
      </c>
      <c r="BW103" s="171">
        <f t="shared" si="103"/>
        <v>0</v>
      </c>
      <c r="BX103" s="170">
        <f t="shared" si="126"/>
        <v>0</v>
      </c>
      <c r="BY103" s="168">
        <f t="shared" si="104"/>
        <v>0</v>
      </c>
      <c r="BZ103" s="171">
        <f t="shared" si="105"/>
        <v>0</v>
      </c>
      <c r="CA103" s="170">
        <f t="shared" si="127"/>
        <v>0</v>
      </c>
      <c r="CB103" s="90">
        <f t="shared" si="106"/>
        <v>0</v>
      </c>
      <c r="CC103" s="171">
        <f t="shared" si="107"/>
        <v>0</v>
      </c>
      <c r="CD103" s="170">
        <f t="shared" si="128"/>
        <v>0</v>
      </c>
      <c r="CE103" s="90">
        <f t="shared" si="108"/>
        <v>0</v>
      </c>
      <c r="CF103" s="171">
        <f t="shared" si="109"/>
        <v>0</v>
      </c>
      <c r="CG103" s="170">
        <f t="shared" si="129"/>
        <v>0</v>
      </c>
      <c r="CH103" s="90">
        <f t="shared" si="110"/>
        <v>0</v>
      </c>
      <c r="CI103" s="171">
        <f t="shared" si="111"/>
        <v>0</v>
      </c>
      <c r="CJ103" s="170">
        <f t="shared" si="130"/>
        <v>0</v>
      </c>
      <c r="CK103" s="90">
        <f t="shared" si="112"/>
        <v>0</v>
      </c>
      <c r="CL103" s="171">
        <f t="shared" si="113"/>
        <v>0</v>
      </c>
      <c r="CM103" s="170">
        <f t="shared" si="131"/>
        <v>0</v>
      </c>
      <c r="CN103" s="90">
        <f t="shared" si="114"/>
        <v>0</v>
      </c>
      <c r="CO103" s="171">
        <f t="shared" si="115"/>
        <v>0</v>
      </c>
      <c r="CP103" s="170">
        <f t="shared" si="132"/>
        <v>0</v>
      </c>
      <c r="CQ103" s="90">
        <f t="shared" si="116"/>
        <v>0</v>
      </c>
      <c r="CR103" s="171">
        <f t="shared" si="117"/>
        <v>0</v>
      </c>
      <c r="CS103" s="170">
        <f t="shared" si="133"/>
        <v>0</v>
      </c>
      <c r="CT103" s="90">
        <f t="shared" si="118"/>
        <v>0</v>
      </c>
      <c r="CU103" s="171">
        <f t="shared" si="119"/>
        <v>0</v>
      </c>
      <c r="CV103" s="170">
        <f t="shared" si="134"/>
        <v>0</v>
      </c>
      <c r="CW103" s="90">
        <f t="shared" si="120"/>
        <v>0</v>
      </c>
      <c r="CX103" s="171">
        <f t="shared" si="121"/>
        <v>0</v>
      </c>
      <c r="CY103" s="170">
        <f t="shared" si="135"/>
        <v>0</v>
      </c>
      <c r="CZ103" s="168">
        <f t="shared" si="136"/>
        <v>0</v>
      </c>
      <c r="DA103" s="172">
        <f t="shared" si="138"/>
        <v>0</v>
      </c>
      <c r="DB103" s="173">
        <f t="shared" si="139"/>
        <v>0</v>
      </c>
      <c r="DC103" s="172">
        <f t="shared" si="143"/>
        <v>0</v>
      </c>
      <c r="DD103" s="172">
        <f t="shared" si="143"/>
        <v>0</v>
      </c>
      <c r="DE103" s="172">
        <f t="shared" si="143"/>
        <v>0</v>
      </c>
      <c r="DF103" s="172">
        <f t="shared" si="141"/>
        <v>0</v>
      </c>
      <c r="DG103" s="1"/>
      <c r="DH103" s="1"/>
      <c r="DI103" s="3"/>
      <c r="DJ103" s="8"/>
      <c r="DK103" s="8"/>
      <c r="DL103" s="8"/>
      <c r="DM103" s="8"/>
      <c r="DN103" s="8"/>
      <c r="DO103" s="8"/>
      <c r="DP103" s="8"/>
      <c r="DQ103" s="3"/>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row>
    <row r="104" spans="1:155" s="565" customFormat="1" ht="12">
      <c r="A104" s="181"/>
      <c r="B104" s="70"/>
      <c r="C104" s="70"/>
      <c r="D104" s="273" t="s">
        <v>269</v>
      </c>
      <c r="E104" s="70"/>
      <c r="F104" s="70"/>
      <c r="G104" s="70"/>
      <c r="H104" s="70"/>
      <c r="I104" s="70"/>
      <c r="J104" s="70"/>
      <c r="K104" s="70"/>
      <c r="L104" s="70"/>
      <c r="M104" s="70"/>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70"/>
      <c r="BE104" s="165" t="s">
        <v>13</v>
      </c>
      <c r="BF104" s="23">
        <v>23</v>
      </c>
      <c r="BG104" s="23">
        <v>26</v>
      </c>
      <c r="BH104" s="23">
        <v>5</v>
      </c>
      <c r="BI104" s="90" t="b">
        <f t="shared" si="137"/>
        <v>1</v>
      </c>
      <c r="BJ104" s="46" t="b">
        <f t="shared" si="96"/>
        <v>1</v>
      </c>
      <c r="BK104" s="166">
        <f t="shared" si="97"/>
        <v>7</v>
      </c>
      <c r="BL104" s="175">
        <f>IF(SUM(BL$79:BL103,BK104)&gt;$BL$4,0,BK104)</f>
        <v>7</v>
      </c>
      <c r="BM104" s="23">
        <f t="shared" si="122"/>
        <v>0</v>
      </c>
      <c r="BN104" s="90">
        <f t="shared" si="123"/>
        <v>0</v>
      </c>
      <c r="BO104" s="24">
        <f t="shared" si="142"/>
        <v>0</v>
      </c>
      <c r="BP104" s="168">
        <f t="shared" si="98"/>
        <v>0</v>
      </c>
      <c r="BQ104" s="171">
        <f t="shared" si="99"/>
        <v>0</v>
      </c>
      <c r="BR104" s="170">
        <f t="shared" si="124"/>
        <v>0</v>
      </c>
      <c r="BS104" s="168">
        <f t="shared" si="100"/>
        <v>0</v>
      </c>
      <c r="BT104" s="171">
        <f t="shared" si="101"/>
        <v>0</v>
      </c>
      <c r="BU104" s="170">
        <f t="shared" si="125"/>
        <v>0</v>
      </c>
      <c r="BV104" s="168">
        <f t="shared" si="102"/>
        <v>0</v>
      </c>
      <c r="BW104" s="171">
        <f t="shared" si="103"/>
        <v>0</v>
      </c>
      <c r="BX104" s="170">
        <f t="shared" si="126"/>
        <v>0</v>
      </c>
      <c r="BY104" s="168">
        <f t="shared" si="104"/>
        <v>0</v>
      </c>
      <c r="BZ104" s="171">
        <f t="shared" si="105"/>
        <v>0</v>
      </c>
      <c r="CA104" s="170">
        <f t="shared" si="127"/>
        <v>0</v>
      </c>
      <c r="CB104" s="90">
        <f t="shared" si="106"/>
        <v>0</v>
      </c>
      <c r="CC104" s="171">
        <f t="shared" si="107"/>
        <v>0</v>
      </c>
      <c r="CD104" s="170">
        <f t="shared" si="128"/>
        <v>0</v>
      </c>
      <c r="CE104" s="90">
        <f t="shared" si="108"/>
        <v>0</v>
      </c>
      <c r="CF104" s="171">
        <f t="shared" si="109"/>
        <v>0</v>
      </c>
      <c r="CG104" s="170">
        <f t="shared" si="129"/>
        <v>0</v>
      </c>
      <c r="CH104" s="90">
        <f t="shared" si="110"/>
        <v>0</v>
      </c>
      <c r="CI104" s="171">
        <f t="shared" si="111"/>
        <v>0</v>
      </c>
      <c r="CJ104" s="170">
        <f t="shared" si="130"/>
        <v>0</v>
      </c>
      <c r="CK104" s="90">
        <f t="shared" si="112"/>
        <v>0</v>
      </c>
      <c r="CL104" s="171">
        <f t="shared" si="113"/>
        <v>0</v>
      </c>
      <c r="CM104" s="170">
        <f t="shared" si="131"/>
        <v>0</v>
      </c>
      <c r="CN104" s="90">
        <f t="shared" si="114"/>
        <v>0</v>
      </c>
      <c r="CO104" s="171">
        <f t="shared" si="115"/>
        <v>0</v>
      </c>
      <c r="CP104" s="170">
        <f t="shared" si="132"/>
        <v>0</v>
      </c>
      <c r="CQ104" s="90">
        <f t="shared" si="116"/>
        <v>0</v>
      </c>
      <c r="CR104" s="171">
        <f t="shared" si="117"/>
        <v>0</v>
      </c>
      <c r="CS104" s="170">
        <f t="shared" si="133"/>
        <v>0</v>
      </c>
      <c r="CT104" s="90">
        <f t="shared" si="118"/>
        <v>0</v>
      </c>
      <c r="CU104" s="171">
        <f t="shared" si="119"/>
        <v>0</v>
      </c>
      <c r="CV104" s="170">
        <f t="shared" si="134"/>
        <v>0</v>
      </c>
      <c r="CW104" s="90">
        <f t="shared" si="120"/>
        <v>0</v>
      </c>
      <c r="CX104" s="171">
        <f t="shared" si="121"/>
        <v>0</v>
      </c>
      <c r="CY104" s="170">
        <f t="shared" si="135"/>
        <v>0</v>
      </c>
      <c r="CZ104" s="168">
        <f t="shared" si="136"/>
        <v>0</v>
      </c>
      <c r="DA104" s="172">
        <f t="shared" si="138"/>
        <v>0</v>
      </c>
      <c r="DB104" s="173">
        <f t="shared" si="139"/>
        <v>0</v>
      </c>
      <c r="DC104" s="172">
        <f t="shared" si="143"/>
        <v>0</v>
      </c>
      <c r="DD104" s="172">
        <f t="shared" si="143"/>
        <v>0</v>
      </c>
      <c r="DE104" s="172">
        <f t="shared" si="143"/>
        <v>0</v>
      </c>
      <c r="DF104" s="172">
        <f t="shared" si="141"/>
        <v>0</v>
      </c>
      <c r="DG104" s="1"/>
      <c r="DH104" s="1"/>
      <c r="DI104" s="3"/>
      <c r="DJ104" s="8"/>
      <c r="DK104" s="8"/>
      <c r="DL104" s="8"/>
      <c r="DM104" s="8"/>
      <c r="DN104" s="8"/>
      <c r="DO104" s="8"/>
      <c r="DP104" s="8"/>
      <c r="DQ104" s="3"/>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row>
    <row r="105" spans="1:155" s="565" customFormat="1" ht="12">
      <c r="A105" s="243"/>
      <c r="B105" s="715" t="str">
        <f>B56</f>
        <v>WC</v>
      </c>
      <c r="C105" s="716"/>
      <c r="D105" s="195">
        <f>F64</f>
        <v>0</v>
      </c>
      <c r="E105" s="70"/>
      <c r="F105" s="70"/>
      <c r="G105" s="70"/>
      <c r="H105" s="70"/>
      <c r="I105" s="70"/>
      <c r="J105" s="70"/>
      <c r="K105" s="70"/>
      <c r="L105" s="70"/>
      <c r="M105" s="70"/>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70"/>
      <c r="BE105" s="165" t="s">
        <v>13</v>
      </c>
      <c r="BF105" s="23">
        <v>23</v>
      </c>
      <c r="BG105" s="23">
        <v>27</v>
      </c>
      <c r="BH105" s="23">
        <v>6</v>
      </c>
      <c r="BI105" s="90" t="b">
        <f t="shared" si="137"/>
        <v>0</v>
      </c>
      <c r="BJ105" s="46" t="b">
        <f t="shared" si="96"/>
        <v>0</v>
      </c>
      <c r="BK105" s="166">
        <f t="shared" si="97"/>
        <v>0</v>
      </c>
      <c r="BL105" s="175">
        <f>IF(SUM(BL$79:BL104,BK105)&gt;$BL$4,0,BK105)</f>
        <v>0</v>
      </c>
      <c r="BM105" s="23">
        <f t="shared" si="122"/>
        <v>0</v>
      </c>
      <c r="BN105" s="90">
        <f t="shared" si="123"/>
        <v>0</v>
      </c>
      <c r="BO105" s="24">
        <f t="shared" si="142"/>
        <v>0</v>
      </c>
      <c r="BP105" s="168">
        <f t="shared" si="98"/>
        <v>0</v>
      </c>
      <c r="BQ105" s="171">
        <f t="shared" si="99"/>
        <v>0</v>
      </c>
      <c r="BR105" s="170">
        <f t="shared" si="124"/>
        <v>0</v>
      </c>
      <c r="BS105" s="168">
        <f t="shared" si="100"/>
        <v>0</v>
      </c>
      <c r="BT105" s="171">
        <f t="shared" si="101"/>
        <v>0</v>
      </c>
      <c r="BU105" s="170">
        <f t="shared" si="125"/>
        <v>0</v>
      </c>
      <c r="BV105" s="168">
        <f t="shared" si="102"/>
        <v>0</v>
      </c>
      <c r="BW105" s="171">
        <f t="shared" si="103"/>
        <v>0</v>
      </c>
      <c r="BX105" s="170">
        <f t="shared" si="126"/>
        <v>0</v>
      </c>
      <c r="BY105" s="168">
        <f t="shared" si="104"/>
        <v>0</v>
      </c>
      <c r="BZ105" s="171">
        <f t="shared" si="105"/>
        <v>0</v>
      </c>
      <c r="CA105" s="170">
        <f t="shared" si="127"/>
        <v>0</v>
      </c>
      <c r="CB105" s="90">
        <f t="shared" si="106"/>
        <v>0</v>
      </c>
      <c r="CC105" s="171">
        <f t="shared" si="107"/>
        <v>0</v>
      </c>
      <c r="CD105" s="170">
        <f t="shared" si="128"/>
        <v>0</v>
      </c>
      <c r="CE105" s="90">
        <f t="shared" si="108"/>
        <v>0</v>
      </c>
      <c r="CF105" s="171">
        <f t="shared" si="109"/>
        <v>0</v>
      </c>
      <c r="CG105" s="170">
        <f t="shared" si="129"/>
        <v>0</v>
      </c>
      <c r="CH105" s="90">
        <f t="shared" si="110"/>
        <v>0</v>
      </c>
      <c r="CI105" s="171">
        <f t="shared" si="111"/>
        <v>0</v>
      </c>
      <c r="CJ105" s="170">
        <f t="shared" si="130"/>
        <v>0</v>
      </c>
      <c r="CK105" s="90">
        <f t="shared" si="112"/>
        <v>0</v>
      </c>
      <c r="CL105" s="171">
        <f t="shared" si="113"/>
        <v>0</v>
      </c>
      <c r="CM105" s="170">
        <f t="shared" si="131"/>
        <v>0</v>
      </c>
      <c r="CN105" s="90">
        <f t="shared" si="114"/>
        <v>0</v>
      </c>
      <c r="CO105" s="171">
        <f t="shared" si="115"/>
        <v>0</v>
      </c>
      <c r="CP105" s="170">
        <f t="shared" si="132"/>
        <v>0</v>
      </c>
      <c r="CQ105" s="90">
        <f t="shared" si="116"/>
        <v>0</v>
      </c>
      <c r="CR105" s="171">
        <f t="shared" si="117"/>
        <v>0</v>
      </c>
      <c r="CS105" s="170">
        <f t="shared" si="133"/>
        <v>0</v>
      </c>
      <c r="CT105" s="90">
        <f t="shared" si="118"/>
        <v>0</v>
      </c>
      <c r="CU105" s="171">
        <f t="shared" si="119"/>
        <v>0</v>
      </c>
      <c r="CV105" s="170">
        <f t="shared" si="134"/>
        <v>0</v>
      </c>
      <c r="CW105" s="90">
        <f t="shared" si="120"/>
        <v>0</v>
      </c>
      <c r="CX105" s="171">
        <f t="shared" si="121"/>
        <v>0</v>
      </c>
      <c r="CY105" s="170">
        <f t="shared" si="135"/>
        <v>0</v>
      </c>
      <c r="CZ105" s="168">
        <f t="shared" si="136"/>
        <v>0</v>
      </c>
      <c r="DA105" s="172">
        <f t="shared" si="138"/>
        <v>0</v>
      </c>
      <c r="DB105" s="173">
        <f t="shared" si="139"/>
        <v>0</v>
      </c>
      <c r="DC105" s="172">
        <f t="shared" si="143"/>
        <v>0</v>
      </c>
      <c r="DD105" s="172">
        <f t="shared" si="143"/>
        <v>0</v>
      </c>
      <c r="DE105" s="172">
        <f t="shared" si="143"/>
        <v>0</v>
      </c>
      <c r="DF105" s="172">
        <f t="shared" si="141"/>
        <v>0</v>
      </c>
      <c r="DG105" s="1"/>
      <c r="DH105" s="1"/>
      <c r="DI105" s="3"/>
      <c r="DJ105" s="8"/>
      <c r="DK105" s="8"/>
      <c r="DL105" s="8"/>
      <c r="DM105" s="8"/>
      <c r="DN105" s="8"/>
      <c r="DO105" s="8"/>
      <c r="DP105" s="8"/>
      <c r="DQ105" s="3"/>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row>
    <row r="106" spans="1:155" s="565" customFormat="1" ht="12">
      <c r="A106" s="123"/>
      <c r="B106" s="715" t="s">
        <v>106</v>
      </c>
      <c r="C106" s="716"/>
      <c r="D106" s="195">
        <f>F78</f>
        <v>0</v>
      </c>
      <c r="E106" s="70"/>
      <c r="F106" s="70"/>
      <c r="G106" s="70"/>
      <c r="H106" s="70"/>
      <c r="I106" s="70"/>
      <c r="J106" s="70"/>
      <c r="K106" s="70"/>
      <c r="L106" s="70"/>
      <c r="M106" s="70"/>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70"/>
      <c r="BE106" s="165" t="s">
        <v>13</v>
      </c>
      <c r="BF106" s="23">
        <v>23</v>
      </c>
      <c r="BG106" s="23">
        <v>28</v>
      </c>
      <c r="BH106" s="23">
        <v>7</v>
      </c>
      <c r="BI106" s="90" t="b">
        <f t="shared" si="137"/>
        <v>0</v>
      </c>
      <c r="BJ106" s="46" t="b">
        <f t="shared" si="96"/>
        <v>1</v>
      </c>
      <c r="BK106" s="166">
        <f t="shared" si="97"/>
        <v>7</v>
      </c>
      <c r="BL106" s="175">
        <f>IF(SUM(BL$79:BL105,BK106)&gt;$BL$4,0,BK106)</f>
        <v>0</v>
      </c>
      <c r="BM106" s="23">
        <f t="shared" si="122"/>
        <v>0</v>
      </c>
      <c r="BN106" s="90">
        <f t="shared" si="123"/>
        <v>0</v>
      </c>
      <c r="BO106" s="24">
        <f t="shared" si="142"/>
        <v>0</v>
      </c>
      <c r="BP106" s="168">
        <f t="shared" si="98"/>
        <v>0</v>
      </c>
      <c r="BQ106" s="171">
        <f t="shared" si="99"/>
        <v>0</v>
      </c>
      <c r="BR106" s="170">
        <f t="shared" si="124"/>
        <v>0</v>
      </c>
      <c r="BS106" s="168">
        <f t="shared" si="100"/>
        <v>0</v>
      </c>
      <c r="BT106" s="171">
        <f t="shared" si="101"/>
        <v>0</v>
      </c>
      <c r="BU106" s="170">
        <f t="shared" si="125"/>
        <v>0</v>
      </c>
      <c r="BV106" s="168">
        <f t="shared" si="102"/>
        <v>0</v>
      </c>
      <c r="BW106" s="171">
        <f t="shared" si="103"/>
        <v>0</v>
      </c>
      <c r="BX106" s="170">
        <f t="shared" si="126"/>
        <v>0</v>
      </c>
      <c r="BY106" s="168">
        <f t="shared" si="104"/>
        <v>0</v>
      </c>
      <c r="BZ106" s="171">
        <f t="shared" si="105"/>
        <v>0</v>
      </c>
      <c r="CA106" s="170">
        <f t="shared" si="127"/>
        <v>0</v>
      </c>
      <c r="CB106" s="90">
        <f t="shared" si="106"/>
        <v>0</v>
      </c>
      <c r="CC106" s="171">
        <f t="shared" si="107"/>
        <v>0</v>
      </c>
      <c r="CD106" s="170">
        <f t="shared" si="128"/>
        <v>0</v>
      </c>
      <c r="CE106" s="90">
        <f t="shared" si="108"/>
        <v>0</v>
      </c>
      <c r="CF106" s="171">
        <f t="shared" si="109"/>
        <v>0</v>
      </c>
      <c r="CG106" s="170">
        <f t="shared" si="129"/>
        <v>0</v>
      </c>
      <c r="CH106" s="90">
        <f t="shared" si="110"/>
        <v>0</v>
      </c>
      <c r="CI106" s="171">
        <f t="shared" si="111"/>
        <v>0</v>
      </c>
      <c r="CJ106" s="170">
        <f t="shared" si="130"/>
        <v>0</v>
      </c>
      <c r="CK106" s="90">
        <f t="shared" si="112"/>
        <v>0</v>
      </c>
      <c r="CL106" s="171">
        <f t="shared" si="113"/>
        <v>0</v>
      </c>
      <c r="CM106" s="170">
        <f t="shared" si="131"/>
        <v>0</v>
      </c>
      <c r="CN106" s="90">
        <f t="shared" si="114"/>
        <v>0</v>
      </c>
      <c r="CO106" s="171">
        <f t="shared" si="115"/>
        <v>0</v>
      </c>
      <c r="CP106" s="170">
        <f t="shared" si="132"/>
        <v>0</v>
      </c>
      <c r="CQ106" s="90">
        <f t="shared" si="116"/>
        <v>0</v>
      </c>
      <c r="CR106" s="171">
        <f t="shared" si="117"/>
        <v>0</v>
      </c>
      <c r="CS106" s="170">
        <f t="shared" si="133"/>
        <v>0</v>
      </c>
      <c r="CT106" s="90">
        <f t="shared" si="118"/>
        <v>0</v>
      </c>
      <c r="CU106" s="171">
        <f t="shared" si="119"/>
        <v>0</v>
      </c>
      <c r="CV106" s="170">
        <f t="shared" si="134"/>
        <v>0</v>
      </c>
      <c r="CW106" s="90">
        <f t="shared" si="120"/>
        <v>0</v>
      </c>
      <c r="CX106" s="171">
        <f t="shared" si="121"/>
        <v>0</v>
      </c>
      <c r="CY106" s="170">
        <f t="shared" si="135"/>
        <v>0</v>
      </c>
      <c r="CZ106" s="168">
        <f t="shared" si="136"/>
        <v>0</v>
      </c>
      <c r="DA106" s="172">
        <f t="shared" si="138"/>
        <v>0</v>
      </c>
      <c r="DB106" s="173">
        <f t="shared" si="139"/>
        <v>0</v>
      </c>
      <c r="DC106" s="172">
        <f t="shared" si="143"/>
        <v>0</v>
      </c>
      <c r="DD106" s="172">
        <f t="shared" si="143"/>
        <v>0</v>
      </c>
      <c r="DE106" s="172">
        <f t="shared" si="143"/>
        <v>0</v>
      </c>
      <c r="DF106" s="172">
        <f t="shared" si="141"/>
        <v>0</v>
      </c>
      <c r="DG106" s="1"/>
      <c r="DH106" s="1"/>
      <c r="DI106" s="3"/>
      <c r="DJ106" s="8"/>
      <c r="DK106" s="8"/>
      <c r="DL106" s="8"/>
      <c r="DM106" s="8"/>
      <c r="DN106" s="8"/>
      <c r="DO106" s="8"/>
      <c r="DP106" s="8"/>
      <c r="DQ106" s="3"/>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row>
    <row r="107" spans="1:155" s="565" customFormat="1" ht="12">
      <c r="A107" s="123"/>
      <c r="B107" s="715" t="s">
        <v>107</v>
      </c>
      <c r="C107" s="716"/>
      <c r="D107" s="195">
        <f>F88</f>
        <v>0</v>
      </c>
      <c r="E107" s="70"/>
      <c r="F107" s="70"/>
      <c r="G107" s="70"/>
      <c r="H107" s="70"/>
      <c r="I107" s="70"/>
      <c r="J107" s="70"/>
      <c r="K107" s="70"/>
      <c r="L107" s="70"/>
      <c r="M107" s="70"/>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70"/>
      <c r="BE107" s="165" t="s">
        <v>13</v>
      </c>
      <c r="BF107" s="23">
        <v>23</v>
      </c>
      <c r="BG107" s="23">
        <v>29</v>
      </c>
      <c r="BH107" s="23">
        <v>1</v>
      </c>
      <c r="BI107" s="90" t="b">
        <f t="shared" si="137"/>
        <v>1</v>
      </c>
      <c r="BJ107" s="46" t="b">
        <f t="shared" si="96"/>
        <v>0</v>
      </c>
      <c r="BK107" s="166">
        <f t="shared" si="97"/>
        <v>0</v>
      </c>
      <c r="BL107" s="175">
        <f>IF(SUM(BL$79:BL106,BK107)&gt;$BL$4,0,BK107)</f>
        <v>0</v>
      </c>
      <c r="BM107" s="23">
        <f t="shared" si="122"/>
        <v>0</v>
      </c>
      <c r="BN107" s="90">
        <f t="shared" si="123"/>
        <v>0</v>
      </c>
      <c r="BO107" s="24">
        <f t="shared" si="142"/>
        <v>0</v>
      </c>
      <c r="BP107" s="168">
        <f t="shared" si="98"/>
        <v>0</v>
      </c>
      <c r="BQ107" s="171">
        <f t="shared" si="99"/>
        <v>0</v>
      </c>
      <c r="BR107" s="170">
        <f t="shared" si="124"/>
        <v>0</v>
      </c>
      <c r="BS107" s="168">
        <f t="shared" si="100"/>
        <v>0</v>
      </c>
      <c r="BT107" s="171">
        <f t="shared" si="101"/>
        <v>0</v>
      </c>
      <c r="BU107" s="170">
        <f t="shared" si="125"/>
        <v>0</v>
      </c>
      <c r="BV107" s="168">
        <f t="shared" si="102"/>
        <v>0</v>
      </c>
      <c r="BW107" s="171">
        <f t="shared" si="103"/>
        <v>0</v>
      </c>
      <c r="BX107" s="170">
        <f t="shared" si="126"/>
        <v>0</v>
      </c>
      <c r="BY107" s="168">
        <f t="shared" si="104"/>
        <v>0</v>
      </c>
      <c r="BZ107" s="171">
        <f t="shared" si="105"/>
        <v>0</v>
      </c>
      <c r="CA107" s="170">
        <f t="shared" si="127"/>
        <v>0</v>
      </c>
      <c r="CB107" s="90">
        <f t="shared" si="106"/>
        <v>0</v>
      </c>
      <c r="CC107" s="171">
        <f t="shared" si="107"/>
        <v>0</v>
      </c>
      <c r="CD107" s="170">
        <f t="shared" si="128"/>
        <v>0</v>
      </c>
      <c r="CE107" s="90">
        <f t="shared" si="108"/>
        <v>0</v>
      </c>
      <c r="CF107" s="171">
        <f t="shared" si="109"/>
        <v>0</v>
      </c>
      <c r="CG107" s="170">
        <f t="shared" si="129"/>
        <v>0</v>
      </c>
      <c r="CH107" s="90">
        <f t="shared" si="110"/>
        <v>0</v>
      </c>
      <c r="CI107" s="171">
        <f t="shared" si="111"/>
        <v>0</v>
      </c>
      <c r="CJ107" s="170">
        <f t="shared" si="130"/>
        <v>0</v>
      </c>
      <c r="CK107" s="90">
        <f t="shared" si="112"/>
        <v>0</v>
      </c>
      <c r="CL107" s="171">
        <f t="shared" si="113"/>
        <v>0</v>
      </c>
      <c r="CM107" s="170">
        <f t="shared" si="131"/>
        <v>0</v>
      </c>
      <c r="CN107" s="90">
        <f t="shared" si="114"/>
        <v>0</v>
      </c>
      <c r="CO107" s="171">
        <f t="shared" si="115"/>
        <v>0</v>
      </c>
      <c r="CP107" s="170">
        <f t="shared" si="132"/>
        <v>0</v>
      </c>
      <c r="CQ107" s="90">
        <f t="shared" si="116"/>
        <v>0</v>
      </c>
      <c r="CR107" s="171">
        <f t="shared" si="117"/>
        <v>0</v>
      </c>
      <c r="CS107" s="170">
        <f t="shared" si="133"/>
        <v>0</v>
      </c>
      <c r="CT107" s="90">
        <f t="shared" si="118"/>
        <v>0</v>
      </c>
      <c r="CU107" s="171">
        <f t="shared" si="119"/>
        <v>0</v>
      </c>
      <c r="CV107" s="170">
        <f t="shared" si="134"/>
        <v>0</v>
      </c>
      <c r="CW107" s="90">
        <f t="shared" si="120"/>
        <v>0</v>
      </c>
      <c r="CX107" s="171">
        <f t="shared" si="121"/>
        <v>0</v>
      </c>
      <c r="CY107" s="170">
        <f t="shared" si="135"/>
        <v>0</v>
      </c>
      <c r="CZ107" s="168">
        <f t="shared" si="136"/>
        <v>0</v>
      </c>
      <c r="DA107" s="172">
        <f t="shared" si="138"/>
        <v>0</v>
      </c>
      <c r="DB107" s="173">
        <f t="shared" si="139"/>
        <v>0</v>
      </c>
      <c r="DC107" s="172">
        <f t="shared" si="143"/>
        <v>0</v>
      </c>
      <c r="DD107" s="172">
        <f t="shared" si="143"/>
        <v>0</v>
      </c>
      <c r="DE107" s="172">
        <f t="shared" si="143"/>
        <v>0</v>
      </c>
      <c r="DF107" s="172">
        <f t="shared" si="141"/>
        <v>0</v>
      </c>
      <c r="DG107" s="1"/>
      <c r="DH107" s="1"/>
      <c r="DI107" s="3"/>
      <c r="DJ107" s="8"/>
      <c r="DK107" s="8"/>
      <c r="DL107" s="8"/>
      <c r="DM107" s="8"/>
      <c r="DN107" s="8"/>
      <c r="DO107" s="8"/>
      <c r="DP107" s="8"/>
      <c r="DQ107" s="3"/>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row>
    <row r="108" spans="1:155" s="565" customFormat="1" ht="12">
      <c r="A108" s="123"/>
      <c r="B108" s="715" t="s">
        <v>108</v>
      </c>
      <c r="C108" s="716"/>
      <c r="D108" s="195">
        <f>F98</f>
        <v>0</v>
      </c>
      <c r="E108" s="70"/>
      <c r="F108" s="70"/>
      <c r="G108" s="70"/>
      <c r="H108" s="70"/>
      <c r="I108" s="70"/>
      <c r="J108" s="70"/>
      <c r="K108" s="70"/>
      <c r="L108" s="70"/>
      <c r="M108" s="70"/>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70"/>
      <c r="BE108" s="165" t="s">
        <v>13</v>
      </c>
      <c r="BF108" s="23">
        <v>23</v>
      </c>
      <c r="BG108" s="23">
        <v>30</v>
      </c>
      <c r="BH108" s="23">
        <v>2</v>
      </c>
      <c r="BI108" s="90" t="b">
        <f t="shared" si="137"/>
        <v>1</v>
      </c>
      <c r="BJ108" s="46" t="b">
        <f t="shared" si="96"/>
        <v>1</v>
      </c>
      <c r="BK108" s="166">
        <f t="shared" si="97"/>
        <v>7</v>
      </c>
      <c r="BL108" s="175">
        <f>IF(SUM(BL$79:BL107,BK108)&gt;$BL$4,0,BK108)</f>
        <v>0</v>
      </c>
      <c r="BM108" s="23">
        <f t="shared" si="122"/>
        <v>0</v>
      </c>
      <c r="BN108" s="90">
        <f t="shared" si="123"/>
        <v>0</v>
      </c>
      <c r="BO108" s="24">
        <f t="shared" si="142"/>
        <v>0</v>
      </c>
      <c r="BP108" s="168">
        <f t="shared" si="98"/>
        <v>0</v>
      </c>
      <c r="BQ108" s="171">
        <f t="shared" si="99"/>
        <v>0</v>
      </c>
      <c r="BR108" s="170">
        <f t="shared" si="124"/>
        <v>0</v>
      </c>
      <c r="BS108" s="168">
        <f t="shared" si="100"/>
        <v>0</v>
      </c>
      <c r="BT108" s="171">
        <f t="shared" si="101"/>
        <v>0</v>
      </c>
      <c r="BU108" s="170">
        <f t="shared" si="125"/>
        <v>0</v>
      </c>
      <c r="BV108" s="168">
        <f t="shared" si="102"/>
        <v>0</v>
      </c>
      <c r="BW108" s="171">
        <f t="shared" si="103"/>
        <v>0</v>
      </c>
      <c r="BX108" s="170">
        <f t="shared" si="126"/>
        <v>0</v>
      </c>
      <c r="BY108" s="168">
        <f t="shared" si="104"/>
        <v>0</v>
      </c>
      <c r="BZ108" s="171">
        <f t="shared" si="105"/>
        <v>0</v>
      </c>
      <c r="CA108" s="170">
        <f t="shared" si="127"/>
        <v>0</v>
      </c>
      <c r="CB108" s="90">
        <f t="shared" si="106"/>
        <v>0</v>
      </c>
      <c r="CC108" s="171">
        <f t="shared" si="107"/>
        <v>0</v>
      </c>
      <c r="CD108" s="170">
        <f t="shared" si="128"/>
        <v>0</v>
      </c>
      <c r="CE108" s="90">
        <f t="shared" si="108"/>
        <v>0</v>
      </c>
      <c r="CF108" s="171">
        <f t="shared" si="109"/>
        <v>0</v>
      </c>
      <c r="CG108" s="170">
        <f t="shared" si="129"/>
        <v>0</v>
      </c>
      <c r="CH108" s="90">
        <f t="shared" si="110"/>
        <v>0</v>
      </c>
      <c r="CI108" s="171">
        <f t="shared" si="111"/>
        <v>0</v>
      </c>
      <c r="CJ108" s="170">
        <f t="shared" si="130"/>
        <v>0</v>
      </c>
      <c r="CK108" s="90">
        <f t="shared" si="112"/>
        <v>0</v>
      </c>
      <c r="CL108" s="171">
        <f t="shared" si="113"/>
        <v>0</v>
      </c>
      <c r="CM108" s="170">
        <f t="shared" si="131"/>
        <v>0</v>
      </c>
      <c r="CN108" s="90">
        <f t="shared" si="114"/>
        <v>0</v>
      </c>
      <c r="CO108" s="171">
        <f t="shared" si="115"/>
        <v>0</v>
      </c>
      <c r="CP108" s="170">
        <f t="shared" si="132"/>
        <v>0</v>
      </c>
      <c r="CQ108" s="90">
        <f t="shared" si="116"/>
        <v>0</v>
      </c>
      <c r="CR108" s="171">
        <f t="shared" si="117"/>
        <v>0</v>
      </c>
      <c r="CS108" s="170">
        <f t="shared" si="133"/>
        <v>0</v>
      </c>
      <c r="CT108" s="90">
        <f t="shared" si="118"/>
        <v>0</v>
      </c>
      <c r="CU108" s="171">
        <f t="shared" si="119"/>
        <v>0</v>
      </c>
      <c r="CV108" s="170">
        <f t="shared" si="134"/>
        <v>0</v>
      </c>
      <c r="CW108" s="90">
        <f t="shared" si="120"/>
        <v>0</v>
      </c>
      <c r="CX108" s="171">
        <f t="shared" si="121"/>
        <v>0</v>
      </c>
      <c r="CY108" s="170">
        <f t="shared" si="135"/>
        <v>0</v>
      </c>
      <c r="CZ108" s="168">
        <f t="shared" si="136"/>
        <v>0</v>
      </c>
      <c r="DA108" s="172">
        <f t="shared" si="138"/>
        <v>0</v>
      </c>
      <c r="DB108" s="173">
        <f t="shared" si="139"/>
        <v>0</v>
      </c>
      <c r="DC108" s="172">
        <f t="shared" si="143"/>
        <v>0</v>
      </c>
      <c r="DD108" s="172">
        <f t="shared" si="143"/>
        <v>0</v>
      </c>
      <c r="DE108" s="172">
        <f t="shared" si="143"/>
        <v>0</v>
      </c>
      <c r="DF108" s="172">
        <f t="shared" si="141"/>
        <v>0</v>
      </c>
      <c r="DG108" s="1"/>
      <c r="DH108" s="1"/>
      <c r="DI108" s="3"/>
      <c r="DJ108" s="8"/>
      <c r="DK108" s="8"/>
      <c r="DL108" s="8"/>
      <c r="DM108" s="8"/>
      <c r="DN108" s="8"/>
      <c r="DO108" s="8"/>
      <c r="DP108" s="8"/>
      <c r="DQ108" s="3"/>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row>
    <row r="109" spans="1:155" s="565" customFormat="1" ht="12">
      <c r="A109" s="181"/>
      <c r="B109" s="70"/>
      <c r="C109" s="70"/>
      <c r="D109" s="273">
        <f>SUM(D105:D108)</f>
        <v>0</v>
      </c>
      <c r="E109" s="70"/>
      <c r="F109" s="70"/>
      <c r="G109" s="70"/>
      <c r="H109" s="70"/>
      <c r="I109" s="70"/>
      <c r="J109" s="70"/>
      <c r="K109" s="70"/>
      <c r="L109" s="70"/>
      <c r="M109" s="70"/>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70"/>
      <c r="BE109" s="165" t="s">
        <v>13</v>
      </c>
      <c r="BF109" s="23">
        <v>23</v>
      </c>
      <c r="BG109" s="23">
        <v>31</v>
      </c>
      <c r="BH109" s="23">
        <v>3</v>
      </c>
      <c r="BI109" s="90" t="b">
        <f t="shared" si="137"/>
        <v>1</v>
      </c>
      <c r="BJ109" s="46" t="b">
        <f t="shared" si="96"/>
        <v>0</v>
      </c>
      <c r="BK109" s="166">
        <f t="shared" si="97"/>
        <v>0</v>
      </c>
      <c r="BL109" s="167">
        <f>$BL$4-SUM(BL79:BL108)</f>
        <v>0</v>
      </c>
      <c r="BM109" s="23">
        <f t="shared" si="122"/>
        <v>0</v>
      </c>
      <c r="BN109" s="90">
        <f t="shared" si="123"/>
        <v>0</v>
      </c>
      <c r="BO109" s="24">
        <f t="shared" si="142"/>
        <v>0</v>
      </c>
      <c r="BP109" s="168">
        <f t="shared" si="98"/>
        <v>0</v>
      </c>
      <c r="BQ109" s="171">
        <f t="shared" si="99"/>
        <v>0</v>
      </c>
      <c r="BR109" s="170">
        <f t="shared" si="124"/>
        <v>0</v>
      </c>
      <c r="BS109" s="168">
        <f t="shared" si="100"/>
        <v>0</v>
      </c>
      <c r="BT109" s="171">
        <f t="shared" si="101"/>
        <v>0</v>
      </c>
      <c r="BU109" s="170">
        <f t="shared" si="125"/>
        <v>0</v>
      </c>
      <c r="BV109" s="168">
        <f t="shared" si="102"/>
        <v>0</v>
      </c>
      <c r="BW109" s="171">
        <f t="shared" si="103"/>
        <v>0</v>
      </c>
      <c r="BX109" s="170">
        <f t="shared" si="126"/>
        <v>0</v>
      </c>
      <c r="BY109" s="168">
        <f t="shared" si="104"/>
        <v>0</v>
      </c>
      <c r="BZ109" s="171">
        <f t="shared" si="105"/>
        <v>0</v>
      </c>
      <c r="CA109" s="170">
        <f t="shared" si="127"/>
        <v>0</v>
      </c>
      <c r="CB109" s="90">
        <f t="shared" si="106"/>
        <v>0</v>
      </c>
      <c r="CC109" s="171">
        <f t="shared" si="107"/>
        <v>0</v>
      </c>
      <c r="CD109" s="170">
        <f t="shared" si="128"/>
        <v>0</v>
      </c>
      <c r="CE109" s="90">
        <f t="shared" si="108"/>
        <v>0</v>
      </c>
      <c r="CF109" s="171">
        <f t="shared" si="109"/>
        <v>0</v>
      </c>
      <c r="CG109" s="170">
        <f t="shared" si="129"/>
        <v>0</v>
      </c>
      <c r="CH109" s="90">
        <f t="shared" si="110"/>
        <v>0</v>
      </c>
      <c r="CI109" s="171">
        <f t="shared" si="111"/>
        <v>0</v>
      </c>
      <c r="CJ109" s="170">
        <f t="shared" si="130"/>
        <v>0</v>
      </c>
      <c r="CK109" s="90">
        <f t="shared" si="112"/>
        <v>0</v>
      </c>
      <c r="CL109" s="171">
        <f t="shared" si="113"/>
        <v>0</v>
      </c>
      <c r="CM109" s="170">
        <f t="shared" si="131"/>
        <v>0</v>
      </c>
      <c r="CN109" s="90">
        <f t="shared" si="114"/>
        <v>0</v>
      </c>
      <c r="CO109" s="171">
        <f t="shared" si="115"/>
        <v>0</v>
      </c>
      <c r="CP109" s="170">
        <f t="shared" si="132"/>
        <v>0</v>
      </c>
      <c r="CQ109" s="90">
        <f t="shared" si="116"/>
        <v>0</v>
      </c>
      <c r="CR109" s="171">
        <f t="shared" si="117"/>
        <v>0</v>
      </c>
      <c r="CS109" s="170">
        <f t="shared" si="133"/>
        <v>0</v>
      </c>
      <c r="CT109" s="90">
        <f t="shared" si="118"/>
        <v>0</v>
      </c>
      <c r="CU109" s="171">
        <f t="shared" si="119"/>
        <v>0</v>
      </c>
      <c r="CV109" s="170">
        <f t="shared" si="134"/>
        <v>0</v>
      </c>
      <c r="CW109" s="90">
        <f t="shared" si="120"/>
        <v>0</v>
      </c>
      <c r="CX109" s="171">
        <f t="shared" si="121"/>
        <v>0</v>
      </c>
      <c r="CY109" s="170">
        <f t="shared" si="135"/>
        <v>0</v>
      </c>
      <c r="CZ109" s="168">
        <f t="shared" si="136"/>
        <v>0</v>
      </c>
      <c r="DA109" s="172">
        <f t="shared" si="138"/>
        <v>0</v>
      </c>
      <c r="DB109" s="173">
        <f t="shared" si="139"/>
        <v>0</v>
      </c>
      <c r="DC109" s="172">
        <f t="shared" si="143"/>
        <v>0</v>
      </c>
      <c r="DD109" s="172">
        <f t="shared" si="143"/>
        <v>0</v>
      </c>
      <c r="DE109" s="172">
        <f t="shared" si="143"/>
        <v>0</v>
      </c>
      <c r="DF109" s="172">
        <f t="shared" si="141"/>
        <v>0</v>
      </c>
      <c r="DG109" s="1"/>
      <c r="DH109" s="1"/>
      <c r="DI109" s="3"/>
      <c r="DJ109" s="8"/>
      <c r="DK109" s="8"/>
      <c r="DL109" s="8"/>
      <c r="DM109" s="8"/>
      <c r="DN109" s="8"/>
      <c r="DO109" s="8"/>
      <c r="DP109" s="8"/>
      <c r="DQ109" s="3"/>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row>
    <row r="110" spans="1:155" s="565" customFormat="1" ht="12">
      <c r="A110" s="181"/>
      <c r="B110" s="70"/>
      <c r="C110" s="70"/>
      <c r="D110" s="70"/>
      <c r="E110" s="70"/>
      <c r="F110" s="70"/>
      <c r="G110" s="70"/>
      <c r="H110" s="70"/>
      <c r="I110" s="70"/>
      <c r="J110" s="70"/>
      <c r="K110" s="70"/>
      <c r="L110" s="70"/>
      <c r="M110" s="70"/>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70"/>
      <c r="BE110" s="165" t="s">
        <v>14</v>
      </c>
      <c r="BF110" s="23">
        <v>22</v>
      </c>
      <c r="BG110" s="23">
        <v>1</v>
      </c>
      <c r="BH110" s="23">
        <v>4</v>
      </c>
      <c r="BI110" s="90" t="b">
        <f t="shared" si="137"/>
        <v>1</v>
      </c>
      <c r="BJ110" s="46" t="b">
        <f t="shared" ref="BJ110:BJ139" si="144">MOD(BG110,$BM$7)=0</f>
        <v>0</v>
      </c>
      <c r="BK110" s="166">
        <f t="shared" ref="BK110:BK139" si="145">IF(BJ110,BM$8,0)</f>
        <v>0</v>
      </c>
      <c r="BL110" s="167">
        <f>BK110</f>
        <v>0</v>
      </c>
      <c r="BM110" s="23">
        <f t="shared" si="122"/>
        <v>0</v>
      </c>
      <c r="BN110" s="90">
        <f t="shared" si="123"/>
        <v>0</v>
      </c>
      <c r="BO110" s="24">
        <f t="shared" si="142"/>
        <v>0</v>
      </c>
      <c r="BP110" s="168">
        <f t="shared" ref="BP110:BP139" si="146">$Q$337/$BF$110*BR$16*$BI110</f>
        <v>0</v>
      </c>
      <c r="BQ110" s="171">
        <f t="shared" ref="BQ110:BQ139" si="147">AQ$372/$BF110*$BI110</f>
        <v>0</v>
      </c>
      <c r="BR110" s="170">
        <f t="shared" si="124"/>
        <v>0</v>
      </c>
      <c r="BS110" s="168">
        <f t="shared" ref="BS110:BS139" si="148">$R$337/$BF110*BU$16*$BI110</f>
        <v>0</v>
      </c>
      <c r="BT110" s="171">
        <f t="shared" ref="BT110:BT139" si="149">AR$372/$BF110*$BI110</f>
        <v>0</v>
      </c>
      <c r="BU110" s="170">
        <f t="shared" si="125"/>
        <v>0</v>
      </c>
      <c r="BV110" s="168">
        <f t="shared" ref="BV110:BV139" si="150">$S$337/$BF110*BX$16*$BI110</f>
        <v>0</v>
      </c>
      <c r="BW110" s="171">
        <f t="shared" ref="BW110:BW139" si="151">AS$372/$BF110*$BI110</f>
        <v>0</v>
      </c>
      <c r="BX110" s="170">
        <f t="shared" si="126"/>
        <v>0</v>
      </c>
      <c r="BY110" s="168">
        <f t="shared" ref="BY110:BY139" si="152">$T$337/$BF110*CA$16*$BI110</f>
        <v>0</v>
      </c>
      <c r="BZ110" s="171">
        <f t="shared" ref="BZ110:BZ139" si="153">AT$372/$BF110*$BI110</f>
        <v>0</v>
      </c>
      <c r="CA110" s="170">
        <f t="shared" si="127"/>
        <v>0</v>
      </c>
      <c r="CB110" s="90">
        <f t="shared" ref="CB110:CB139" si="154">$W$337/BF110*BI110*$C$419</f>
        <v>0</v>
      </c>
      <c r="CC110" s="171">
        <f t="shared" ref="CC110:CC139" si="155">AU$372/$BF110*$BI110</f>
        <v>0</v>
      </c>
      <c r="CD110" s="170">
        <f t="shared" si="128"/>
        <v>0</v>
      </c>
      <c r="CE110" s="90">
        <f t="shared" ref="CE110:CE139" si="156">$X$337/BF110*BI110*$C$420</f>
        <v>0</v>
      </c>
      <c r="CF110" s="171">
        <f t="shared" ref="CF110:CF139" si="157">AV$372/$BF110*$BI110</f>
        <v>0</v>
      </c>
      <c r="CG110" s="170">
        <f t="shared" si="129"/>
        <v>0</v>
      </c>
      <c r="CH110" s="90">
        <f t="shared" ref="CH110:CH139" si="158">$Y$337/BF110*BI110*$C$421</f>
        <v>0</v>
      </c>
      <c r="CI110" s="171">
        <f t="shared" ref="CI110:CI139" si="159">AW$372/$BF110*$BI110</f>
        <v>0</v>
      </c>
      <c r="CJ110" s="170">
        <f t="shared" si="130"/>
        <v>0</v>
      </c>
      <c r="CK110" s="90">
        <f t="shared" ref="CK110:CK139" si="160">$Z$337/BF110*BI110*$CM$16</f>
        <v>0</v>
      </c>
      <c r="CL110" s="171">
        <f t="shared" ref="CL110:CL139" si="161">AX$372/$BF110*$BI110</f>
        <v>0</v>
      </c>
      <c r="CM110" s="170">
        <f t="shared" si="131"/>
        <v>0</v>
      </c>
      <c r="CN110" s="90">
        <f t="shared" ref="CN110:CN139" si="162">$AA$337/BF110*BI110*$CP$16</f>
        <v>0</v>
      </c>
      <c r="CO110" s="171">
        <f t="shared" ref="CO110:CO139" si="163">$AY$372/$BF110*$BI110</f>
        <v>0</v>
      </c>
      <c r="CP110" s="170">
        <f t="shared" si="132"/>
        <v>0</v>
      </c>
      <c r="CQ110" s="90">
        <f t="shared" ref="CQ110:CQ139" si="164">$AB$337/BF110*BI110*$CS$16</f>
        <v>0</v>
      </c>
      <c r="CR110" s="171">
        <f t="shared" ref="CR110:CR139" si="165">AZ$372/$BF110*$BI110</f>
        <v>0</v>
      </c>
      <c r="CS110" s="170">
        <f t="shared" si="133"/>
        <v>0</v>
      </c>
      <c r="CT110" s="90">
        <f t="shared" ref="CT110:CT139" si="166">$AC$337/BF110*BI110*$CV$16</f>
        <v>0</v>
      </c>
      <c r="CU110" s="171">
        <f t="shared" ref="CU110:CU139" si="167">BA$372/$BF110*$BI110</f>
        <v>0</v>
      </c>
      <c r="CV110" s="170">
        <f t="shared" si="134"/>
        <v>0</v>
      </c>
      <c r="CW110" s="90">
        <f t="shared" ref="CW110:CW139" si="168">$AD$337/BF110*BI110*$CY$16</f>
        <v>0</v>
      </c>
      <c r="CX110" s="171">
        <f t="shared" ref="CX110:CX139" si="169">BB$372/$BF110*$BI110</f>
        <v>0</v>
      </c>
      <c r="CY110" s="170">
        <f t="shared" si="135"/>
        <v>0</v>
      </c>
      <c r="CZ110" s="168">
        <f t="shared" si="136"/>
        <v>0</v>
      </c>
      <c r="DA110" s="172">
        <f t="shared" si="138"/>
        <v>0</v>
      </c>
      <c r="DB110" s="173">
        <f t="shared" si="139"/>
        <v>0</v>
      </c>
      <c r="DC110" s="172">
        <f t="shared" si="143"/>
        <v>0</v>
      </c>
      <c r="DD110" s="172">
        <f t="shared" si="143"/>
        <v>0</v>
      </c>
      <c r="DE110" s="172">
        <f t="shared" si="143"/>
        <v>0</v>
      </c>
      <c r="DF110" s="172">
        <f>IF(DA110-(DE109+CZ110)&lt;0,0,DA110-(DE109+CZ110))</f>
        <v>0</v>
      </c>
      <c r="DG110" s="1"/>
      <c r="DH110" s="1"/>
      <c r="DI110" s="3"/>
      <c r="DJ110" s="8"/>
      <c r="DK110" s="8"/>
      <c r="DL110" s="8"/>
      <c r="DM110" s="8"/>
      <c r="DN110" s="8"/>
      <c r="DO110" s="8"/>
      <c r="DP110" s="8"/>
      <c r="DQ110" s="3"/>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row>
    <row r="111" spans="1:155" s="565" customFormat="1" ht="12">
      <c r="A111" s="181"/>
      <c r="B111" s="70"/>
      <c r="C111" s="70"/>
      <c r="D111" s="70"/>
      <c r="E111" s="70"/>
      <c r="F111" s="70"/>
      <c r="G111" s="70"/>
      <c r="H111" s="70"/>
      <c r="I111" s="70"/>
      <c r="J111" s="70"/>
      <c r="K111" s="70"/>
      <c r="L111" s="70"/>
      <c r="M111" s="70"/>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70"/>
      <c r="BE111" s="165" t="s">
        <v>14</v>
      </c>
      <c r="BF111" s="23">
        <v>22</v>
      </c>
      <c r="BG111" s="23">
        <v>2</v>
      </c>
      <c r="BH111" s="23">
        <v>5</v>
      </c>
      <c r="BI111" s="90" t="b">
        <f t="shared" si="137"/>
        <v>1</v>
      </c>
      <c r="BJ111" s="46" t="b">
        <f t="shared" si="144"/>
        <v>0</v>
      </c>
      <c r="BK111" s="166">
        <f t="shared" si="145"/>
        <v>0</v>
      </c>
      <c r="BL111" s="175">
        <f>IF(SUM(BL$110:BL110,BK111)&gt;$BM$4,0,BK111)</f>
        <v>0</v>
      </c>
      <c r="BM111" s="23">
        <f t="shared" si="122"/>
        <v>0</v>
      </c>
      <c r="BN111" s="90">
        <f t="shared" si="123"/>
        <v>0</v>
      </c>
      <c r="BO111" s="24">
        <f t="shared" si="142"/>
        <v>0</v>
      </c>
      <c r="BP111" s="168">
        <f t="shared" si="146"/>
        <v>0</v>
      </c>
      <c r="BQ111" s="171">
        <f t="shared" si="147"/>
        <v>0</v>
      </c>
      <c r="BR111" s="170">
        <f t="shared" si="124"/>
        <v>0</v>
      </c>
      <c r="BS111" s="168">
        <f t="shared" si="148"/>
        <v>0</v>
      </c>
      <c r="BT111" s="171">
        <f t="shared" si="149"/>
        <v>0</v>
      </c>
      <c r="BU111" s="170">
        <f t="shared" si="125"/>
        <v>0</v>
      </c>
      <c r="BV111" s="168">
        <f t="shared" si="150"/>
        <v>0</v>
      </c>
      <c r="BW111" s="171">
        <f t="shared" si="151"/>
        <v>0</v>
      </c>
      <c r="BX111" s="170">
        <f t="shared" si="126"/>
        <v>0</v>
      </c>
      <c r="BY111" s="168">
        <f t="shared" si="152"/>
        <v>0</v>
      </c>
      <c r="BZ111" s="171">
        <f t="shared" si="153"/>
        <v>0</v>
      </c>
      <c r="CA111" s="170">
        <f t="shared" si="127"/>
        <v>0</v>
      </c>
      <c r="CB111" s="90">
        <f t="shared" si="154"/>
        <v>0</v>
      </c>
      <c r="CC111" s="171">
        <f t="shared" si="155"/>
        <v>0</v>
      </c>
      <c r="CD111" s="170">
        <f t="shared" si="128"/>
        <v>0</v>
      </c>
      <c r="CE111" s="90">
        <f t="shared" si="156"/>
        <v>0</v>
      </c>
      <c r="CF111" s="171">
        <f t="shared" si="157"/>
        <v>0</v>
      </c>
      <c r="CG111" s="170">
        <f t="shared" si="129"/>
        <v>0</v>
      </c>
      <c r="CH111" s="90">
        <f t="shared" si="158"/>
        <v>0</v>
      </c>
      <c r="CI111" s="171">
        <f t="shared" si="159"/>
        <v>0</v>
      </c>
      <c r="CJ111" s="170">
        <f t="shared" si="130"/>
        <v>0</v>
      </c>
      <c r="CK111" s="90">
        <f t="shared" si="160"/>
        <v>0</v>
      </c>
      <c r="CL111" s="171">
        <f t="shared" si="161"/>
        <v>0</v>
      </c>
      <c r="CM111" s="170">
        <f t="shared" si="131"/>
        <v>0</v>
      </c>
      <c r="CN111" s="90">
        <f t="shared" si="162"/>
        <v>0</v>
      </c>
      <c r="CO111" s="171">
        <f t="shared" si="163"/>
        <v>0</v>
      </c>
      <c r="CP111" s="170">
        <f t="shared" si="132"/>
        <v>0</v>
      </c>
      <c r="CQ111" s="90">
        <f t="shared" si="164"/>
        <v>0</v>
      </c>
      <c r="CR111" s="171">
        <f t="shared" si="165"/>
        <v>0</v>
      </c>
      <c r="CS111" s="170">
        <f t="shared" si="133"/>
        <v>0</v>
      </c>
      <c r="CT111" s="90">
        <f t="shared" si="166"/>
        <v>0</v>
      </c>
      <c r="CU111" s="171">
        <f t="shared" si="167"/>
        <v>0</v>
      </c>
      <c r="CV111" s="170">
        <f t="shared" si="134"/>
        <v>0</v>
      </c>
      <c r="CW111" s="90">
        <f t="shared" si="168"/>
        <v>0</v>
      </c>
      <c r="CX111" s="171">
        <f t="shared" si="169"/>
        <v>0</v>
      </c>
      <c r="CY111" s="170">
        <f t="shared" si="135"/>
        <v>0</v>
      </c>
      <c r="CZ111" s="168">
        <f t="shared" si="136"/>
        <v>0</v>
      </c>
      <c r="DA111" s="172">
        <f t="shared" si="138"/>
        <v>0</v>
      </c>
      <c r="DB111" s="173">
        <f t="shared" si="139"/>
        <v>0</v>
      </c>
      <c r="DC111" s="172">
        <f t="shared" si="143"/>
        <v>0</v>
      </c>
      <c r="DD111" s="172">
        <f t="shared" si="143"/>
        <v>0</v>
      </c>
      <c r="DE111" s="172">
        <f t="shared" si="143"/>
        <v>0</v>
      </c>
      <c r="DF111" s="172">
        <f t="shared" si="141"/>
        <v>0</v>
      </c>
      <c r="DG111" s="1"/>
      <c r="DH111" s="1"/>
      <c r="DI111" s="3"/>
      <c r="DJ111" s="8"/>
      <c r="DK111" s="8"/>
      <c r="DL111" s="8"/>
      <c r="DM111" s="8"/>
      <c r="DN111" s="8"/>
      <c r="DO111" s="8"/>
      <c r="DP111" s="8"/>
      <c r="DQ111" s="3"/>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row>
    <row r="112" spans="1:155" s="565" customFormat="1" ht="12">
      <c r="A112" s="181"/>
      <c r="B112" s="70"/>
      <c r="C112" s="70"/>
      <c r="D112" s="70"/>
      <c r="E112" s="70"/>
      <c r="F112" s="70"/>
      <c r="G112" s="70"/>
      <c r="H112" s="70"/>
      <c r="I112" s="70"/>
      <c r="J112" s="70"/>
      <c r="K112" s="70"/>
      <c r="L112" s="70"/>
      <c r="M112" s="70"/>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70"/>
      <c r="BE112" s="165" t="s">
        <v>14</v>
      </c>
      <c r="BF112" s="23">
        <v>22</v>
      </c>
      <c r="BG112" s="23">
        <v>3</v>
      </c>
      <c r="BH112" s="23">
        <v>6</v>
      </c>
      <c r="BI112" s="90" t="b">
        <f t="shared" si="137"/>
        <v>0</v>
      </c>
      <c r="BJ112" s="46" t="b">
        <f t="shared" si="144"/>
        <v>0</v>
      </c>
      <c r="BK112" s="166">
        <f t="shared" si="145"/>
        <v>0</v>
      </c>
      <c r="BL112" s="175">
        <f>IF(SUM(BL$110:BL111,BK112)&gt;$BM$4,0,BK112)</f>
        <v>0</v>
      </c>
      <c r="BM112" s="23">
        <f t="shared" si="122"/>
        <v>0</v>
      </c>
      <c r="BN112" s="90">
        <f t="shared" si="123"/>
        <v>0</v>
      </c>
      <c r="BO112" s="24">
        <f t="shared" si="142"/>
        <v>0</v>
      </c>
      <c r="BP112" s="168">
        <f t="shared" si="146"/>
        <v>0</v>
      </c>
      <c r="BQ112" s="171">
        <f t="shared" si="147"/>
        <v>0</v>
      </c>
      <c r="BR112" s="170">
        <f t="shared" si="124"/>
        <v>0</v>
      </c>
      <c r="BS112" s="168">
        <f t="shared" si="148"/>
        <v>0</v>
      </c>
      <c r="BT112" s="171">
        <f t="shared" si="149"/>
        <v>0</v>
      </c>
      <c r="BU112" s="170">
        <f t="shared" si="125"/>
        <v>0</v>
      </c>
      <c r="BV112" s="168">
        <f t="shared" si="150"/>
        <v>0</v>
      </c>
      <c r="BW112" s="171">
        <f t="shared" si="151"/>
        <v>0</v>
      </c>
      <c r="BX112" s="170">
        <f t="shared" si="126"/>
        <v>0</v>
      </c>
      <c r="BY112" s="168">
        <f t="shared" si="152"/>
        <v>0</v>
      </c>
      <c r="BZ112" s="171">
        <f t="shared" si="153"/>
        <v>0</v>
      </c>
      <c r="CA112" s="170">
        <f t="shared" si="127"/>
        <v>0</v>
      </c>
      <c r="CB112" s="90">
        <f t="shared" si="154"/>
        <v>0</v>
      </c>
      <c r="CC112" s="171">
        <f t="shared" si="155"/>
        <v>0</v>
      </c>
      <c r="CD112" s="170">
        <f t="shared" si="128"/>
        <v>0</v>
      </c>
      <c r="CE112" s="90">
        <f t="shared" si="156"/>
        <v>0</v>
      </c>
      <c r="CF112" s="171">
        <f t="shared" si="157"/>
        <v>0</v>
      </c>
      <c r="CG112" s="170">
        <f t="shared" si="129"/>
        <v>0</v>
      </c>
      <c r="CH112" s="90">
        <f t="shared" si="158"/>
        <v>0</v>
      </c>
      <c r="CI112" s="171">
        <f t="shared" si="159"/>
        <v>0</v>
      </c>
      <c r="CJ112" s="170">
        <f t="shared" si="130"/>
        <v>0</v>
      </c>
      <c r="CK112" s="90">
        <f t="shared" si="160"/>
        <v>0</v>
      </c>
      <c r="CL112" s="171">
        <f t="shared" si="161"/>
        <v>0</v>
      </c>
      <c r="CM112" s="170">
        <f t="shared" si="131"/>
        <v>0</v>
      </c>
      <c r="CN112" s="90">
        <f t="shared" si="162"/>
        <v>0</v>
      </c>
      <c r="CO112" s="171">
        <f t="shared" si="163"/>
        <v>0</v>
      </c>
      <c r="CP112" s="170">
        <f t="shared" si="132"/>
        <v>0</v>
      </c>
      <c r="CQ112" s="90">
        <f t="shared" si="164"/>
        <v>0</v>
      </c>
      <c r="CR112" s="171">
        <f t="shared" si="165"/>
        <v>0</v>
      </c>
      <c r="CS112" s="170">
        <f t="shared" si="133"/>
        <v>0</v>
      </c>
      <c r="CT112" s="90">
        <f t="shared" si="166"/>
        <v>0</v>
      </c>
      <c r="CU112" s="171">
        <f t="shared" si="167"/>
        <v>0</v>
      </c>
      <c r="CV112" s="170">
        <f t="shared" si="134"/>
        <v>0</v>
      </c>
      <c r="CW112" s="90">
        <f t="shared" si="168"/>
        <v>0</v>
      </c>
      <c r="CX112" s="171">
        <f t="shared" si="169"/>
        <v>0</v>
      </c>
      <c r="CY112" s="170">
        <f t="shared" si="135"/>
        <v>0</v>
      </c>
      <c r="CZ112" s="168">
        <f t="shared" si="136"/>
        <v>0</v>
      </c>
      <c r="DA112" s="172">
        <f t="shared" si="138"/>
        <v>0</v>
      </c>
      <c r="DB112" s="173">
        <f t="shared" si="139"/>
        <v>0</v>
      </c>
      <c r="DC112" s="172">
        <f t="shared" si="143"/>
        <v>0</v>
      </c>
      <c r="DD112" s="172">
        <f t="shared" si="143"/>
        <v>0</v>
      </c>
      <c r="DE112" s="172">
        <f t="shared" si="143"/>
        <v>0</v>
      </c>
      <c r="DF112" s="172">
        <f t="shared" si="141"/>
        <v>0</v>
      </c>
      <c r="DG112" s="1"/>
      <c r="DH112" s="1"/>
      <c r="DI112" s="3"/>
      <c r="DJ112" s="8"/>
      <c r="DK112" s="8"/>
      <c r="DL112" s="8"/>
      <c r="DM112" s="8"/>
      <c r="DN112" s="8"/>
      <c r="DO112" s="8"/>
      <c r="DP112" s="8"/>
      <c r="DQ112" s="3"/>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row>
    <row r="113" spans="1:155" s="565" customFormat="1" ht="12">
      <c r="A113" s="181"/>
      <c r="B113" s="70"/>
      <c r="C113" s="70"/>
      <c r="D113" s="70"/>
      <c r="E113" s="70"/>
      <c r="F113" s="70"/>
      <c r="G113" s="70"/>
      <c r="H113" s="70"/>
      <c r="I113" s="70"/>
      <c r="J113" s="70"/>
      <c r="K113" s="70"/>
      <c r="L113" s="70"/>
      <c r="M113" s="70"/>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70"/>
      <c r="BE113" s="165" t="s">
        <v>14</v>
      </c>
      <c r="BF113" s="23">
        <v>22</v>
      </c>
      <c r="BG113" s="23">
        <v>4</v>
      </c>
      <c r="BH113" s="23">
        <v>7</v>
      </c>
      <c r="BI113" s="90" t="b">
        <f t="shared" si="137"/>
        <v>0</v>
      </c>
      <c r="BJ113" s="46" t="b">
        <f t="shared" si="144"/>
        <v>1</v>
      </c>
      <c r="BK113" s="166">
        <f t="shared" si="145"/>
        <v>7.7142857142857144</v>
      </c>
      <c r="BL113" s="175">
        <f>IF(SUM(BL$110:BL112,BK113)&gt;$BM$4,0,BK113)</f>
        <v>7.7142857142857144</v>
      </c>
      <c r="BM113" s="23">
        <f t="shared" si="122"/>
        <v>0</v>
      </c>
      <c r="BN113" s="90">
        <f t="shared" si="123"/>
        <v>0</v>
      </c>
      <c r="BO113" s="24">
        <f t="shared" si="142"/>
        <v>0</v>
      </c>
      <c r="BP113" s="168">
        <f t="shared" si="146"/>
        <v>0</v>
      </c>
      <c r="BQ113" s="171">
        <f t="shared" si="147"/>
        <v>0</v>
      </c>
      <c r="BR113" s="170">
        <f t="shared" si="124"/>
        <v>0</v>
      </c>
      <c r="BS113" s="168">
        <f t="shared" si="148"/>
        <v>0</v>
      </c>
      <c r="BT113" s="171">
        <f t="shared" si="149"/>
        <v>0</v>
      </c>
      <c r="BU113" s="170">
        <f t="shared" si="125"/>
        <v>0</v>
      </c>
      <c r="BV113" s="168">
        <f t="shared" si="150"/>
        <v>0</v>
      </c>
      <c r="BW113" s="171">
        <f t="shared" si="151"/>
        <v>0</v>
      </c>
      <c r="BX113" s="170">
        <f t="shared" si="126"/>
        <v>0</v>
      </c>
      <c r="BY113" s="168">
        <f t="shared" si="152"/>
        <v>0</v>
      </c>
      <c r="BZ113" s="171">
        <f t="shared" si="153"/>
        <v>0</v>
      </c>
      <c r="CA113" s="170">
        <f t="shared" si="127"/>
        <v>0</v>
      </c>
      <c r="CB113" s="90">
        <f t="shared" si="154"/>
        <v>0</v>
      </c>
      <c r="CC113" s="171">
        <f t="shared" si="155"/>
        <v>0</v>
      </c>
      <c r="CD113" s="170">
        <f t="shared" si="128"/>
        <v>0</v>
      </c>
      <c r="CE113" s="90">
        <f t="shared" si="156"/>
        <v>0</v>
      </c>
      <c r="CF113" s="171">
        <f t="shared" si="157"/>
        <v>0</v>
      </c>
      <c r="CG113" s="170">
        <f t="shared" si="129"/>
        <v>0</v>
      </c>
      <c r="CH113" s="90">
        <f t="shared" si="158"/>
        <v>0</v>
      </c>
      <c r="CI113" s="171">
        <f t="shared" si="159"/>
        <v>0</v>
      </c>
      <c r="CJ113" s="170">
        <f t="shared" si="130"/>
        <v>0</v>
      </c>
      <c r="CK113" s="90">
        <f t="shared" si="160"/>
        <v>0</v>
      </c>
      <c r="CL113" s="171">
        <f t="shared" si="161"/>
        <v>0</v>
      </c>
      <c r="CM113" s="170">
        <f t="shared" si="131"/>
        <v>0</v>
      </c>
      <c r="CN113" s="90">
        <f t="shared" si="162"/>
        <v>0</v>
      </c>
      <c r="CO113" s="171">
        <f t="shared" si="163"/>
        <v>0</v>
      </c>
      <c r="CP113" s="170">
        <f t="shared" si="132"/>
        <v>0</v>
      </c>
      <c r="CQ113" s="90">
        <f t="shared" si="164"/>
        <v>0</v>
      </c>
      <c r="CR113" s="171">
        <f t="shared" si="165"/>
        <v>0</v>
      </c>
      <c r="CS113" s="170">
        <f t="shared" si="133"/>
        <v>0</v>
      </c>
      <c r="CT113" s="90">
        <f t="shared" si="166"/>
        <v>0</v>
      </c>
      <c r="CU113" s="171">
        <f t="shared" si="167"/>
        <v>0</v>
      </c>
      <c r="CV113" s="170">
        <f t="shared" si="134"/>
        <v>0</v>
      </c>
      <c r="CW113" s="90">
        <f t="shared" si="168"/>
        <v>0</v>
      </c>
      <c r="CX113" s="171">
        <f t="shared" si="169"/>
        <v>0</v>
      </c>
      <c r="CY113" s="170">
        <f t="shared" si="135"/>
        <v>0</v>
      </c>
      <c r="CZ113" s="168">
        <f t="shared" si="136"/>
        <v>0</v>
      </c>
      <c r="DA113" s="172">
        <f t="shared" si="138"/>
        <v>0</v>
      </c>
      <c r="DB113" s="173">
        <f t="shared" si="139"/>
        <v>0</v>
      </c>
      <c r="DC113" s="172">
        <f t="shared" si="143"/>
        <v>0</v>
      </c>
      <c r="DD113" s="172">
        <f t="shared" si="143"/>
        <v>0</v>
      </c>
      <c r="DE113" s="172">
        <f t="shared" si="143"/>
        <v>0</v>
      </c>
      <c r="DF113" s="172">
        <f t="shared" si="141"/>
        <v>0</v>
      </c>
      <c r="DG113" s="1"/>
      <c r="DH113" s="1"/>
      <c r="DI113" s="3"/>
      <c r="DJ113" s="8"/>
      <c r="DK113" s="8"/>
      <c r="DL113" s="8"/>
      <c r="DM113" s="8"/>
      <c r="DN113" s="8"/>
      <c r="DO113" s="8"/>
      <c r="DP113" s="8"/>
      <c r="DQ113" s="3"/>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row>
    <row r="114" spans="1:155" s="565" customFormat="1" ht="12">
      <c r="A114" s="181"/>
      <c r="B114" s="70"/>
      <c r="C114" s="70"/>
      <c r="D114" s="70"/>
      <c r="E114" s="70"/>
      <c r="F114" s="70"/>
      <c r="G114" s="70"/>
      <c r="H114" s="70"/>
      <c r="I114" s="70"/>
      <c r="J114" s="70"/>
      <c r="K114" s="70"/>
      <c r="L114" s="70"/>
      <c r="M114" s="70"/>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70"/>
      <c r="BE114" s="165" t="s">
        <v>14</v>
      </c>
      <c r="BF114" s="23">
        <v>22</v>
      </c>
      <c r="BG114" s="23">
        <v>5</v>
      </c>
      <c r="BH114" s="23">
        <v>1</v>
      </c>
      <c r="BI114" s="90" t="b">
        <f t="shared" si="137"/>
        <v>1</v>
      </c>
      <c r="BJ114" s="46" t="b">
        <f t="shared" si="144"/>
        <v>0</v>
      </c>
      <c r="BK114" s="166">
        <f t="shared" si="145"/>
        <v>0</v>
      </c>
      <c r="BL114" s="175">
        <f>IF(SUM(BL$110:BL113,BK114)&gt;$BM$4,0,BK114)</f>
        <v>0</v>
      </c>
      <c r="BM114" s="23">
        <f t="shared" si="122"/>
        <v>0</v>
      </c>
      <c r="BN114" s="90">
        <f t="shared" si="123"/>
        <v>0</v>
      </c>
      <c r="BO114" s="24">
        <f t="shared" si="142"/>
        <v>0</v>
      </c>
      <c r="BP114" s="168">
        <f t="shared" si="146"/>
        <v>0</v>
      </c>
      <c r="BQ114" s="171">
        <f t="shared" si="147"/>
        <v>0</v>
      </c>
      <c r="BR114" s="170">
        <f t="shared" si="124"/>
        <v>0</v>
      </c>
      <c r="BS114" s="168">
        <f t="shared" si="148"/>
        <v>0</v>
      </c>
      <c r="BT114" s="171">
        <f t="shared" si="149"/>
        <v>0</v>
      </c>
      <c r="BU114" s="170">
        <f t="shared" si="125"/>
        <v>0</v>
      </c>
      <c r="BV114" s="168">
        <f t="shared" si="150"/>
        <v>0</v>
      </c>
      <c r="BW114" s="171">
        <f t="shared" si="151"/>
        <v>0</v>
      </c>
      <c r="BX114" s="170">
        <f t="shared" si="126"/>
        <v>0</v>
      </c>
      <c r="BY114" s="168">
        <f t="shared" si="152"/>
        <v>0</v>
      </c>
      <c r="BZ114" s="171">
        <f t="shared" si="153"/>
        <v>0</v>
      </c>
      <c r="CA114" s="170">
        <f t="shared" si="127"/>
        <v>0</v>
      </c>
      <c r="CB114" s="90">
        <f t="shared" si="154"/>
        <v>0</v>
      </c>
      <c r="CC114" s="171">
        <f t="shared" si="155"/>
        <v>0</v>
      </c>
      <c r="CD114" s="170">
        <f t="shared" si="128"/>
        <v>0</v>
      </c>
      <c r="CE114" s="90">
        <f t="shared" si="156"/>
        <v>0</v>
      </c>
      <c r="CF114" s="171">
        <f t="shared" si="157"/>
        <v>0</v>
      </c>
      <c r="CG114" s="170">
        <f t="shared" si="129"/>
        <v>0</v>
      </c>
      <c r="CH114" s="90">
        <f t="shared" si="158"/>
        <v>0</v>
      </c>
      <c r="CI114" s="171">
        <f t="shared" si="159"/>
        <v>0</v>
      </c>
      <c r="CJ114" s="170">
        <f t="shared" si="130"/>
        <v>0</v>
      </c>
      <c r="CK114" s="90">
        <f t="shared" si="160"/>
        <v>0</v>
      </c>
      <c r="CL114" s="171">
        <f t="shared" si="161"/>
        <v>0</v>
      </c>
      <c r="CM114" s="170">
        <f t="shared" si="131"/>
        <v>0</v>
      </c>
      <c r="CN114" s="90">
        <f t="shared" si="162"/>
        <v>0</v>
      </c>
      <c r="CO114" s="171">
        <f t="shared" si="163"/>
        <v>0</v>
      </c>
      <c r="CP114" s="170">
        <f t="shared" si="132"/>
        <v>0</v>
      </c>
      <c r="CQ114" s="90">
        <f t="shared" si="164"/>
        <v>0</v>
      </c>
      <c r="CR114" s="171">
        <f t="shared" si="165"/>
        <v>0</v>
      </c>
      <c r="CS114" s="170">
        <f t="shared" si="133"/>
        <v>0</v>
      </c>
      <c r="CT114" s="90">
        <f t="shared" si="166"/>
        <v>0</v>
      </c>
      <c r="CU114" s="171">
        <f t="shared" si="167"/>
        <v>0</v>
      </c>
      <c r="CV114" s="170">
        <f t="shared" si="134"/>
        <v>0</v>
      </c>
      <c r="CW114" s="90">
        <f t="shared" si="168"/>
        <v>0</v>
      </c>
      <c r="CX114" s="171">
        <f t="shared" si="169"/>
        <v>0</v>
      </c>
      <c r="CY114" s="170">
        <f t="shared" si="135"/>
        <v>0</v>
      </c>
      <c r="CZ114" s="168">
        <f t="shared" si="136"/>
        <v>0</v>
      </c>
      <c r="DA114" s="172">
        <f t="shared" si="138"/>
        <v>0</v>
      </c>
      <c r="DB114" s="173">
        <f t="shared" si="139"/>
        <v>0</v>
      </c>
      <c r="DC114" s="172">
        <f t="shared" si="143"/>
        <v>0</v>
      </c>
      <c r="DD114" s="172">
        <f t="shared" si="143"/>
        <v>0</v>
      </c>
      <c r="DE114" s="172">
        <f t="shared" si="143"/>
        <v>0</v>
      </c>
      <c r="DF114" s="172">
        <f t="shared" si="141"/>
        <v>0</v>
      </c>
      <c r="DG114" s="1"/>
      <c r="DH114" s="1"/>
      <c r="DI114" s="3"/>
      <c r="DJ114" s="8"/>
      <c r="DK114" s="8"/>
      <c r="DL114" s="8"/>
      <c r="DM114" s="8"/>
      <c r="DN114" s="8"/>
      <c r="DO114" s="8"/>
      <c r="DP114" s="8"/>
      <c r="DQ114" s="3"/>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row>
    <row r="115" spans="1:155" s="565" customFormat="1" ht="12">
      <c r="A115" s="181"/>
      <c r="B115" s="70"/>
      <c r="C115" s="70"/>
      <c r="D115" s="70"/>
      <c r="E115" s="70"/>
      <c r="F115" s="70"/>
      <c r="G115" s="70"/>
      <c r="H115" s="70"/>
      <c r="I115" s="70"/>
      <c r="J115" s="70"/>
      <c r="K115" s="70"/>
      <c r="L115" s="70"/>
      <c r="M115" s="70"/>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70"/>
      <c r="BE115" s="165" t="s">
        <v>14</v>
      </c>
      <c r="BF115" s="23">
        <v>22</v>
      </c>
      <c r="BG115" s="23">
        <v>6</v>
      </c>
      <c r="BH115" s="23">
        <v>2</v>
      </c>
      <c r="BI115" s="90" t="b">
        <f t="shared" si="137"/>
        <v>1</v>
      </c>
      <c r="BJ115" s="46" t="b">
        <f t="shared" si="144"/>
        <v>0</v>
      </c>
      <c r="BK115" s="166">
        <f t="shared" si="145"/>
        <v>0</v>
      </c>
      <c r="BL115" s="175">
        <f>IF(SUM(BL$110:BL114,BK115)&gt;$BM$4,0,BK115)</f>
        <v>0</v>
      </c>
      <c r="BM115" s="23">
        <f t="shared" si="122"/>
        <v>0</v>
      </c>
      <c r="BN115" s="90">
        <f t="shared" si="123"/>
        <v>0</v>
      </c>
      <c r="BO115" s="24">
        <f t="shared" si="142"/>
        <v>0</v>
      </c>
      <c r="BP115" s="168">
        <f t="shared" si="146"/>
        <v>0</v>
      </c>
      <c r="BQ115" s="171">
        <f t="shared" si="147"/>
        <v>0</v>
      </c>
      <c r="BR115" s="170">
        <f t="shared" si="124"/>
        <v>0</v>
      </c>
      <c r="BS115" s="168">
        <f t="shared" si="148"/>
        <v>0</v>
      </c>
      <c r="BT115" s="171">
        <f t="shared" si="149"/>
        <v>0</v>
      </c>
      <c r="BU115" s="170">
        <f t="shared" si="125"/>
        <v>0</v>
      </c>
      <c r="BV115" s="168">
        <f t="shared" si="150"/>
        <v>0</v>
      </c>
      <c r="BW115" s="171">
        <f t="shared" si="151"/>
        <v>0</v>
      </c>
      <c r="BX115" s="170">
        <f t="shared" si="126"/>
        <v>0</v>
      </c>
      <c r="BY115" s="168">
        <f t="shared" si="152"/>
        <v>0</v>
      </c>
      <c r="BZ115" s="171">
        <f t="shared" si="153"/>
        <v>0</v>
      </c>
      <c r="CA115" s="170">
        <f t="shared" si="127"/>
        <v>0</v>
      </c>
      <c r="CB115" s="90">
        <f t="shared" si="154"/>
        <v>0</v>
      </c>
      <c r="CC115" s="171">
        <f t="shared" si="155"/>
        <v>0</v>
      </c>
      <c r="CD115" s="170">
        <f t="shared" si="128"/>
        <v>0</v>
      </c>
      <c r="CE115" s="90">
        <f t="shared" si="156"/>
        <v>0</v>
      </c>
      <c r="CF115" s="171">
        <f t="shared" si="157"/>
        <v>0</v>
      </c>
      <c r="CG115" s="170">
        <f t="shared" si="129"/>
        <v>0</v>
      </c>
      <c r="CH115" s="90">
        <f t="shared" si="158"/>
        <v>0</v>
      </c>
      <c r="CI115" s="171">
        <f t="shared" si="159"/>
        <v>0</v>
      </c>
      <c r="CJ115" s="170">
        <f t="shared" si="130"/>
        <v>0</v>
      </c>
      <c r="CK115" s="90">
        <f t="shared" si="160"/>
        <v>0</v>
      </c>
      <c r="CL115" s="171">
        <f t="shared" si="161"/>
        <v>0</v>
      </c>
      <c r="CM115" s="170">
        <f t="shared" si="131"/>
        <v>0</v>
      </c>
      <c r="CN115" s="90">
        <f t="shared" si="162"/>
        <v>0</v>
      </c>
      <c r="CO115" s="171">
        <f t="shared" si="163"/>
        <v>0</v>
      </c>
      <c r="CP115" s="170">
        <f t="shared" si="132"/>
        <v>0</v>
      </c>
      <c r="CQ115" s="90">
        <f t="shared" si="164"/>
        <v>0</v>
      </c>
      <c r="CR115" s="171">
        <f t="shared" si="165"/>
        <v>0</v>
      </c>
      <c r="CS115" s="170">
        <f t="shared" si="133"/>
        <v>0</v>
      </c>
      <c r="CT115" s="90">
        <f t="shared" si="166"/>
        <v>0</v>
      </c>
      <c r="CU115" s="171">
        <f t="shared" si="167"/>
        <v>0</v>
      </c>
      <c r="CV115" s="170">
        <f t="shared" si="134"/>
        <v>0</v>
      </c>
      <c r="CW115" s="90">
        <f t="shared" si="168"/>
        <v>0</v>
      </c>
      <c r="CX115" s="171">
        <f t="shared" si="169"/>
        <v>0</v>
      </c>
      <c r="CY115" s="170">
        <f t="shared" si="135"/>
        <v>0</v>
      </c>
      <c r="CZ115" s="168">
        <f t="shared" si="136"/>
        <v>0</v>
      </c>
      <c r="DA115" s="172">
        <f t="shared" si="138"/>
        <v>0</v>
      </c>
      <c r="DB115" s="173">
        <f t="shared" si="139"/>
        <v>0</v>
      </c>
      <c r="DC115" s="172">
        <f t="shared" si="143"/>
        <v>0</v>
      </c>
      <c r="DD115" s="172">
        <f t="shared" si="143"/>
        <v>0</v>
      </c>
      <c r="DE115" s="172">
        <f t="shared" si="143"/>
        <v>0</v>
      </c>
      <c r="DF115" s="172">
        <f t="shared" si="141"/>
        <v>0</v>
      </c>
      <c r="DG115" s="1"/>
      <c r="DH115" s="1"/>
      <c r="DI115" s="3"/>
      <c r="DJ115" s="8"/>
      <c r="DK115" s="8"/>
      <c r="DL115" s="8"/>
      <c r="DM115" s="8"/>
      <c r="DN115" s="8"/>
      <c r="DO115" s="8"/>
      <c r="DP115" s="8"/>
      <c r="DQ115" s="3"/>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row>
    <row r="116" spans="1:155" s="565" customFormat="1" ht="12">
      <c r="A116" s="181"/>
      <c r="B116" s="70"/>
      <c r="C116" s="70"/>
      <c r="D116" s="70"/>
      <c r="E116" s="70"/>
      <c r="F116" s="70"/>
      <c r="G116" s="70"/>
      <c r="H116" s="70"/>
      <c r="I116" s="70"/>
      <c r="J116" s="70"/>
      <c r="K116" s="70"/>
      <c r="L116" s="70"/>
      <c r="M116" s="70"/>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70"/>
      <c r="BE116" s="165" t="s">
        <v>14</v>
      </c>
      <c r="BF116" s="23">
        <v>22</v>
      </c>
      <c r="BG116" s="23">
        <v>7</v>
      </c>
      <c r="BH116" s="23">
        <v>3</v>
      </c>
      <c r="BI116" s="90" t="b">
        <f t="shared" si="137"/>
        <v>1</v>
      </c>
      <c r="BJ116" s="46" t="b">
        <f t="shared" si="144"/>
        <v>0</v>
      </c>
      <c r="BK116" s="166">
        <f t="shared" si="145"/>
        <v>0</v>
      </c>
      <c r="BL116" s="175">
        <f>IF(SUM(BL$110:BL115,BK116)&gt;$BM$4,0,BK116)</f>
        <v>0</v>
      </c>
      <c r="BM116" s="23">
        <f t="shared" si="122"/>
        <v>0</v>
      </c>
      <c r="BN116" s="90">
        <f t="shared" si="123"/>
        <v>0</v>
      </c>
      <c r="BO116" s="24">
        <f t="shared" si="142"/>
        <v>0</v>
      </c>
      <c r="BP116" s="168">
        <f t="shared" si="146"/>
        <v>0</v>
      </c>
      <c r="BQ116" s="171">
        <f t="shared" si="147"/>
        <v>0</v>
      </c>
      <c r="BR116" s="170">
        <f t="shared" si="124"/>
        <v>0</v>
      </c>
      <c r="BS116" s="168">
        <f t="shared" si="148"/>
        <v>0</v>
      </c>
      <c r="BT116" s="171">
        <f t="shared" si="149"/>
        <v>0</v>
      </c>
      <c r="BU116" s="170">
        <f t="shared" si="125"/>
        <v>0</v>
      </c>
      <c r="BV116" s="168">
        <f t="shared" si="150"/>
        <v>0</v>
      </c>
      <c r="BW116" s="171">
        <f t="shared" si="151"/>
        <v>0</v>
      </c>
      <c r="BX116" s="170">
        <f t="shared" si="126"/>
        <v>0</v>
      </c>
      <c r="BY116" s="168">
        <f t="shared" si="152"/>
        <v>0</v>
      </c>
      <c r="BZ116" s="171">
        <f t="shared" si="153"/>
        <v>0</v>
      </c>
      <c r="CA116" s="170">
        <f t="shared" si="127"/>
        <v>0</v>
      </c>
      <c r="CB116" s="90">
        <f t="shared" si="154"/>
        <v>0</v>
      </c>
      <c r="CC116" s="171">
        <f t="shared" si="155"/>
        <v>0</v>
      </c>
      <c r="CD116" s="170">
        <f t="shared" si="128"/>
        <v>0</v>
      </c>
      <c r="CE116" s="90">
        <f t="shared" si="156"/>
        <v>0</v>
      </c>
      <c r="CF116" s="171">
        <f t="shared" si="157"/>
        <v>0</v>
      </c>
      <c r="CG116" s="170">
        <f t="shared" si="129"/>
        <v>0</v>
      </c>
      <c r="CH116" s="90">
        <f t="shared" si="158"/>
        <v>0</v>
      </c>
      <c r="CI116" s="171">
        <f t="shared" si="159"/>
        <v>0</v>
      </c>
      <c r="CJ116" s="170">
        <f t="shared" si="130"/>
        <v>0</v>
      </c>
      <c r="CK116" s="90">
        <f t="shared" si="160"/>
        <v>0</v>
      </c>
      <c r="CL116" s="171">
        <f t="shared" si="161"/>
        <v>0</v>
      </c>
      <c r="CM116" s="170">
        <f t="shared" si="131"/>
        <v>0</v>
      </c>
      <c r="CN116" s="90">
        <f t="shared" si="162"/>
        <v>0</v>
      </c>
      <c r="CO116" s="171">
        <f t="shared" si="163"/>
        <v>0</v>
      </c>
      <c r="CP116" s="170">
        <f t="shared" si="132"/>
        <v>0</v>
      </c>
      <c r="CQ116" s="90">
        <f t="shared" si="164"/>
        <v>0</v>
      </c>
      <c r="CR116" s="171">
        <f t="shared" si="165"/>
        <v>0</v>
      </c>
      <c r="CS116" s="170">
        <f t="shared" si="133"/>
        <v>0</v>
      </c>
      <c r="CT116" s="90">
        <f t="shared" si="166"/>
        <v>0</v>
      </c>
      <c r="CU116" s="171">
        <f t="shared" si="167"/>
        <v>0</v>
      </c>
      <c r="CV116" s="170">
        <f t="shared" si="134"/>
        <v>0</v>
      </c>
      <c r="CW116" s="90">
        <f t="shared" si="168"/>
        <v>0</v>
      </c>
      <c r="CX116" s="171">
        <f t="shared" si="169"/>
        <v>0</v>
      </c>
      <c r="CY116" s="170">
        <f t="shared" si="135"/>
        <v>0</v>
      </c>
      <c r="CZ116" s="168">
        <f t="shared" si="136"/>
        <v>0</v>
      </c>
      <c r="DA116" s="172">
        <f t="shared" si="138"/>
        <v>0</v>
      </c>
      <c r="DB116" s="173">
        <f t="shared" si="139"/>
        <v>0</v>
      </c>
      <c r="DC116" s="172">
        <f t="shared" si="143"/>
        <v>0</v>
      </c>
      <c r="DD116" s="172">
        <f t="shared" si="143"/>
        <v>0</v>
      </c>
      <c r="DE116" s="172">
        <f t="shared" si="143"/>
        <v>0</v>
      </c>
      <c r="DF116" s="172">
        <f t="shared" si="141"/>
        <v>0</v>
      </c>
      <c r="DG116" s="1"/>
      <c r="DH116" s="1"/>
      <c r="DI116" s="3"/>
      <c r="DJ116" s="8"/>
      <c r="DK116" s="8"/>
      <c r="DL116" s="8"/>
      <c r="DM116" s="8"/>
      <c r="DN116" s="8"/>
      <c r="DO116" s="8"/>
      <c r="DP116" s="8"/>
      <c r="DQ116" s="3"/>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row>
    <row r="117" spans="1:155" s="565" customFormat="1" ht="12">
      <c r="A117" s="181"/>
      <c r="B117" s="70"/>
      <c r="C117" s="70"/>
      <c r="D117" s="70"/>
      <c r="E117" s="70"/>
      <c r="F117" s="70"/>
      <c r="G117" s="70"/>
      <c r="H117" s="70"/>
      <c r="I117" s="70"/>
      <c r="J117" s="70"/>
      <c r="K117" s="70"/>
      <c r="L117" s="70"/>
      <c r="M117" s="70"/>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70"/>
      <c r="BE117" s="165" t="s">
        <v>14</v>
      </c>
      <c r="BF117" s="23">
        <v>22</v>
      </c>
      <c r="BG117" s="23">
        <v>8</v>
      </c>
      <c r="BH117" s="23">
        <v>4</v>
      </c>
      <c r="BI117" s="90" t="b">
        <f t="shared" si="137"/>
        <v>1</v>
      </c>
      <c r="BJ117" s="46" t="b">
        <f t="shared" si="144"/>
        <v>1</v>
      </c>
      <c r="BK117" s="166">
        <f t="shared" si="145"/>
        <v>7.7142857142857144</v>
      </c>
      <c r="BL117" s="175">
        <f>IF(SUM(BL$110:BL116,BK117)&gt;$BM$4,0,BK117)</f>
        <v>7.7142857142857144</v>
      </c>
      <c r="BM117" s="23">
        <f t="shared" si="122"/>
        <v>0</v>
      </c>
      <c r="BN117" s="90">
        <f t="shared" si="123"/>
        <v>0</v>
      </c>
      <c r="BO117" s="24">
        <f t="shared" si="142"/>
        <v>0</v>
      </c>
      <c r="BP117" s="168">
        <f t="shared" si="146"/>
        <v>0</v>
      </c>
      <c r="BQ117" s="171">
        <f t="shared" si="147"/>
        <v>0</v>
      </c>
      <c r="BR117" s="170">
        <f t="shared" si="124"/>
        <v>0</v>
      </c>
      <c r="BS117" s="168">
        <f t="shared" si="148"/>
        <v>0</v>
      </c>
      <c r="BT117" s="171">
        <f t="shared" si="149"/>
        <v>0</v>
      </c>
      <c r="BU117" s="170">
        <f t="shared" si="125"/>
        <v>0</v>
      </c>
      <c r="BV117" s="168">
        <f t="shared" si="150"/>
        <v>0</v>
      </c>
      <c r="BW117" s="171">
        <f t="shared" si="151"/>
        <v>0</v>
      </c>
      <c r="BX117" s="170">
        <f t="shared" si="126"/>
        <v>0</v>
      </c>
      <c r="BY117" s="168">
        <f t="shared" si="152"/>
        <v>0</v>
      </c>
      <c r="BZ117" s="171">
        <f t="shared" si="153"/>
        <v>0</v>
      </c>
      <c r="CA117" s="170">
        <f t="shared" si="127"/>
        <v>0</v>
      </c>
      <c r="CB117" s="90">
        <f t="shared" si="154"/>
        <v>0</v>
      </c>
      <c r="CC117" s="171">
        <f t="shared" si="155"/>
        <v>0</v>
      </c>
      <c r="CD117" s="170">
        <f t="shared" si="128"/>
        <v>0</v>
      </c>
      <c r="CE117" s="90">
        <f t="shared" si="156"/>
        <v>0</v>
      </c>
      <c r="CF117" s="171">
        <f t="shared" si="157"/>
        <v>0</v>
      </c>
      <c r="CG117" s="170">
        <f t="shared" si="129"/>
        <v>0</v>
      </c>
      <c r="CH117" s="90">
        <f t="shared" si="158"/>
        <v>0</v>
      </c>
      <c r="CI117" s="171">
        <f t="shared" si="159"/>
        <v>0</v>
      </c>
      <c r="CJ117" s="170">
        <f t="shared" si="130"/>
        <v>0</v>
      </c>
      <c r="CK117" s="90">
        <f t="shared" si="160"/>
        <v>0</v>
      </c>
      <c r="CL117" s="171">
        <f t="shared" si="161"/>
        <v>0</v>
      </c>
      <c r="CM117" s="170">
        <f t="shared" si="131"/>
        <v>0</v>
      </c>
      <c r="CN117" s="90">
        <f t="shared" si="162"/>
        <v>0</v>
      </c>
      <c r="CO117" s="171">
        <f t="shared" si="163"/>
        <v>0</v>
      </c>
      <c r="CP117" s="170">
        <f t="shared" si="132"/>
        <v>0</v>
      </c>
      <c r="CQ117" s="90">
        <f t="shared" si="164"/>
        <v>0</v>
      </c>
      <c r="CR117" s="171">
        <f t="shared" si="165"/>
        <v>0</v>
      </c>
      <c r="CS117" s="170">
        <f t="shared" si="133"/>
        <v>0</v>
      </c>
      <c r="CT117" s="90">
        <f t="shared" si="166"/>
        <v>0</v>
      </c>
      <c r="CU117" s="171">
        <f t="shared" si="167"/>
        <v>0</v>
      </c>
      <c r="CV117" s="170">
        <f t="shared" si="134"/>
        <v>0</v>
      </c>
      <c r="CW117" s="90">
        <f t="shared" si="168"/>
        <v>0</v>
      </c>
      <c r="CX117" s="171">
        <f t="shared" si="169"/>
        <v>0</v>
      </c>
      <c r="CY117" s="170">
        <f t="shared" si="135"/>
        <v>0</v>
      </c>
      <c r="CZ117" s="168">
        <f t="shared" si="136"/>
        <v>0</v>
      </c>
      <c r="DA117" s="172">
        <f t="shared" si="138"/>
        <v>0</v>
      </c>
      <c r="DB117" s="173">
        <f t="shared" si="139"/>
        <v>0</v>
      </c>
      <c r="DC117" s="172">
        <f t="shared" ref="DC117:DE132" si="170">IF(DC116+$DB117&lt;0,0,IF(DC116+$DB117&gt;$F$405,$F$405,DC116+$DB117))</f>
        <v>0</v>
      </c>
      <c r="DD117" s="172">
        <f t="shared" si="170"/>
        <v>0</v>
      </c>
      <c r="DE117" s="172">
        <f t="shared" si="170"/>
        <v>0</v>
      </c>
      <c r="DF117" s="172">
        <f t="shared" si="141"/>
        <v>0</v>
      </c>
      <c r="DG117" s="1"/>
      <c r="DH117" s="1"/>
      <c r="DI117" s="3"/>
      <c r="DJ117" s="8"/>
      <c r="DK117" s="8"/>
      <c r="DL117" s="8"/>
      <c r="DM117" s="8"/>
      <c r="DN117" s="8"/>
      <c r="DO117" s="8"/>
      <c r="DP117" s="8"/>
      <c r="DQ117" s="3"/>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row>
    <row r="118" spans="1:155" s="565" customFormat="1" ht="12">
      <c r="A118" s="181"/>
      <c r="B118" s="70"/>
      <c r="C118" s="70"/>
      <c r="D118" s="70"/>
      <c r="E118" s="70"/>
      <c r="F118" s="70"/>
      <c r="G118" s="70"/>
      <c r="H118" s="70"/>
      <c r="I118" s="70"/>
      <c r="J118" s="70"/>
      <c r="K118" s="70"/>
      <c r="L118" s="70"/>
      <c r="M118" s="70"/>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70"/>
      <c r="BE118" s="165" t="s">
        <v>14</v>
      </c>
      <c r="BF118" s="23">
        <v>22</v>
      </c>
      <c r="BG118" s="23">
        <v>9</v>
      </c>
      <c r="BH118" s="23">
        <v>5</v>
      </c>
      <c r="BI118" s="90" t="b">
        <f t="shared" si="137"/>
        <v>1</v>
      </c>
      <c r="BJ118" s="46" t="b">
        <f t="shared" si="144"/>
        <v>0</v>
      </c>
      <c r="BK118" s="166">
        <f t="shared" si="145"/>
        <v>0</v>
      </c>
      <c r="BL118" s="175">
        <f>IF(SUM(BL$110:BL117,BK118)&gt;$BM$4,0,BK118)</f>
        <v>0</v>
      </c>
      <c r="BM118" s="23">
        <f t="shared" si="122"/>
        <v>0</v>
      </c>
      <c r="BN118" s="90">
        <f t="shared" si="123"/>
        <v>0</v>
      </c>
      <c r="BO118" s="24">
        <f t="shared" si="142"/>
        <v>0</v>
      </c>
      <c r="BP118" s="168">
        <f t="shared" si="146"/>
        <v>0</v>
      </c>
      <c r="BQ118" s="171">
        <f t="shared" si="147"/>
        <v>0</v>
      </c>
      <c r="BR118" s="170">
        <f t="shared" si="124"/>
        <v>0</v>
      </c>
      <c r="BS118" s="168">
        <f t="shared" si="148"/>
        <v>0</v>
      </c>
      <c r="BT118" s="171">
        <f t="shared" si="149"/>
        <v>0</v>
      </c>
      <c r="BU118" s="170">
        <f t="shared" si="125"/>
        <v>0</v>
      </c>
      <c r="BV118" s="168">
        <f t="shared" si="150"/>
        <v>0</v>
      </c>
      <c r="BW118" s="171">
        <f t="shared" si="151"/>
        <v>0</v>
      </c>
      <c r="BX118" s="170">
        <f t="shared" si="126"/>
        <v>0</v>
      </c>
      <c r="BY118" s="168">
        <f t="shared" si="152"/>
        <v>0</v>
      </c>
      <c r="BZ118" s="171">
        <f t="shared" si="153"/>
        <v>0</v>
      </c>
      <c r="CA118" s="170">
        <f t="shared" si="127"/>
        <v>0</v>
      </c>
      <c r="CB118" s="90">
        <f t="shared" si="154"/>
        <v>0</v>
      </c>
      <c r="CC118" s="171">
        <f t="shared" si="155"/>
        <v>0</v>
      </c>
      <c r="CD118" s="170">
        <f t="shared" si="128"/>
        <v>0</v>
      </c>
      <c r="CE118" s="90">
        <f t="shared" si="156"/>
        <v>0</v>
      </c>
      <c r="CF118" s="171">
        <f t="shared" si="157"/>
        <v>0</v>
      </c>
      <c r="CG118" s="170">
        <f t="shared" si="129"/>
        <v>0</v>
      </c>
      <c r="CH118" s="90">
        <f t="shared" si="158"/>
        <v>0</v>
      </c>
      <c r="CI118" s="171">
        <f t="shared" si="159"/>
        <v>0</v>
      </c>
      <c r="CJ118" s="170">
        <f t="shared" si="130"/>
        <v>0</v>
      </c>
      <c r="CK118" s="90">
        <f t="shared" si="160"/>
        <v>0</v>
      </c>
      <c r="CL118" s="171">
        <f t="shared" si="161"/>
        <v>0</v>
      </c>
      <c r="CM118" s="170">
        <f t="shared" si="131"/>
        <v>0</v>
      </c>
      <c r="CN118" s="90">
        <f t="shared" si="162"/>
        <v>0</v>
      </c>
      <c r="CO118" s="171">
        <f t="shared" si="163"/>
        <v>0</v>
      </c>
      <c r="CP118" s="170">
        <f t="shared" si="132"/>
        <v>0</v>
      </c>
      <c r="CQ118" s="90">
        <f t="shared" si="164"/>
        <v>0</v>
      </c>
      <c r="CR118" s="171">
        <f t="shared" si="165"/>
        <v>0</v>
      </c>
      <c r="CS118" s="170">
        <f t="shared" si="133"/>
        <v>0</v>
      </c>
      <c r="CT118" s="90">
        <f t="shared" si="166"/>
        <v>0</v>
      </c>
      <c r="CU118" s="171">
        <f t="shared" si="167"/>
        <v>0</v>
      </c>
      <c r="CV118" s="170">
        <f t="shared" si="134"/>
        <v>0</v>
      </c>
      <c r="CW118" s="90">
        <f t="shared" si="168"/>
        <v>0</v>
      </c>
      <c r="CX118" s="171">
        <f t="shared" si="169"/>
        <v>0</v>
      </c>
      <c r="CY118" s="170">
        <f t="shared" si="135"/>
        <v>0</v>
      </c>
      <c r="CZ118" s="168">
        <f t="shared" si="136"/>
        <v>0</v>
      </c>
      <c r="DA118" s="172">
        <f t="shared" si="138"/>
        <v>0</v>
      </c>
      <c r="DB118" s="173">
        <f t="shared" si="139"/>
        <v>0</v>
      </c>
      <c r="DC118" s="172">
        <f t="shared" si="170"/>
        <v>0</v>
      </c>
      <c r="DD118" s="172">
        <f t="shared" si="170"/>
        <v>0</v>
      </c>
      <c r="DE118" s="172">
        <f t="shared" si="170"/>
        <v>0</v>
      </c>
      <c r="DF118" s="172">
        <f t="shared" si="141"/>
        <v>0</v>
      </c>
      <c r="DG118" s="1"/>
      <c r="DH118" s="1"/>
      <c r="DI118" s="3"/>
      <c r="DJ118" s="8"/>
      <c r="DK118" s="8"/>
      <c r="DL118" s="8"/>
      <c r="DM118" s="8"/>
      <c r="DN118" s="8"/>
      <c r="DO118" s="8"/>
      <c r="DP118" s="8"/>
      <c r="DQ118" s="3"/>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row>
    <row r="119" spans="1:155" s="565" customFormat="1">
      <c r="A119" s="181"/>
      <c r="B119" s="70"/>
      <c r="C119" s="70"/>
      <c r="D119" s="70"/>
      <c r="E119" s="70"/>
      <c r="F119" s="70"/>
      <c r="G119" s="70"/>
      <c r="H119" s="3"/>
      <c r="I119" s="27"/>
      <c r="J119" s="27"/>
      <c r="K119" s="70"/>
      <c r="L119" s="70"/>
      <c r="M119" s="70"/>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70"/>
      <c r="BE119" s="165" t="s">
        <v>14</v>
      </c>
      <c r="BF119" s="23">
        <v>22</v>
      </c>
      <c r="BG119" s="23">
        <v>10</v>
      </c>
      <c r="BH119" s="23">
        <v>6</v>
      </c>
      <c r="BI119" s="90" t="b">
        <f t="shared" si="137"/>
        <v>0</v>
      </c>
      <c r="BJ119" s="46" t="b">
        <f t="shared" si="144"/>
        <v>0</v>
      </c>
      <c r="BK119" s="166">
        <f t="shared" si="145"/>
        <v>0</v>
      </c>
      <c r="BL119" s="175">
        <f>IF(SUM(BL$110:BL118,BK119)&gt;$BM$4,0,BK119)</f>
        <v>0</v>
      </c>
      <c r="BM119" s="23">
        <f t="shared" si="122"/>
        <v>0</v>
      </c>
      <c r="BN119" s="90">
        <f t="shared" si="123"/>
        <v>0</v>
      </c>
      <c r="BO119" s="24">
        <f t="shared" si="142"/>
        <v>0</v>
      </c>
      <c r="BP119" s="168">
        <f t="shared" si="146"/>
        <v>0</v>
      </c>
      <c r="BQ119" s="171">
        <f t="shared" si="147"/>
        <v>0</v>
      </c>
      <c r="BR119" s="170">
        <f t="shared" si="124"/>
        <v>0</v>
      </c>
      <c r="BS119" s="168">
        <f t="shared" si="148"/>
        <v>0</v>
      </c>
      <c r="BT119" s="171">
        <f t="shared" si="149"/>
        <v>0</v>
      </c>
      <c r="BU119" s="170">
        <f t="shared" si="125"/>
        <v>0</v>
      </c>
      <c r="BV119" s="168">
        <f t="shared" si="150"/>
        <v>0</v>
      </c>
      <c r="BW119" s="171">
        <f t="shared" si="151"/>
        <v>0</v>
      </c>
      <c r="BX119" s="170">
        <f t="shared" si="126"/>
        <v>0</v>
      </c>
      <c r="BY119" s="168">
        <f t="shared" si="152"/>
        <v>0</v>
      </c>
      <c r="BZ119" s="171">
        <f t="shared" si="153"/>
        <v>0</v>
      </c>
      <c r="CA119" s="170">
        <f t="shared" si="127"/>
        <v>0</v>
      </c>
      <c r="CB119" s="90">
        <f t="shared" si="154"/>
        <v>0</v>
      </c>
      <c r="CC119" s="171">
        <f t="shared" si="155"/>
        <v>0</v>
      </c>
      <c r="CD119" s="170">
        <f t="shared" si="128"/>
        <v>0</v>
      </c>
      <c r="CE119" s="90">
        <f t="shared" si="156"/>
        <v>0</v>
      </c>
      <c r="CF119" s="171">
        <f t="shared" si="157"/>
        <v>0</v>
      </c>
      <c r="CG119" s="170">
        <f t="shared" si="129"/>
        <v>0</v>
      </c>
      <c r="CH119" s="90">
        <f t="shared" si="158"/>
        <v>0</v>
      </c>
      <c r="CI119" s="171">
        <f t="shared" si="159"/>
        <v>0</v>
      </c>
      <c r="CJ119" s="170">
        <f t="shared" si="130"/>
        <v>0</v>
      </c>
      <c r="CK119" s="90">
        <f t="shared" si="160"/>
        <v>0</v>
      </c>
      <c r="CL119" s="171">
        <f t="shared" si="161"/>
        <v>0</v>
      </c>
      <c r="CM119" s="170">
        <f t="shared" si="131"/>
        <v>0</v>
      </c>
      <c r="CN119" s="90">
        <f t="shared" si="162"/>
        <v>0</v>
      </c>
      <c r="CO119" s="171">
        <f t="shared" si="163"/>
        <v>0</v>
      </c>
      <c r="CP119" s="170">
        <f t="shared" si="132"/>
        <v>0</v>
      </c>
      <c r="CQ119" s="90">
        <f t="shared" si="164"/>
        <v>0</v>
      </c>
      <c r="CR119" s="171">
        <f t="shared" si="165"/>
        <v>0</v>
      </c>
      <c r="CS119" s="170">
        <f t="shared" si="133"/>
        <v>0</v>
      </c>
      <c r="CT119" s="90">
        <f t="shared" si="166"/>
        <v>0</v>
      </c>
      <c r="CU119" s="171">
        <f t="shared" si="167"/>
        <v>0</v>
      </c>
      <c r="CV119" s="170">
        <f t="shared" si="134"/>
        <v>0</v>
      </c>
      <c r="CW119" s="90">
        <f t="shared" si="168"/>
        <v>0</v>
      </c>
      <c r="CX119" s="171">
        <f t="shared" si="169"/>
        <v>0</v>
      </c>
      <c r="CY119" s="170">
        <f t="shared" si="135"/>
        <v>0</v>
      </c>
      <c r="CZ119" s="168">
        <f t="shared" si="136"/>
        <v>0</v>
      </c>
      <c r="DA119" s="172">
        <f t="shared" si="138"/>
        <v>0</v>
      </c>
      <c r="DB119" s="173">
        <f t="shared" si="139"/>
        <v>0</v>
      </c>
      <c r="DC119" s="172">
        <f t="shared" si="170"/>
        <v>0</v>
      </c>
      <c r="DD119" s="172">
        <f t="shared" si="170"/>
        <v>0</v>
      </c>
      <c r="DE119" s="172">
        <f t="shared" si="170"/>
        <v>0</v>
      </c>
      <c r="DF119" s="172">
        <f t="shared" si="141"/>
        <v>0</v>
      </c>
      <c r="DG119" s="1"/>
      <c r="DH119" s="1"/>
      <c r="DI119" s="3"/>
      <c r="DJ119" s="8"/>
      <c r="DK119" s="8"/>
      <c r="DL119" s="8"/>
      <c r="DM119" s="8"/>
      <c r="DN119" s="8"/>
      <c r="DO119" s="8"/>
      <c r="DP119" s="8"/>
      <c r="DQ119" s="3"/>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row>
    <row r="120" spans="1:155" s="565" customFormat="1" ht="12">
      <c r="A120" s="181"/>
      <c r="B120" s="70"/>
      <c r="C120" s="70"/>
      <c r="D120" s="70"/>
      <c r="E120" s="70"/>
      <c r="F120" s="70"/>
      <c r="G120" s="70"/>
      <c r="H120" s="70"/>
      <c r="I120" s="70"/>
      <c r="J120" s="70"/>
      <c r="K120" s="70"/>
      <c r="L120" s="70"/>
      <c r="M120" s="70"/>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70"/>
      <c r="BE120" s="165" t="s">
        <v>14</v>
      </c>
      <c r="BF120" s="23">
        <v>22</v>
      </c>
      <c r="BG120" s="23">
        <v>11</v>
      </c>
      <c r="BH120" s="23">
        <v>7</v>
      </c>
      <c r="BI120" s="90" t="b">
        <f t="shared" si="137"/>
        <v>0</v>
      </c>
      <c r="BJ120" s="46" t="b">
        <f t="shared" si="144"/>
        <v>0</v>
      </c>
      <c r="BK120" s="166">
        <f t="shared" si="145"/>
        <v>0</v>
      </c>
      <c r="BL120" s="175">
        <f>IF(SUM(BL$110:BL119,BK120)&gt;$BM$4,0,BK120)</f>
        <v>0</v>
      </c>
      <c r="BM120" s="23">
        <f t="shared" si="122"/>
        <v>0</v>
      </c>
      <c r="BN120" s="90">
        <f t="shared" si="123"/>
        <v>0</v>
      </c>
      <c r="BO120" s="24">
        <f t="shared" si="142"/>
        <v>0</v>
      </c>
      <c r="BP120" s="168">
        <f t="shared" si="146"/>
        <v>0</v>
      </c>
      <c r="BQ120" s="171">
        <f t="shared" si="147"/>
        <v>0</v>
      </c>
      <c r="BR120" s="170">
        <f t="shared" si="124"/>
        <v>0</v>
      </c>
      <c r="BS120" s="168">
        <f t="shared" si="148"/>
        <v>0</v>
      </c>
      <c r="BT120" s="171">
        <f t="shared" si="149"/>
        <v>0</v>
      </c>
      <c r="BU120" s="170">
        <f t="shared" si="125"/>
        <v>0</v>
      </c>
      <c r="BV120" s="168">
        <f t="shared" si="150"/>
        <v>0</v>
      </c>
      <c r="BW120" s="171">
        <f t="shared" si="151"/>
        <v>0</v>
      </c>
      <c r="BX120" s="170">
        <f t="shared" si="126"/>
        <v>0</v>
      </c>
      <c r="BY120" s="168">
        <f t="shared" si="152"/>
        <v>0</v>
      </c>
      <c r="BZ120" s="171">
        <f t="shared" si="153"/>
        <v>0</v>
      </c>
      <c r="CA120" s="170">
        <f t="shared" si="127"/>
        <v>0</v>
      </c>
      <c r="CB120" s="90">
        <f t="shared" si="154"/>
        <v>0</v>
      </c>
      <c r="CC120" s="171">
        <f t="shared" si="155"/>
        <v>0</v>
      </c>
      <c r="CD120" s="170">
        <f t="shared" si="128"/>
        <v>0</v>
      </c>
      <c r="CE120" s="90">
        <f t="shared" si="156"/>
        <v>0</v>
      </c>
      <c r="CF120" s="171">
        <f t="shared" si="157"/>
        <v>0</v>
      </c>
      <c r="CG120" s="170">
        <f t="shared" si="129"/>
        <v>0</v>
      </c>
      <c r="CH120" s="90">
        <f t="shared" si="158"/>
        <v>0</v>
      </c>
      <c r="CI120" s="171">
        <f t="shared" si="159"/>
        <v>0</v>
      </c>
      <c r="CJ120" s="170">
        <f t="shared" si="130"/>
        <v>0</v>
      </c>
      <c r="CK120" s="90">
        <f t="shared" si="160"/>
        <v>0</v>
      </c>
      <c r="CL120" s="171">
        <f t="shared" si="161"/>
        <v>0</v>
      </c>
      <c r="CM120" s="170">
        <f t="shared" si="131"/>
        <v>0</v>
      </c>
      <c r="CN120" s="90">
        <f t="shared" si="162"/>
        <v>0</v>
      </c>
      <c r="CO120" s="171">
        <f t="shared" si="163"/>
        <v>0</v>
      </c>
      <c r="CP120" s="170">
        <f t="shared" si="132"/>
        <v>0</v>
      </c>
      <c r="CQ120" s="90">
        <f t="shared" si="164"/>
        <v>0</v>
      </c>
      <c r="CR120" s="171">
        <f t="shared" si="165"/>
        <v>0</v>
      </c>
      <c r="CS120" s="170">
        <f t="shared" si="133"/>
        <v>0</v>
      </c>
      <c r="CT120" s="90">
        <f t="shared" si="166"/>
        <v>0</v>
      </c>
      <c r="CU120" s="171">
        <f t="shared" si="167"/>
        <v>0</v>
      </c>
      <c r="CV120" s="170">
        <f t="shared" si="134"/>
        <v>0</v>
      </c>
      <c r="CW120" s="90">
        <f t="shared" si="168"/>
        <v>0</v>
      </c>
      <c r="CX120" s="171">
        <f t="shared" si="169"/>
        <v>0</v>
      </c>
      <c r="CY120" s="170">
        <f t="shared" si="135"/>
        <v>0</v>
      </c>
      <c r="CZ120" s="168">
        <f t="shared" si="136"/>
        <v>0</v>
      </c>
      <c r="DA120" s="172">
        <f t="shared" si="138"/>
        <v>0</v>
      </c>
      <c r="DB120" s="173">
        <f t="shared" si="139"/>
        <v>0</v>
      </c>
      <c r="DC120" s="172">
        <f t="shared" si="170"/>
        <v>0</v>
      </c>
      <c r="DD120" s="172">
        <f t="shared" si="170"/>
        <v>0</v>
      </c>
      <c r="DE120" s="172">
        <f t="shared" si="170"/>
        <v>0</v>
      </c>
      <c r="DF120" s="172">
        <f t="shared" si="141"/>
        <v>0</v>
      </c>
      <c r="DG120" s="1"/>
      <c r="DH120" s="1"/>
      <c r="DI120" s="3"/>
      <c r="DJ120" s="8"/>
      <c r="DK120" s="8"/>
      <c r="DL120" s="8"/>
      <c r="DM120" s="8"/>
      <c r="DN120" s="8"/>
      <c r="DO120" s="8"/>
      <c r="DP120" s="8"/>
      <c r="DQ120" s="3"/>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row>
    <row r="121" spans="1:155" s="565" customFormat="1" ht="12">
      <c r="A121" s="181"/>
      <c r="B121" s="70"/>
      <c r="C121" s="70"/>
      <c r="D121" s="70"/>
      <c r="E121" s="70"/>
      <c r="F121" s="70"/>
      <c r="G121" s="70"/>
      <c r="H121" s="70"/>
      <c r="I121" s="70"/>
      <c r="J121" s="70"/>
      <c r="K121" s="70"/>
      <c r="L121" s="70"/>
      <c r="M121" s="70"/>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70"/>
      <c r="BE121" s="165" t="s">
        <v>14</v>
      </c>
      <c r="BF121" s="23">
        <v>22</v>
      </c>
      <c r="BG121" s="23">
        <v>12</v>
      </c>
      <c r="BH121" s="23">
        <v>1</v>
      </c>
      <c r="BI121" s="90" t="b">
        <f t="shared" si="137"/>
        <v>1</v>
      </c>
      <c r="BJ121" s="46" t="b">
        <f t="shared" si="144"/>
        <v>1</v>
      </c>
      <c r="BK121" s="166">
        <f t="shared" si="145"/>
        <v>7.7142857142857144</v>
      </c>
      <c r="BL121" s="175">
        <f>IF(SUM(BL$110:BL120,BK121)&gt;$BM$4,0,BK121)</f>
        <v>7.7142857142857144</v>
      </c>
      <c r="BM121" s="23">
        <f t="shared" si="122"/>
        <v>0</v>
      </c>
      <c r="BN121" s="90">
        <f t="shared" si="123"/>
        <v>0</v>
      </c>
      <c r="BO121" s="24">
        <f t="shared" si="142"/>
        <v>0</v>
      </c>
      <c r="BP121" s="168">
        <f t="shared" si="146"/>
        <v>0</v>
      </c>
      <c r="BQ121" s="171">
        <f t="shared" si="147"/>
        <v>0</v>
      </c>
      <c r="BR121" s="170">
        <f t="shared" si="124"/>
        <v>0</v>
      </c>
      <c r="BS121" s="168">
        <f t="shared" si="148"/>
        <v>0</v>
      </c>
      <c r="BT121" s="171">
        <f t="shared" si="149"/>
        <v>0</v>
      </c>
      <c r="BU121" s="170">
        <f t="shared" si="125"/>
        <v>0</v>
      </c>
      <c r="BV121" s="168">
        <f t="shared" si="150"/>
        <v>0</v>
      </c>
      <c r="BW121" s="171">
        <f t="shared" si="151"/>
        <v>0</v>
      </c>
      <c r="BX121" s="170">
        <f t="shared" si="126"/>
        <v>0</v>
      </c>
      <c r="BY121" s="168">
        <f t="shared" si="152"/>
        <v>0</v>
      </c>
      <c r="BZ121" s="171">
        <f t="shared" si="153"/>
        <v>0</v>
      </c>
      <c r="CA121" s="170">
        <f t="shared" si="127"/>
        <v>0</v>
      </c>
      <c r="CB121" s="90">
        <f t="shared" si="154"/>
        <v>0</v>
      </c>
      <c r="CC121" s="171">
        <f t="shared" si="155"/>
        <v>0</v>
      </c>
      <c r="CD121" s="170">
        <f t="shared" si="128"/>
        <v>0</v>
      </c>
      <c r="CE121" s="90">
        <f t="shared" si="156"/>
        <v>0</v>
      </c>
      <c r="CF121" s="171">
        <f t="shared" si="157"/>
        <v>0</v>
      </c>
      <c r="CG121" s="170">
        <f t="shared" si="129"/>
        <v>0</v>
      </c>
      <c r="CH121" s="90">
        <f t="shared" si="158"/>
        <v>0</v>
      </c>
      <c r="CI121" s="171">
        <f t="shared" si="159"/>
        <v>0</v>
      </c>
      <c r="CJ121" s="170">
        <f t="shared" si="130"/>
        <v>0</v>
      </c>
      <c r="CK121" s="90">
        <f t="shared" si="160"/>
        <v>0</v>
      </c>
      <c r="CL121" s="171">
        <f t="shared" si="161"/>
        <v>0</v>
      </c>
      <c r="CM121" s="170">
        <f t="shared" si="131"/>
        <v>0</v>
      </c>
      <c r="CN121" s="90">
        <f t="shared" si="162"/>
        <v>0</v>
      </c>
      <c r="CO121" s="171">
        <f t="shared" si="163"/>
        <v>0</v>
      </c>
      <c r="CP121" s="170">
        <f t="shared" si="132"/>
        <v>0</v>
      </c>
      <c r="CQ121" s="90">
        <f t="shared" si="164"/>
        <v>0</v>
      </c>
      <c r="CR121" s="171">
        <f t="shared" si="165"/>
        <v>0</v>
      </c>
      <c r="CS121" s="170">
        <f t="shared" si="133"/>
        <v>0</v>
      </c>
      <c r="CT121" s="90">
        <f t="shared" si="166"/>
        <v>0</v>
      </c>
      <c r="CU121" s="171">
        <f t="shared" si="167"/>
        <v>0</v>
      </c>
      <c r="CV121" s="170">
        <f t="shared" si="134"/>
        <v>0</v>
      </c>
      <c r="CW121" s="90">
        <f t="shared" si="168"/>
        <v>0</v>
      </c>
      <c r="CX121" s="171">
        <f t="shared" si="169"/>
        <v>0</v>
      </c>
      <c r="CY121" s="170">
        <f t="shared" si="135"/>
        <v>0</v>
      </c>
      <c r="CZ121" s="168">
        <f t="shared" si="136"/>
        <v>0</v>
      </c>
      <c r="DA121" s="172">
        <f t="shared" si="138"/>
        <v>0</v>
      </c>
      <c r="DB121" s="173">
        <f t="shared" si="139"/>
        <v>0</v>
      </c>
      <c r="DC121" s="172">
        <f t="shared" si="170"/>
        <v>0</v>
      </c>
      <c r="DD121" s="172">
        <f t="shared" si="170"/>
        <v>0</v>
      </c>
      <c r="DE121" s="172">
        <f t="shared" si="170"/>
        <v>0</v>
      </c>
      <c r="DF121" s="172">
        <f t="shared" si="141"/>
        <v>0</v>
      </c>
      <c r="DG121" s="1"/>
      <c r="DH121" s="1"/>
      <c r="DI121" s="3"/>
      <c r="DJ121" s="8"/>
      <c r="DK121" s="8"/>
      <c r="DL121" s="8"/>
      <c r="DM121" s="8"/>
      <c r="DN121" s="8"/>
      <c r="DO121" s="8"/>
      <c r="DP121" s="8"/>
      <c r="DQ121" s="3"/>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row>
    <row r="122" spans="1:155" s="565" customFormat="1" ht="12">
      <c r="A122" s="181"/>
      <c r="B122" s="70"/>
      <c r="C122" s="70"/>
      <c r="D122" s="70"/>
      <c r="E122" s="70"/>
      <c r="F122" s="70"/>
      <c r="G122" s="70"/>
      <c r="H122" s="70"/>
      <c r="I122" s="70"/>
      <c r="J122" s="70"/>
      <c r="K122" s="70"/>
      <c r="L122" s="70"/>
      <c r="M122" s="70"/>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70"/>
      <c r="BE122" s="165" t="s">
        <v>14</v>
      </c>
      <c r="BF122" s="23">
        <v>22</v>
      </c>
      <c r="BG122" s="23">
        <v>13</v>
      </c>
      <c r="BH122" s="23">
        <v>2</v>
      </c>
      <c r="BI122" s="90" t="b">
        <f t="shared" si="137"/>
        <v>1</v>
      </c>
      <c r="BJ122" s="46" t="b">
        <f t="shared" si="144"/>
        <v>0</v>
      </c>
      <c r="BK122" s="166">
        <f t="shared" si="145"/>
        <v>0</v>
      </c>
      <c r="BL122" s="175">
        <f>IF(SUM(BL$110:BL121,BK122)&gt;$BM$4,0,BK122)</f>
        <v>0</v>
      </c>
      <c r="BM122" s="23">
        <f t="shared" si="122"/>
        <v>0</v>
      </c>
      <c r="BN122" s="90">
        <f t="shared" si="123"/>
        <v>0</v>
      </c>
      <c r="BO122" s="24">
        <f t="shared" si="142"/>
        <v>0</v>
      </c>
      <c r="BP122" s="168">
        <f t="shared" si="146"/>
        <v>0</v>
      </c>
      <c r="BQ122" s="171">
        <f t="shared" si="147"/>
        <v>0</v>
      </c>
      <c r="BR122" s="170">
        <f t="shared" si="124"/>
        <v>0</v>
      </c>
      <c r="BS122" s="168">
        <f t="shared" si="148"/>
        <v>0</v>
      </c>
      <c r="BT122" s="171">
        <f t="shared" si="149"/>
        <v>0</v>
      </c>
      <c r="BU122" s="170">
        <f t="shared" si="125"/>
        <v>0</v>
      </c>
      <c r="BV122" s="168">
        <f t="shared" si="150"/>
        <v>0</v>
      </c>
      <c r="BW122" s="171">
        <f t="shared" si="151"/>
        <v>0</v>
      </c>
      <c r="BX122" s="170">
        <f t="shared" si="126"/>
        <v>0</v>
      </c>
      <c r="BY122" s="168">
        <f t="shared" si="152"/>
        <v>0</v>
      </c>
      <c r="BZ122" s="171">
        <f t="shared" si="153"/>
        <v>0</v>
      </c>
      <c r="CA122" s="170">
        <f t="shared" si="127"/>
        <v>0</v>
      </c>
      <c r="CB122" s="90">
        <f t="shared" si="154"/>
        <v>0</v>
      </c>
      <c r="CC122" s="171">
        <f t="shared" si="155"/>
        <v>0</v>
      </c>
      <c r="CD122" s="170">
        <f t="shared" si="128"/>
        <v>0</v>
      </c>
      <c r="CE122" s="90">
        <f t="shared" si="156"/>
        <v>0</v>
      </c>
      <c r="CF122" s="171">
        <f t="shared" si="157"/>
        <v>0</v>
      </c>
      <c r="CG122" s="170">
        <f t="shared" si="129"/>
        <v>0</v>
      </c>
      <c r="CH122" s="90">
        <f t="shared" si="158"/>
        <v>0</v>
      </c>
      <c r="CI122" s="171">
        <f t="shared" si="159"/>
        <v>0</v>
      </c>
      <c r="CJ122" s="170">
        <f t="shared" si="130"/>
        <v>0</v>
      </c>
      <c r="CK122" s="90">
        <f t="shared" si="160"/>
        <v>0</v>
      </c>
      <c r="CL122" s="171">
        <f t="shared" si="161"/>
        <v>0</v>
      </c>
      <c r="CM122" s="170">
        <f t="shared" si="131"/>
        <v>0</v>
      </c>
      <c r="CN122" s="90">
        <f t="shared" si="162"/>
        <v>0</v>
      </c>
      <c r="CO122" s="171">
        <f t="shared" si="163"/>
        <v>0</v>
      </c>
      <c r="CP122" s="170">
        <f t="shared" si="132"/>
        <v>0</v>
      </c>
      <c r="CQ122" s="90">
        <f t="shared" si="164"/>
        <v>0</v>
      </c>
      <c r="CR122" s="171">
        <f t="shared" si="165"/>
        <v>0</v>
      </c>
      <c r="CS122" s="170">
        <f t="shared" si="133"/>
        <v>0</v>
      </c>
      <c r="CT122" s="90">
        <f t="shared" si="166"/>
        <v>0</v>
      </c>
      <c r="CU122" s="171">
        <f t="shared" si="167"/>
        <v>0</v>
      </c>
      <c r="CV122" s="170">
        <f t="shared" si="134"/>
        <v>0</v>
      </c>
      <c r="CW122" s="90">
        <f t="shared" si="168"/>
        <v>0</v>
      </c>
      <c r="CX122" s="171">
        <f t="shared" si="169"/>
        <v>0</v>
      </c>
      <c r="CY122" s="170">
        <f t="shared" si="135"/>
        <v>0</v>
      </c>
      <c r="CZ122" s="168">
        <f t="shared" si="136"/>
        <v>0</v>
      </c>
      <c r="DA122" s="172">
        <f t="shared" si="138"/>
        <v>0</v>
      </c>
      <c r="DB122" s="173">
        <f t="shared" si="139"/>
        <v>0</v>
      </c>
      <c r="DC122" s="172">
        <f t="shared" si="170"/>
        <v>0</v>
      </c>
      <c r="DD122" s="172">
        <f t="shared" si="170"/>
        <v>0</v>
      </c>
      <c r="DE122" s="172">
        <f t="shared" si="170"/>
        <v>0</v>
      </c>
      <c r="DF122" s="172">
        <f t="shared" si="141"/>
        <v>0</v>
      </c>
      <c r="DG122" s="1"/>
      <c r="DH122" s="1"/>
      <c r="DI122" s="3"/>
      <c r="DJ122" s="8"/>
      <c r="DK122" s="8"/>
      <c r="DL122" s="8"/>
      <c r="DM122" s="8"/>
      <c r="DN122" s="8"/>
      <c r="DO122" s="8"/>
      <c r="DP122" s="8"/>
      <c r="DQ122" s="3"/>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row>
    <row r="123" spans="1:155" s="565" customFormat="1" ht="15" customHeight="1">
      <c r="A123" s="181"/>
      <c r="B123" s="70"/>
      <c r="C123" s="70"/>
      <c r="D123" s="70"/>
      <c r="E123" s="70"/>
      <c r="F123" s="70"/>
      <c r="G123" s="70"/>
      <c r="H123" s="70"/>
      <c r="I123" s="70"/>
      <c r="J123" s="70"/>
      <c r="K123" s="70"/>
      <c r="L123" s="70"/>
      <c r="M123" s="70"/>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70"/>
      <c r="BE123" s="165" t="s">
        <v>14</v>
      </c>
      <c r="BF123" s="23">
        <v>22</v>
      </c>
      <c r="BG123" s="23">
        <v>14</v>
      </c>
      <c r="BH123" s="23">
        <v>3</v>
      </c>
      <c r="BI123" s="90" t="b">
        <f t="shared" si="137"/>
        <v>1</v>
      </c>
      <c r="BJ123" s="46" t="b">
        <f t="shared" si="144"/>
        <v>0</v>
      </c>
      <c r="BK123" s="166">
        <f t="shared" si="145"/>
        <v>0</v>
      </c>
      <c r="BL123" s="175">
        <f>IF(SUM(BL$110:BL122,BK123)&gt;$BM$4,0,BK123)</f>
        <v>0</v>
      </c>
      <c r="BM123" s="23">
        <f t="shared" si="122"/>
        <v>0</v>
      </c>
      <c r="BN123" s="90">
        <f t="shared" si="123"/>
        <v>0</v>
      </c>
      <c r="BO123" s="24">
        <f t="shared" si="142"/>
        <v>0</v>
      </c>
      <c r="BP123" s="168">
        <f t="shared" si="146"/>
        <v>0</v>
      </c>
      <c r="BQ123" s="171">
        <f t="shared" si="147"/>
        <v>0</v>
      </c>
      <c r="BR123" s="170">
        <f t="shared" si="124"/>
        <v>0</v>
      </c>
      <c r="BS123" s="168">
        <f t="shared" si="148"/>
        <v>0</v>
      </c>
      <c r="BT123" s="171">
        <f t="shared" si="149"/>
        <v>0</v>
      </c>
      <c r="BU123" s="170">
        <f t="shared" si="125"/>
        <v>0</v>
      </c>
      <c r="BV123" s="168">
        <f t="shared" si="150"/>
        <v>0</v>
      </c>
      <c r="BW123" s="171">
        <f t="shared" si="151"/>
        <v>0</v>
      </c>
      <c r="BX123" s="170">
        <f t="shared" si="126"/>
        <v>0</v>
      </c>
      <c r="BY123" s="168">
        <f t="shared" si="152"/>
        <v>0</v>
      </c>
      <c r="BZ123" s="171">
        <f t="shared" si="153"/>
        <v>0</v>
      </c>
      <c r="CA123" s="170">
        <f t="shared" si="127"/>
        <v>0</v>
      </c>
      <c r="CB123" s="90">
        <f t="shared" si="154"/>
        <v>0</v>
      </c>
      <c r="CC123" s="171">
        <f t="shared" si="155"/>
        <v>0</v>
      </c>
      <c r="CD123" s="170">
        <f t="shared" si="128"/>
        <v>0</v>
      </c>
      <c r="CE123" s="90">
        <f t="shared" si="156"/>
        <v>0</v>
      </c>
      <c r="CF123" s="171">
        <f t="shared" si="157"/>
        <v>0</v>
      </c>
      <c r="CG123" s="170">
        <f t="shared" si="129"/>
        <v>0</v>
      </c>
      <c r="CH123" s="90">
        <f t="shared" si="158"/>
        <v>0</v>
      </c>
      <c r="CI123" s="171">
        <f t="shared" si="159"/>
        <v>0</v>
      </c>
      <c r="CJ123" s="170">
        <f t="shared" si="130"/>
        <v>0</v>
      </c>
      <c r="CK123" s="90">
        <f t="shared" si="160"/>
        <v>0</v>
      </c>
      <c r="CL123" s="171">
        <f t="shared" si="161"/>
        <v>0</v>
      </c>
      <c r="CM123" s="170">
        <f t="shared" si="131"/>
        <v>0</v>
      </c>
      <c r="CN123" s="90">
        <f t="shared" si="162"/>
        <v>0</v>
      </c>
      <c r="CO123" s="171">
        <f t="shared" si="163"/>
        <v>0</v>
      </c>
      <c r="CP123" s="170">
        <f t="shared" si="132"/>
        <v>0</v>
      </c>
      <c r="CQ123" s="90">
        <f t="shared" si="164"/>
        <v>0</v>
      </c>
      <c r="CR123" s="171">
        <f t="shared" si="165"/>
        <v>0</v>
      </c>
      <c r="CS123" s="170">
        <f t="shared" si="133"/>
        <v>0</v>
      </c>
      <c r="CT123" s="90">
        <f t="shared" si="166"/>
        <v>0</v>
      </c>
      <c r="CU123" s="171">
        <f t="shared" si="167"/>
        <v>0</v>
      </c>
      <c r="CV123" s="170">
        <f t="shared" si="134"/>
        <v>0</v>
      </c>
      <c r="CW123" s="90">
        <f t="shared" si="168"/>
        <v>0</v>
      </c>
      <c r="CX123" s="171">
        <f t="shared" si="169"/>
        <v>0</v>
      </c>
      <c r="CY123" s="170">
        <f t="shared" si="135"/>
        <v>0</v>
      </c>
      <c r="CZ123" s="168">
        <f t="shared" si="136"/>
        <v>0</v>
      </c>
      <c r="DA123" s="172">
        <f t="shared" si="138"/>
        <v>0</v>
      </c>
      <c r="DB123" s="173">
        <f t="shared" si="139"/>
        <v>0</v>
      </c>
      <c r="DC123" s="172">
        <f t="shared" si="170"/>
        <v>0</v>
      </c>
      <c r="DD123" s="172">
        <f t="shared" si="170"/>
        <v>0</v>
      </c>
      <c r="DE123" s="172">
        <f t="shared" si="170"/>
        <v>0</v>
      </c>
      <c r="DF123" s="172">
        <f t="shared" si="141"/>
        <v>0</v>
      </c>
      <c r="DG123" s="1"/>
      <c r="DH123" s="1"/>
      <c r="DI123" s="3"/>
      <c r="DJ123" s="8"/>
      <c r="DK123" s="8"/>
      <c r="DL123" s="8"/>
      <c r="DM123" s="8"/>
      <c r="DN123" s="8"/>
      <c r="DO123" s="8"/>
      <c r="DP123" s="8"/>
      <c r="DQ123" s="3"/>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row>
    <row r="124" spans="1:155" s="565" customFormat="1" ht="12">
      <c r="A124" s="181"/>
      <c r="B124" s="70"/>
      <c r="C124" s="70"/>
      <c r="D124" s="70"/>
      <c r="E124" s="70"/>
      <c r="F124" s="70"/>
      <c r="G124" s="70"/>
      <c r="H124" s="70"/>
      <c r="I124" s="70"/>
      <c r="J124" s="70"/>
      <c r="K124" s="70"/>
      <c r="L124" s="70"/>
      <c r="M124" s="70"/>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70"/>
      <c r="BE124" s="165" t="s">
        <v>14</v>
      </c>
      <c r="BF124" s="23">
        <v>22</v>
      </c>
      <c r="BG124" s="23">
        <v>15</v>
      </c>
      <c r="BH124" s="23">
        <v>4</v>
      </c>
      <c r="BI124" s="90" t="b">
        <f t="shared" si="137"/>
        <v>1</v>
      </c>
      <c r="BJ124" s="46" t="b">
        <f t="shared" si="144"/>
        <v>0</v>
      </c>
      <c r="BK124" s="166">
        <f t="shared" si="145"/>
        <v>0</v>
      </c>
      <c r="BL124" s="175">
        <f>IF(SUM(BL$110:BL123,BK124)&gt;$BM$4,0,BK124)</f>
        <v>0</v>
      </c>
      <c r="BM124" s="23">
        <f t="shared" si="122"/>
        <v>0</v>
      </c>
      <c r="BN124" s="90">
        <f t="shared" si="123"/>
        <v>0</v>
      </c>
      <c r="BO124" s="24">
        <f t="shared" si="142"/>
        <v>0</v>
      </c>
      <c r="BP124" s="168">
        <f t="shared" si="146"/>
        <v>0</v>
      </c>
      <c r="BQ124" s="171">
        <f t="shared" si="147"/>
        <v>0</v>
      </c>
      <c r="BR124" s="170">
        <f t="shared" si="124"/>
        <v>0</v>
      </c>
      <c r="BS124" s="168">
        <f t="shared" si="148"/>
        <v>0</v>
      </c>
      <c r="BT124" s="171">
        <f t="shared" si="149"/>
        <v>0</v>
      </c>
      <c r="BU124" s="170">
        <f t="shared" si="125"/>
        <v>0</v>
      </c>
      <c r="BV124" s="168">
        <f t="shared" si="150"/>
        <v>0</v>
      </c>
      <c r="BW124" s="171">
        <f t="shared" si="151"/>
        <v>0</v>
      </c>
      <c r="BX124" s="170">
        <f t="shared" si="126"/>
        <v>0</v>
      </c>
      <c r="BY124" s="168">
        <f t="shared" si="152"/>
        <v>0</v>
      </c>
      <c r="BZ124" s="171">
        <f t="shared" si="153"/>
        <v>0</v>
      </c>
      <c r="CA124" s="170">
        <f t="shared" si="127"/>
        <v>0</v>
      </c>
      <c r="CB124" s="90">
        <f t="shared" si="154"/>
        <v>0</v>
      </c>
      <c r="CC124" s="171">
        <f t="shared" si="155"/>
        <v>0</v>
      </c>
      <c r="CD124" s="170">
        <f t="shared" si="128"/>
        <v>0</v>
      </c>
      <c r="CE124" s="90">
        <f t="shared" si="156"/>
        <v>0</v>
      </c>
      <c r="CF124" s="171">
        <f t="shared" si="157"/>
        <v>0</v>
      </c>
      <c r="CG124" s="170">
        <f t="shared" si="129"/>
        <v>0</v>
      </c>
      <c r="CH124" s="90">
        <f t="shared" si="158"/>
        <v>0</v>
      </c>
      <c r="CI124" s="171">
        <f t="shared" si="159"/>
        <v>0</v>
      </c>
      <c r="CJ124" s="170">
        <f t="shared" si="130"/>
        <v>0</v>
      </c>
      <c r="CK124" s="90">
        <f t="shared" si="160"/>
        <v>0</v>
      </c>
      <c r="CL124" s="171">
        <f t="shared" si="161"/>
        <v>0</v>
      </c>
      <c r="CM124" s="170">
        <f t="shared" si="131"/>
        <v>0</v>
      </c>
      <c r="CN124" s="90">
        <f t="shared" si="162"/>
        <v>0</v>
      </c>
      <c r="CO124" s="171">
        <f t="shared" si="163"/>
        <v>0</v>
      </c>
      <c r="CP124" s="170">
        <f t="shared" si="132"/>
        <v>0</v>
      </c>
      <c r="CQ124" s="90">
        <f t="shared" si="164"/>
        <v>0</v>
      </c>
      <c r="CR124" s="171">
        <f t="shared" si="165"/>
        <v>0</v>
      </c>
      <c r="CS124" s="170">
        <f t="shared" si="133"/>
        <v>0</v>
      </c>
      <c r="CT124" s="90">
        <f t="shared" si="166"/>
        <v>0</v>
      </c>
      <c r="CU124" s="171">
        <f t="shared" si="167"/>
        <v>0</v>
      </c>
      <c r="CV124" s="170">
        <f t="shared" si="134"/>
        <v>0</v>
      </c>
      <c r="CW124" s="90">
        <f t="shared" si="168"/>
        <v>0</v>
      </c>
      <c r="CX124" s="171">
        <f t="shared" si="169"/>
        <v>0</v>
      </c>
      <c r="CY124" s="170">
        <f t="shared" si="135"/>
        <v>0</v>
      </c>
      <c r="CZ124" s="168">
        <f t="shared" si="136"/>
        <v>0</v>
      </c>
      <c r="DA124" s="172">
        <f t="shared" si="138"/>
        <v>0</v>
      </c>
      <c r="DB124" s="173">
        <f t="shared" si="139"/>
        <v>0</v>
      </c>
      <c r="DC124" s="172">
        <f t="shared" si="170"/>
        <v>0</v>
      </c>
      <c r="DD124" s="172">
        <f t="shared" si="170"/>
        <v>0</v>
      </c>
      <c r="DE124" s="172">
        <f t="shared" si="170"/>
        <v>0</v>
      </c>
      <c r="DF124" s="172">
        <f t="shared" si="141"/>
        <v>0</v>
      </c>
      <c r="DG124" s="1"/>
      <c r="DH124" s="1"/>
      <c r="DI124" s="3"/>
      <c r="DJ124" s="8"/>
      <c r="DK124" s="8"/>
      <c r="DL124" s="8"/>
      <c r="DM124" s="8"/>
      <c r="DN124" s="8"/>
      <c r="DO124" s="8"/>
      <c r="DP124" s="8"/>
      <c r="DQ124" s="3"/>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row>
    <row r="125" spans="1:155" s="565" customFormat="1" ht="12">
      <c r="A125" s="181"/>
      <c r="B125" s="70"/>
      <c r="C125" s="70"/>
      <c r="D125" s="70"/>
      <c r="E125" s="70"/>
      <c r="F125" s="70"/>
      <c r="G125" s="70"/>
      <c r="H125" s="70"/>
      <c r="I125" s="70"/>
      <c r="J125" s="70"/>
      <c r="K125" s="70"/>
      <c r="L125" s="70"/>
      <c r="M125" s="70"/>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70"/>
      <c r="BE125" s="165" t="s">
        <v>14</v>
      </c>
      <c r="BF125" s="23">
        <v>22</v>
      </c>
      <c r="BG125" s="23">
        <v>16</v>
      </c>
      <c r="BH125" s="23">
        <v>5</v>
      </c>
      <c r="BI125" s="90" t="b">
        <f t="shared" si="137"/>
        <v>1</v>
      </c>
      <c r="BJ125" s="46" t="b">
        <f t="shared" si="144"/>
        <v>1</v>
      </c>
      <c r="BK125" s="166">
        <f t="shared" si="145"/>
        <v>7.7142857142857144</v>
      </c>
      <c r="BL125" s="175">
        <f>IF(SUM(BL$110:BL124,BK125)&gt;$BM$4,0,BK125)</f>
        <v>7.7142857142857144</v>
      </c>
      <c r="BM125" s="23">
        <f t="shared" si="122"/>
        <v>0</v>
      </c>
      <c r="BN125" s="90">
        <f t="shared" si="123"/>
        <v>0</v>
      </c>
      <c r="BO125" s="24">
        <f t="shared" si="142"/>
        <v>0</v>
      </c>
      <c r="BP125" s="168">
        <f t="shared" si="146"/>
        <v>0</v>
      </c>
      <c r="BQ125" s="171">
        <f t="shared" si="147"/>
        <v>0</v>
      </c>
      <c r="BR125" s="170">
        <f t="shared" si="124"/>
        <v>0</v>
      </c>
      <c r="BS125" s="168">
        <f t="shared" si="148"/>
        <v>0</v>
      </c>
      <c r="BT125" s="171">
        <f t="shared" si="149"/>
        <v>0</v>
      </c>
      <c r="BU125" s="170">
        <f t="shared" si="125"/>
        <v>0</v>
      </c>
      <c r="BV125" s="168">
        <f t="shared" si="150"/>
        <v>0</v>
      </c>
      <c r="BW125" s="171">
        <f t="shared" si="151"/>
        <v>0</v>
      </c>
      <c r="BX125" s="170">
        <f t="shared" si="126"/>
        <v>0</v>
      </c>
      <c r="BY125" s="168">
        <f t="shared" si="152"/>
        <v>0</v>
      </c>
      <c r="BZ125" s="171">
        <f t="shared" si="153"/>
        <v>0</v>
      </c>
      <c r="CA125" s="170">
        <f t="shared" si="127"/>
        <v>0</v>
      </c>
      <c r="CB125" s="90">
        <f t="shared" si="154"/>
        <v>0</v>
      </c>
      <c r="CC125" s="171">
        <f t="shared" si="155"/>
        <v>0</v>
      </c>
      <c r="CD125" s="170">
        <f t="shared" si="128"/>
        <v>0</v>
      </c>
      <c r="CE125" s="90">
        <f t="shared" si="156"/>
        <v>0</v>
      </c>
      <c r="CF125" s="171">
        <f t="shared" si="157"/>
        <v>0</v>
      </c>
      <c r="CG125" s="170">
        <f t="shared" si="129"/>
        <v>0</v>
      </c>
      <c r="CH125" s="90">
        <f t="shared" si="158"/>
        <v>0</v>
      </c>
      <c r="CI125" s="171">
        <f t="shared" si="159"/>
        <v>0</v>
      </c>
      <c r="CJ125" s="170">
        <f t="shared" si="130"/>
        <v>0</v>
      </c>
      <c r="CK125" s="90">
        <f t="shared" si="160"/>
        <v>0</v>
      </c>
      <c r="CL125" s="171">
        <f t="shared" si="161"/>
        <v>0</v>
      </c>
      <c r="CM125" s="170">
        <f t="shared" si="131"/>
        <v>0</v>
      </c>
      <c r="CN125" s="90">
        <f t="shared" si="162"/>
        <v>0</v>
      </c>
      <c r="CO125" s="171">
        <f t="shared" si="163"/>
        <v>0</v>
      </c>
      <c r="CP125" s="170">
        <f t="shared" si="132"/>
        <v>0</v>
      </c>
      <c r="CQ125" s="90">
        <f t="shared" si="164"/>
        <v>0</v>
      </c>
      <c r="CR125" s="171">
        <f t="shared" si="165"/>
        <v>0</v>
      </c>
      <c r="CS125" s="170">
        <f t="shared" si="133"/>
        <v>0</v>
      </c>
      <c r="CT125" s="90">
        <f t="shared" si="166"/>
        <v>0</v>
      </c>
      <c r="CU125" s="171">
        <f t="shared" si="167"/>
        <v>0</v>
      </c>
      <c r="CV125" s="170">
        <f t="shared" si="134"/>
        <v>0</v>
      </c>
      <c r="CW125" s="90">
        <f t="shared" si="168"/>
        <v>0</v>
      </c>
      <c r="CX125" s="171">
        <f t="shared" si="169"/>
        <v>0</v>
      </c>
      <c r="CY125" s="170">
        <f t="shared" si="135"/>
        <v>0</v>
      </c>
      <c r="CZ125" s="168">
        <f t="shared" si="136"/>
        <v>0</v>
      </c>
      <c r="DA125" s="172">
        <f t="shared" si="138"/>
        <v>0</v>
      </c>
      <c r="DB125" s="173">
        <f t="shared" si="139"/>
        <v>0</v>
      </c>
      <c r="DC125" s="172">
        <f t="shared" si="170"/>
        <v>0</v>
      </c>
      <c r="DD125" s="172">
        <f t="shared" si="170"/>
        <v>0</v>
      </c>
      <c r="DE125" s="172">
        <f t="shared" si="170"/>
        <v>0</v>
      </c>
      <c r="DF125" s="172">
        <f t="shared" si="141"/>
        <v>0</v>
      </c>
      <c r="DG125" s="1"/>
      <c r="DH125" s="1"/>
      <c r="DI125" s="3"/>
      <c r="DJ125" s="8"/>
      <c r="DK125" s="8"/>
      <c r="DL125" s="8"/>
      <c r="DM125" s="8"/>
      <c r="DN125" s="8"/>
      <c r="DO125" s="8"/>
      <c r="DP125" s="8"/>
      <c r="DQ125" s="3"/>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row>
    <row r="126" spans="1:155" s="565" customFormat="1" ht="15" customHeight="1">
      <c r="A126" s="181"/>
      <c r="B126" s="70"/>
      <c r="C126" s="70"/>
      <c r="D126" s="70"/>
      <c r="E126" s="70"/>
      <c r="F126" s="70"/>
      <c r="G126" s="70"/>
      <c r="H126" s="70"/>
      <c r="I126" s="70"/>
      <c r="J126" s="70"/>
      <c r="K126" s="70"/>
      <c r="L126" s="70"/>
      <c r="M126" s="70"/>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70"/>
      <c r="BE126" s="165" t="s">
        <v>14</v>
      </c>
      <c r="BF126" s="23">
        <v>22</v>
      </c>
      <c r="BG126" s="23">
        <v>17</v>
      </c>
      <c r="BH126" s="23">
        <v>6</v>
      </c>
      <c r="BI126" s="90" t="b">
        <f t="shared" si="137"/>
        <v>0</v>
      </c>
      <c r="BJ126" s="46" t="b">
        <f t="shared" si="144"/>
        <v>0</v>
      </c>
      <c r="BK126" s="166">
        <f t="shared" si="145"/>
        <v>0</v>
      </c>
      <c r="BL126" s="175">
        <f>IF(SUM(BL$110:BL125,BK126)&gt;$BM$4,0,BK126)</f>
        <v>0</v>
      </c>
      <c r="BM126" s="23">
        <f t="shared" si="122"/>
        <v>0</v>
      </c>
      <c r="BN126" s="90">
        <f t="shared" si="123"/>
        <v>0</v>
      </c>
      <c r="BO126" s="24">
        <f t="shared" si="142"/>
        <v>0</v>
      </c>
      <c r="BP126" s="168">
        <f t="shared" si="146"/>
        <v>0</v>
      </c>
      <c r="BQ126" s="171">
        <f t="shared" si="147"/>
        <v>0</v>
      </c>
      <c r="BR126" s="170">
        <f t="shared" si="124"/>
        <v>0</v>
      </c>
      <c r="BS126" s="168">
        <f t="shared" si="148"/>
        <v>0</v>
      </c>
      <c r="BT126" s="171">
        <f t="shared" si="149"/>
        <v>0</v>
      </c>
      <c r="BU126" s="170">
        <f t="shared" si="125"/>
        <v>0</v>
      </c>
      <c r="BV126" s="168">
        <f t="shared" si="150"/>
        <v>0</v>
      </c>
      <c r="BW126" s="171">
        <f t="shared" si="151"/>
        <v>0</v>
      </c>
      <c r="BX126" s="170">
        <f t="shared" si="126"/>
        <v>0</v>
      </c>
      <c r="BY126" s="168">
        <f t="shared" si="152"/>
        <v>0</v>
      </c>
      <c r="BZ126" s="171">
        <f t="shared" si="153"/>
        <v>0</v>
      </c>
      <c r="CA126" s="170">
        <f t="shared" si="127"/>
        <v>0</v>
      </c>
      <c r="CB126" s="90">
        <f t="shared" si="154"/>
        <v>0</v>
      </c>
      <c r="CC126" s="171">
        <f t="shared" si="155"/>
        <v>0</v>
      </c>
      <c r="CD126" s="170">
        <f t="shared" si="128"/>
        <v>0</v>
      </c>
      <c r="CE126" s="90">
        <f t="shared" si="156"/>
        <v>0</v>
      </c>
      <c r="CF126" s="171">
        <f t="shared" si="157"/>
        <v>0</v>
      </c>
      <c r="CG126" s="170">
        <f t="shared" si="129"/>
        <v>0</v>
      </c>
      <c r="CH126" s="90">
        <f t="shared" si="158"/>
        <v>0</v>
      </c>
      <c r="CI126" s="171">
        <f t="shared" si="159"/>
        <v>0</v>
      </c>
      <c r="CJ126" s="170">
        <f t="shared" si="130"/>
        <v>0</v>
      </c>
      <c r="CK126" s="90">
        <f t="shared" si="160"/>
        <v>0</v>
      </c>
      <c r="CL126" s="171">
        <f t="shared" si="161"/>
        <v>0</v>
      </c>
      <c r="CM126" s="170">
        <f t="shared" si="131"/>
        <v>0</v>
      </c>
      <c r="CN126" s="90">
        <f t="shared" si="162"/>
        <v>0</v>
      </c>
      <c r="CO126" s="171">
        <f t="shared" si="163"/>
        <v>0</v>
      </c>
      <c r="CP126" s="170">
        <f t="shared" si="132"/>
        <v>0</v>
      </c>
      <c r="CQ126" s="90">
        <f t="shared" si="164"/>
        <v>0</v>
      </c>
      <c r="CR126" s="171">
        <f t="shared" si="165"/>
        <v>0</v>
      </c>
      <c r="CS126" s="170">
        <f t="shared" si="133"/>
        <v>0</v>
      </c>
      <c r="CT126" s="90">
        <f t="shared" si="166"/>
        <v>0</v>
      </c>
      <c r="CU126" s="171">
        <f t="shared" si="167"/>
        <v>0</v>
      </c>
      <c r="CV126" s="170">
        <f t="shared" si="134"/>
        <v>0</v>
      </c>
      <c r="CW126" s="90">
        <f t="shared" si="168"/>
        <v>0</v>
      </c>
      <c r="CX126" s="171">
        <f t="shared" si="169"/>
        <v>0</v>
      </c>
      <c r="CY126" s="170">
        <f t="shared" si="135"/>
        <v>0</v>
      </c>
      <c r="CZ126" s="168">
        <f t="shared" si="136"/>
        <v>0</v>
      </c>
      <c r="DA126" s="172">
        <f t="shared" si="138"/>
        <v>0</v>
      </c>
      <c r="DB126" s="173">
        <f t="shared" si="139"/>
        <v>0</v>
      </c>
      <c r="DC126" s="172">
        <f t="shared" si="170"/>
        <v>0</v>
      </c>
      <c r="DD126" s="172">
        <f t="shared" si="170"/>
        <v>0</v>
      </c>
      <c r="DE126" s="172">
        <f t="shared" si="170"/>
        <v>0</v>
      </c>
      <c r="DF126" s="172">
        <f t="shared" si="141"/>
        <v>0</v>
      </c>
      <c r="DG126" s="1"/>
      <c r="DH126" s="1"/>
      <c r="DI126" s="3"/>
      <c r="DJ126" s="8"/>
      <c r="DK126" s="8"/>
      <c r="DL126" s="8"/>
      <c r="DM126" s="8"/>
      <c r="DN126" s="8"/>
      <c r="DO126" s="8"/>
      <c r="DP126" s="8"/>
      <c r="DQ126" s="3"/>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row>
    <row r="127" spans="1:155" s="565" customFormat="1" ht="15" customHeight="1">
      <c r="A127" s="181"/>
      <c r="B127" s="70"/>
      <c r="C127" s="70"/>
      <c r="D127" s="70"/>
      <c r="E127" s="70"/>
      <c r="F127" s="70"/>
      <c r="G127" s="70"/>
      <c r="H127" s="70"/>
      <c r="I127" s="70"/>
      <c r="J127" s="70"/>
      <c r="K127" s="70"/>
      <c r="L127" s="70"/>
      <c r="M127" s="70"/>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70"/>
      <c r="BE127" s="165" t="s">
        <v>14</v>
      </c>
      <c r="BF127" s="23">
        <v>22</v>
      </c>
      <c r="BG127" s="23">
        <v>18</v>
      </c>
      <c r="BH127" s="23">
        <v>7</v>
      </c>
      <c r="BI127" s="90" t="b">
        <f t="shared" si="137"/>
        <v>0</v>
      </c>
      <c r="BJ127" s="46" t="b">
        <f t="shared" si="144"/>
        <v>0</v>
      </c>
      <c r="BK127" s="166">
        <f t="shared" si="145"/>
        <v>0</v>
      </c>
      <c r="BL127" s="175">
        <f>IF(SUM(BL$110:BL126,BK127)&gt;$BM$4,0,BK127)</f>
        <v>0</v>
      </c>
      <c r="BM127" s="23">
        <f t="shared" si="122"/>
        <v>0</v>
      </c>
      <c r="BN127" s="90">
        <f t="shared" si="123"/>
        <v>0</v>
      </c>
      <c r="BO127" s="24">
        <f t="shared" si="142"/>
        <v>0</v>
      </c>
      <c r="BP127" s="168">
        <f t="shared" si="146"/>
        <v>0</v>
      </c>
      <c r="BQ127" s="171">
        <f t="shared" si="147"/>
        <v>0</v>
      </c>
      <c r="BR127" s="170">
        <f t="shared" si="124"/>
        <v>0</v>
      </c>
      <c r="BS127" s="168">
        <f t="shared" si="148"/>
        <v>0</v>
      </c>
      <c r="BT127" s="171">
        <f t="shared" si="149"/>
        <v>0</v>
      </c>
      <c r="BU127" s="170">
        <f t="shared" si="125"/>
        <v>0</v>
      </c>
      <c r="BV127" s="168">
        <f t="shared" si="150"/>
        <v>0</v>
      </c>
      <c r="BW127" s="171">
        <f t="shared" si="151"/>
        <v>0</v>
      </c>
      <c r="BX127" s="170">
        <f t="shared" si="126"/>
        <v>0</v>
      </c>
      <c r="BY127" s="168">
        <f t="shared" si="152"/>
        <v>0</v>
      </c>
      <c r="BZ127" s="171">
        <f t="shared" si="153"/>
        <v>0</v>
      </c>
      <c r="CA127" s="170">
        <f t="shared" si="127"/>
        <v>0</v>
      </c>
      <c r="CB127" s="90">
        <f t="shared" si="154"/>
        <v>0</v>
      </c>
      <c r="CC127" s="171">
        <f t="shared" si="155"/>
        <v>0</v>
      </c>
      <c r="CD127" s="170">
        <f t="shared" si="128"/>
        <v>0</v>
      </c>
      <c r="CE127" s="90">
        <f t="shared" si="156"/>
        <v>0</v>
      </c>
      <c r="CF127" s="171">
        <f t="shared" si="157"/>
        <v>0</v>
      </c>
      <c r="CG127" s="170">
        <f t="shared" si="129"/>
        <v>0</v>
      </c>
      <c r="CH127" s="90">
        <f t="shared" si="158"/>
        <v>0</v>
      </c>
      <c r="CI127" s="171">
        <f t="shared" si="159"/>
        <v>0</v>
      </c>
      <c r="CJ127" s="170">
        <f t="shared" si="130"/>
        <v>0</v>
      </c>
      <c r="CK127" s="90">
        <f t="shared" si="160"/>
        <v>0</v>
      </c>
      <c r="CL127" s="171">
        <f t="shared" si="161"/>
        <v>0</v>
      </c>
      <c r="CM127" s="170">
        <f t="shared" si="131"/>
        <v>0</v>
      </c>
      <c r="CN127" s="90">
        <f t="shared" si="162"/>
        <v>0</v>
      </c>
      <c r="CO127" s="171">
        <f t="shared" si="163"/>
        <v>0</v>
      </c>
      <c r="CP127" s="170">
        <f t="shared" si="132"/>
        <v>0</v>
      </c>
      <c r="CQ127" s="90">
        <f t="shared" si="164"/>
        <v>0</v>
      </c>
      <c r="CR127" s="171">
        <f t="shared" si="165"/>
        <v>0</v>
      </c>
      <c r="CS127" s="170">
        <f t="shared" si="133"/>
        <v>0</v>
      </c>
      <c r="CT127" s="90">
        <f t="shared" si="166"/>
        <v>0</v>
      </c>
      <c r="CU127" s="171">
        <f t="shared" si="167"/>
        <v>0</v>
      </c>
      <c r="CV127" s="170">
        <f t="shared" si="134"/>
        <v>0</v>
      </c>
      <c r="CW127" s="90">
        <f t="shared" si="168"/>
        <v>0</v>
      </c>
      <c r="CX127" s="171">
        <f t="shared" si="169"/>
        <v>0</v>
      </c>
      <c r="CY127" s="170">
        <f t="shared" si="135"/>
        <v>0</v>
      </c>
      <c r="CZ127" s="168">
        <f t="shared" si="136"/>
        <v>0</v>
      </c>
      <c r="DA127" s="172">
        <f t="shared" si="138"/>
        <v>0</v>
      </c>
      <c r="DB127" s="173">
        <f t="shared" si="139"/>
        <v>0</v>
      </c>
      <c r="DC127" s="172">
        <f t="shared" si="170"/>
        <v>0</v>
      </c>
      <c r="DD127" s="172">
        <f t="shared" si="170"/>
        <v>0</v>
      </c>
      <c r="DE127" s="172">
        <f t="shared" si="170"/>
        <v>0</v>
      </c>
      <c r="DF127" s="172">
        <f t="shared" si="141"/>
        <v>0</v>
      </c>
      <c r="DG127" s="1"/>
      <c r="DH127" s="1"/>
      <c r="DI127" s="3"/>
      <c r="DJ127" s="8"/>
      <c r="DK127" s="8"/>
      <c r="DL127" s="8"/>
      <c r="DM127" s="8"/>
      <c r="DN127" s="8"/>
      <c r="DO127" s="8"/>
      <c r="DP127" s="8"/>
      <c r="DQ127" s="3"/>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row>
    <row r="128" spans="1:155" s="565" customFormat="1" ht="12" customHeight="1">
      <c r="A128" s="181"/>
      <c r="B128" s="70"/>
      <c r="C128" s="70"/>
      <c r="D128" s="70"/>
      <c r="E128" s="70"/>
      <c r="F128" s="70"/>
      <c r="G128" s="70"/>
      <c r="H128" s="70"/>
      <c r="I128" s="70"/>
      <c r="J128" s="70"/>
      <c r="K128" s="70"/>
      <c r="L128" s="70"/>
      <c r="M128" s="70"/>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70"/>
      <c r="BE128" s="165" t="s">
        <v>14</v>
      </c>
      <c r="BF128" s="23">
        <v>22</v>
      </c>
      <c r="BG128" s="23">
        <v>19</v>
      </c>
      <c r="BH128" s="23">
        <v>1</v>
      </c>
      <c r="BI128" s="90" t="b">
        <f t="shared" si="137"/>
        <v>1</v>
      </c>
      <c r="BJ128" s="46" t="b">
        <f t="shared" si="144"/>
        <v>0</v>
      </c>
      <c r="BK128" s="166">
        <f t="shared" si="145"/>
        <v>0</v>
      </c>
      <c r="BL128" s="175">
        <f>IF(SUM(BL$110:BL127,BK128)&gt;$BM$4,0,BK128)</f>
        <v>0</v>
      </c>
      <c r="BM128" s="23">
        <f t="shared" si="122"/>
        <v>0</v>
      </c>
      <c r="BN128" s="90">
        <f t="shared" si="123"/>
        <v>0</v>
      </c>
      <c r="BO128" s="24">
        <f t="shared" si="142"/>
        <v>0</v>
      </c>
      <c r="BP128" s="168">
        <f t="shared" si="146"/>
        <v>0</v>
      </c>
      <c r="BQ128" s="171">
        <f t="shared" si="147"/>
        <v>0</v>
      </c>
      <c r="BR128" s="170">
        <f t="shared" si="124"/>
        <v>0</v>
      </c>
      <c r="BS128" s="168">
        <f t="shared" si="148"/>
        <v>0</v>
      </c>
      <c r="BT128" s="171">
        <f t="shared" si="149"/>
        <v>0</v>
      </c>
      <c r="BU128" s="170">
        <f t="shared" si="125"/>
        <v>0</v>
      </c>
      <c r="BV128" s="168">
        <f t="shared" si="150"/>
        <v>0</v>
      </c>
      <c r="BW128" s="171">
        <f t="shared" si="151"/>
        <v>0</v>
      </c>
      <c r="BX128" s="170">
        <f t="shared" si="126"/>
        <v>0</v>
      </c>
      <c r="BY128" s="168">
        <f t="shared" si="152"/>
        <v>0</v>
      </c>
      <c r="BZ128" s="171">
        <f t="shared" si="153"/>
        <v>0</v>
      </c>
      <c r="CA128" s="170">
        <f t="shared" si="127"/>
        <v>0</v>
      </c>
      <c r="CB128" s="90">
        <f t="shared" si="154"/>
        <v>0</v>
      </c>
      <c r="CC128" s="171">
        <f t="shared" si="155"/>
        <v>0</v>
      </c>
      <c r="CD128" s="170">
        <f t="shared" si="128"/>
        <v>0</v>
      </c>
      <c r="CE128" s="90">
        <f t="shared" si="156"/>
        <v>0</v>
      </c>
      <c r="CF128" s="171">
        <f t="shared" si="157"/>
        <v>0</v>
      </c>
      <c r="CG128" s="170">
        <f t="shared" si="129"/>
        <v>0</v>
      </c>
      <c r="CH128" s="90">
        <f t="shared" si="158"/>
        <v>0</v>
      </c>
      <c r="CI128" s="171">
        <f t="shared" si="159"/>
        <v>0</v>
      </c>
      <c r="CJ128" s="170">
        <f t="shared" si="130"/>
        <v>0</v>
      </c>
      <c r="CK128" s="90">
        <f t="shared" si="160"/>
        <v>0</v>
      </c>
      <c r="CL128" s="171">
        <f t="shared" si="161"/>
        <v>0</v>
      </c>
      <c r="CM128" s="170">
        <f t="shared" si="131"/>
        <v>0</v>
      </c>
      <c r="CN128" s="90">
        <f t="shared" si="162"/>
        <v>0</v>
      </c>
      <c r="CO128" s="171">
        <f t="shared" si="163"/>
        <v>0</v>
      </c>
      <c r="CP128" s="170">
        <f t="shared" si="132"/>
        <v>0</v>
      </c>
      <c r="CQ128" s="90">
        <f t="shared" si="164"/>
        <v>0</v>
      </c>
      <c r="CR128" s="171">
        <f t="shared" si="165"/>
        <v>0</v>
      </c>
      <c r="CS128" s="170">
        <f t="shared" si="133"/>
        <v>0</v>
      </c>
      <c r="CT128" s="90">
        <f t="shared" si="166"/>
        <v>0</v>
      </c>
      <c r="CU128" s="171">
        <f t="shared" si="167"/>
        <v>0</v>
      </c>
      <c r="CV128" s="170">
        <f t="shared" si="134"/>
        <v>0</v>
      </c>
      <c r="CW128" s="90">
        <f t="shared" si="168"/>
        <v>0</v>
      </c>
      <c r="CX128" s="171">
        <f t="shared" si="169"/>
        <v>0</v>
      </c>
      <c r="CY128" s="170">
        <f t="shared" si="135"/>
        <v>0</v>
      </c>
      <c r="CZ128" s="168">
        <f t="shared" si="136"/>
        <v>0</v>
      </c>
      <c r="DA128" s="172">
        <f t="shared" si="138"/>
        <v>0</v>
      </c>
      <c r="DB128" s="173">
        <f t="shared" si="139"/>
        <v>0</v>
      </c>
      <c r="DC128" s="172">
        <f t="shared" si="170"/>
        <v>0</v>
      </c>
      <c r="DD128" s="172">
        <f t="shared" si="170"/>
        <v>0</v>
      </c>
      <c r="DE128" s="172">
        <f t="shared" si="170"/>
        <v>0</v>
      </c>
      <c r="DF128" s="172">
        <f t="shared" si="141"/>
        <v>0</v>
      </c>
      <c r="DG128" s="1"/>
      <c r="DH128" s="1"/>
      <c r="DI128" s="3"/>
      <c r="DJ128" s="8"/>
      <c r="DK128" s="8"/>
      <c r="DL128" s="8"/>
      <c r="DM128" s="8"/>
      <c r="DN128" s="8"/>
      <c r="DO128" s="8"/>
      <c r="DP128" s="8"/>
      <c r="DQ128" s="3"/>
      <c r="DR128" s="274"/>
      <c r="DS128" s="274"/>
      <c r="DT128" s="274"/>
      <c r="DU128" s="274"/>
      <c r="DV128" s="274"/>
      <c r="DW128" s="274"/>
      <c r="DX128" s="274"/>
      <c r="DY128" s="274"/>
      <c r="DZ128" s="274"/>
      <c r="EA128" s="274"/>
      <c r="EB128" s="274"/>
      <c r="EC128" s="274"/>
      <c r="ED128" s="274"/>
      <c r="EE128" s="274"/>
      <c r="EF128" s="274"/>
      <c r="EG128" s="274"/>
      <c r="EH128" s="274"/>
      <c r="EI128" s="274"/>
      <c r="EJ128" s="274"/>
      <c r="EK128" s="274"/>
      <c r="EL128" s="274"/>
      <c r="EM128" s="274"/>
      <c r="EN128" s="274"/>
      <c r="EO128" s="274"/>
      <c r="EP128" s="274"/>
      <c r="EQ128" s="274"/>
      <c r="ER128" s="274"/>
      <c r="ES128" s="274"/>
      <c r="ET128" s="274"/>
      <c r="EU128" s="274"/>
      <c r="EV128" s="274"/>
      <c r="EW128" s="274"/>
      <c r="EX128" s="8"/>
      <c r="EY128" s="8"/>
    </row>
    <row r="129" spans="1:155" s="565" customFormat="1" ht="17.25" customHeight="1">
      <c r="A129" s="181"/>
      <c r="B129" s="70"/>
      <c r="C129" s="70"/>
      <c r="D129" s="70"/>
      <c r="E129" s="70"/>
      <c r="F129" s="70"/>
      <c r="G129" s="70"/>
      <c r="H129" s="70"/>
      <c r="I129" s="180"/>
      <c r="J129" s="180"/>
      <c r="K129" s="180"/>
      <c r="L129" s="180"/>
      <c r="M129" s="70"/>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70"/>
      <c r="BE129" s="165" t="s">
        <v>14</v>
      </c>
      <c r="BF129" s="23">
        <v>22</v>
      </c>
      <c r="BG129" s="23">
        <v>20</v>
      </c>
      <c r="BH129" s="23">
        <v>2</v>
      </c>
      <c r="BI129" s="90" t="b">
        <f t="shared" si="137"/>
        <v>1</v>
      </c>
      <c r="BJ129" s="46" t="b">
        <f t="shared" si="144"/>
        <v>1</v>
      </c>
      <c r="BK129" s="166">
        <f t="shared" si="145"/>
        <v>7.7142857142857144</v>
      </c>
      <c r="BL129" s="175">
        <f>IF(SUM(BL$110:BL128,BK129)&gt;$BM$4,0,BK129)</f>
        <v>7.7142857142857144</v>
      </c>
      <c r="BM129" s="23">
        <f t="shared" si="122"/>
        <v>0</v>
      </c>
      <c r="BN129" s="90">
        <f t="shared" si="123"/>
        <v>0</v>
      </c>
      <c r="BO129" s="24">
        <f t="shared" si="142"/>
        <v>0</v>
      </c>
      <c r="BP129" s="168">
        <f t="shared" si="146"/>
        <v>0</v>
      </c>
      <c r="BQ129" s="171">
        <f t="shared" si="147"/>
        <v>0</v>
      </c>
      <c r="BR129" s="170">
        <f t="shared" si="124"/>
        <v>0</v>
      </c>
      <c r="BS129" s="168">
        <f t="shared" si="148"/>
        <v>0</v>
      </c>
      <c r="BT129" s="171">
        <f t="shared" si="149"/>
        <v>0</v>
      </c>
      <c r="BU129" s="170">
        <f t="shared" si="125"/>
        <v>0</v>
      </c>
      <c r="BV129" s="168">
        <f t="shared" si="150"/>
        <v>0</v>
      </c>
      <c r="BW129" s="171">
        <f t="shared" si="151"/>
        <v>0</v>
      </c>
      <c r="BX129" s="170">
        <f t="shared" si="126"/>
        <v>0</v>
      </c>
      <c r="BY129" s="168">
        <f t="shared" si="152"/>
        <v>0</v>
      </c>
      <c r="BZ129" s="171">
        <f t="shared" si="153"/>
        <v>0</v>
      </c>
      <c r="CA129" s="170">
        <f t="shared" si="127"/>
        <v>0</v>
      </c>
      <c r="CB129" s="90">
        <f t="shared" si="154"/>
        <v>0</v>
      </c>
      <c r="CC129" s="171">
        <f t="shared" si="155"/>
        <v>0</v>
      </c>
      <c r="CD129" s="170">
        <f t="shared" si="128"/>
        <v>0</v>
      </c>
      <c r="CE129" s="90">
        <f t="shared" si="156"/>
        <v>0</v>
      </c>
      <c r="CF129" s="171">
        <f t="shared" si="157"/>
        <v>0</v>
      </c>
      <c r="CG129" s="170">
        <f t="shared" si="129"/>
        <v>0</v>
      </c>
      <c r="CH129" s="90">
        <f t="shared" si="158"/>
        <v>0</v>
      </c>
      <c r="CI129" s="171">
        <f t="shared" si="159"/>
        <v>0</v>
      </c>
      <c r="CJ129" s="170">
        <f t="shared" si="130"/>
        <v>0</v>
      </c>
      <c r="CK129" s="90">
        <f t="shared" si="160"/>
        <v>0</v>
      </c>
      <c r="CL129" s="171">
        <f t="shared" si="161"/>
        <v>0</v>
      </c>
      <c r="CM129" s="170">
        <f t="shared" si="131"/>
        <v>0</v>
      </c>
      <c r="CN129" s="90">
        <f t="shared" si="162"/>
        <v>0</v>
      </c>
      <c r="CO129" s="171">
        <f t="shared" si="163"/>
        <v>0</v>
      </c>
      <c r="CP129" s="170">
        <f t="shared" si="132"/>
        <v>0</v>
      </c>
      <c r="CQ129" s="90">
        <f t="shared" si="164"/>
        <v>0</v>
      </c>
      <c r="CR129" s="171">
        <f t="shared" si="165"/>
        <v>0</v>
      </c>
      <c r="CS129" s="170">
        <f t="shared" si="133"/>
        <v>0</v>
      </c>
      <c r="CT129" s="90">
        <f t="shared" si="166"/>
        <v>0</v>
      </c>
      <c r="CU129" s="171">
        <f t="shared" si="167"/>
        <v>0</v>
      </c>
      <c r="CV129" s="170">
        <f t="shared" si="134"/>
        <v>0</v>
      </c>
      <c r="CW129" s="90">
        <f t="shared" si="168"/>
        <v>0</v>
      </c>
      <c r="CX129" s="171">
        <f t="shared" si="169"/>
        <v>0</v>
      </c>
      <c r="CY129" s="170">
        <f t="shared" si="135"/>
        <v>0</v>
      </c>
      <c r="CZ129" s="168">
        <f t="shared" si="136"/>
        <v>0</v>
      </c>
      <c r="DA129" s="172">
        <f t="shared" si="138"/>
        <v>0</v>
      </c>
      <c r="DB129" s="173">
        <f t="shared" si="139"/>
        <v>0</v>
      </c>
      <c r="DC129" s="172">
        <f t="shared" si="170"/>
        <v>0</v>
      </c>
      <c r="DD129" s="172">
        <f t="shared" si="170"/>
        <v>0</v>
      </c>
      <c r="DE129" s="172">
        <f t="shared" si="170"/>
        <v>0</v>
      </c>
      <c r="DF129" s="172">
        <f t="shared" si="141"/>
        <v>0</v>
      </c>
      <c r="DG129" s="62"/>
      <c r="DH129" s="62"/>
      <c r="DI129" s="3"/>
      <c r="DJ129" s="8"/>
      <c r="DK129" s="8"/>
      <c r="DL129" s="8"/>
      <c r="DM129" s="8"/>
      <c r="DN129" s="8"/>
      <c r="DO129" s="8"/>
      <c r="DP129" s="8"/>
      <c r="DQ129" s="3"/>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row>
    <row r="130" spans="1:155" s="571" customFormat="1" ht="22.5" customHeight="1">
      <c r="A130" s="181"/>
      <c r="B130" s="217" t="s">
        <v>270</v>
      </c>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c r="AO130" s="218"/>
      <c r="AP130" s="218"/>
      <c r="AQ130" s="218"/>
      <c r="AR130" s="218"/>
      <c r="AS130" s="218"/>
      <c r="AT130" s="218"/>
      <c r="AU130" s="218"/>
      <c r="AV130" s="218"/>
      <c r="AW130" s="218"/>
      <c r="AX130" s="218"/>
      <c r="AY130" s="218"/>
      <c r="AZ130" s="218"/>
      <c r="BA130" s="218"/>
      <c r="BB130" s="218"/>
      <c r="BC130" s="218"/>
      <c r="BD130" s="275"/>
      <c r="BE130" s="206" t="s">
        <v>14</v>
      </c>
      <c r="BF130" s="207">
        <v>22</v>
      </c>
      <c r="BG130" s="207">
        <v>21</v>
      </c>
      <c r="BH130" s="207">
        <v>3</v>
      </c>
      <c r="BI130" s="208" t="b">
        <f t="shared" si="137"/>
        <v>1</v>
      </c>
      <c r="BJ130" s="209" t="b">
        <f t="shared" si="144"/>
        <v>0</v>
      </c>
      <c r="BK130" s="210">
        <f t="shared" si="145"/>
        <v>0</v>
      </c>
      <c r="BL130" s="211">
        <f>IF(SUM(BL$110:BL129,BK130)&gt;$BM$4,0,BK130)</f>
        <v>0</v>
      </c>
      <c r="BM130" s="207">
        <f t="shared" si="122"/>
        <v>0</v>
      </c>
      <c r="BN130" s="208">
        <f t="shared" si="123"/>
        <v>0</v>
      </c>
      <c r="BO130" s="212">
        <f t="shared" si="142"/>
        <v>0</v>
      </c>
      <c r="BP130" s="168">
        <f t="shared" si="146"/>
        <v>0</v>
      </c>
      <c r="BQ130" s="171">
        <f t="shared" si="147"/>
        <v>0</v>
      </c>
      <c r="BR130" s="170">
        <f t="shared" si="124"/>
        <v>0</v>
      </c>
      <c r="BS130" s="168">
        <f t="shared" si="148"/>
        <v>0</v>
      </c>
      <c r="BT130" s="171">
        <f t="shared" si="149"/>
        <v>0</v>
      </c>
      <c r="BU130" s="170">
        <f t="shared" si="125"/>
        <v>0</v>
      </c>
      <c r="BV130" s="168">
        <f t="shared" si="150"/>
        <v>0</v>
      </c>
      <c r="BW130" s="171">
        <f t="shared" si="151"/>
        <v>0</v>
      </c>
      <c r="BX130" s="170">
        <f t="shared" si="126"/>
        <v>0</v>
      </c>
      <c r="BY130" s="168">
        <f t="shared" si="152"/>
        <v>0</v>
      </c>
      <c r="BZ130" s="171">
        <f t="shared" si="153"/>
        <v>0</v>
      </c>
      <c r="CA130" s="170">
        <f t="shared" si="127"/>
        <v>0</v>
      </c>
      <c r="CB130" s="208">
        <f t="shared" si="154"/>
        <v>0</v>
      </c>
      <c r="CC130" s="171">
        <f t="shared" si="155"/>
        <v>0</v>
      </c>
      <c r="CD130" s="170">
        <f t="shared" si="128"/>
        <v>0</v>
      </c>
      <c r="CE130" s="208">
        <f t="shared" si="156"/>
        <v>0</v>
      </c>
      <c r="CF130" s="171">
        <f t="shared" si="157"/>
        <v>0</v>
      </c>
      <c r="CG130" s="170">
        <f t="shared" si="129"/>
        <v>0</v>
      </c>
      <c r="CH130" s="208">
        <f t="shared" si="158"/>
        <v>0</v>
      </c>
      <c r="CI130" s="171">
        <f t="shared" si="159"/>
        <v>0</v>
      </c>
      <c r="CJ130" s="170">
        <f t="shared" si="130"/>
        <v>0</v>
      </c>
      <c r="CK130" s="90">
        <f t="shared" si="160"/>
        <v>0</v>
      </c>
      <c r="CL130" s="171">
        <f t="shared" si="161"/>
        <v>0</v>
      </c>
      <c r="CM130" s="170">
        <f t="shared" si="131"/>
        <v>0</v>
      </c>
      <c r="CN130" s="90">
        <f t="shared" si="162"/>
        <v>0</v>
      </c>
      <c r="CO130" s="171">
        <f t="shared" si="163"/>
        <v>0</v>
      </c>
      <c r="CP130" s="170">
        <f t="shared" si="132"/>
        <v>0</v>
      </c>
      <c r="CQ130" s="90">
        <f t="shared" si="164"/>
        <v>0</v>
      </c>
      <c r="CR130" s="171">
        <f t="shared" si="165"/>
        <v>0</v>
      </c>
      <c r="CS130" s="170">
        <f t="shared" si="133"/>
        <v>0</v>
      </c>
      <c r="CT130" s="90">
        <f t="shared" si="166"/>
        <v>0</v>
      </c>
      <c r="CU130" s="171">
        <f t="shared" si="167"/>
        <v>0</v>
      </c>
      <c r="CV130" s="170">
        <f t="shared" si="134"/>
        <v>0</v>
      </c>
      <c r="CW130" s="90">
        <f t="shared" si="168"/>
        <v>0</v>
      </c>
      <c r="CX130" s="171">
        <f t="shared" si="169"/>
        <v>0</v>
      </c>
      <c r="CY130" s="170">
        <f t="shared" si="135"/>
        <v>0</v>
      </c>
      <c r="CZ130" s="213">
        <f t="shared" si="136"/>
        <v>0</v>
      </c>
      <c r="DA130" s="172">
        <f t="shared" si="138"/>
        <v>0</v>
      </c>
      <c r="DB130" s="214">
        <f t="shared" si="139"/>
        <v>0</v>
      </c>
      <c r="DC130" s="215">
        <f t="shared" si="170"/>
        <v>0</v>
      </c>
      <c r="DD130" s="215">
        <f t="shared" si="170"/>
        <v>0</v>
      </c>
      <c r="DE130" s="215">
        <f t="shared" si="170"/>
        <v>0</v>
      </c>
      <c r="DF130" s="215">
        <f t="shared" si="141"/>
        <v>0</v>
      </c>
      <c r="DG130" s="1"/>
      <c r="DH130" s="1"/>
      <c r="DI130" s="276"/>
      <c r="DJ130" s="274"/>
      <c r="DK130" s="274"/>
      <c r="DL130" s="274"/>
      <c r="DM130" s="274"/>
      <c r="DN130" s="274"/>
      <c r="DO130" s="274"/>
      <c r="DP130" s="274"/>
      <c r="DQ130" s="276"/>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row>
    <row r="131" spans="1:155" s="565" customFormat="1" ht="15" customHeight="1">
      <c r="A131" s="216"/>
      <c r="B131" s="277" t="s">
        <v>271</v>
      </c>
      <c r="C131" s="54"/>
      <c r="D131" s="54"/>
      <c r="E131" s="54"/>
      <c r="F131" s="54"/>
      <c r="G131" s="54"/>
      <c r="H131" s="54"/>
      <c r="I131" s="54"/>
      <c r="J131" s="54"/>
      <c r="K131" s="54"/>
      <c r="L131" s="54"/>
      <c r="M131" s="275"/>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70"/>
      <c r="BE131" s="165" t="s">
        <v>14</v>
      </c>
      <c r="BF131" s="23">
        <v>22</v>
      </c>
      <c r="BG131" s="23">
        <v>22</v>
      </c>
      <c r="BH131" s="23">
        <v>4</v>
      </c>
      <c r="BI131" s="90" t="b">
        <f t="shared" si="137"/>
        <v>1</v>
      </c>
      <c r="BJ131" s="46" t="b">
        <f t="shared" si="144"/>
        <v>0</v>
      </c>
      <c r="BK131" s="166">
        <f t="shared" si="145"/>
        <v>0</v>
      </c>
      <c r="BL131" s="175">
        <f>IF(SUM(BL$110:BL130,BK131)&gt;$BM$4,0,BK131)</f>
        <v>0</v>
      </c>
      <c r="BM131" s="23">
        <f t="shared" si="122"/>
        <v>0</v>
      </c>
      <c r="BN131" s="90">
        <f t="shared" si="123"/>
        <v>0</v>
      </c>
      <c r="BO131" s="24">
        <f t="shared" si="142"/>
        <v>0</v>
      </c>
      <c r="BP131" s="168">
        <f t="shared" si="146"/>
        <v>0</v>
      </c>
      <c r="BQ131" s="171">
        <f t="shared" si="147"/>
        <v>0</v>
      </c>
      <c r="BR131" s="170">
        <f t="shared" si="124"/>
        <v>0</v>
      </c>
      <c r="BS131" s="168">
        <f t="shared" si="148"/>
        <v>0</v>
      </c>
      <c r="BT131" s="171">
        <f t="shared" si="149"/>
        <v>0</v>
      </c>
      <c r="BU131" s="170">
        <f t="shared" si="125"/>
        <v>0</v>
      </c>
      <c r="BV131" s="168">
        <f t="shared" si="150"/>
        <v>0</v>
      </c>
      <c r="BW131" s="171">
        <f t="shared" si="151"/>
        <v>0</v>
      </c>
      <c r="BX131" s="170">
        <f t="shared" si="126"/>
        <v>0</v>
      </c>
      <c r="BY131" s="168">
        <f t="shared" si="152"/>
        <v>0</v>
      </c>
      <c r="BZ131" s="171">
        <f t="shared" si="153"/>
        <v>0</v>
      </c>
      <c r="CA131" s="170">
        <f t="shared" si="127"/>
        <v>0</v>
      </c>
      <c r="CB131" s="90">
        <f t="shared" si="154"/>
        <v>0</v>
      </c>
      <c r="CC131" s="171">
        <f t="shared" si="155"/>
        <v>0</v>
      </c>
      <c r="CD131" s="170">
        <f t="shared" si="128"/>
        <v>0</v>
      </c>
      <c r="CE131" s="90">
        <f t="shared" si="156"/>
        <v>0</v>
      </c>
      <c r="CF131" s="171">
        <f t="shared" si="157"/>
        <v>0</v>
      </c>
      <c r="CG131" s="170">
        <f t="shared" si="129"/>
        <v>0</v>
      </c>
      <c r="CH131" s="90">
        <f t="shared" si="158"/>
        <v>0</v>
      </c>
      <c r="CI131" s="171">
        <f t="shared" si="159"/>
        <v>0</v>
      </c>
      <c r="CJ131" s="170">
        <f t="shared" si="130"/>
        <v>0</v>
      </c>
      <c r="CK131" s="90">
        <f t="shared" si="160"/>
        <v>0</v>
      </c>
      <c r="CL131" s="171">
        <f t="shared" si="161"/>
        <v>0</v>
      </c>
      <c r="CM131" s="170">
        <f t="shared" si="131"/>
        <v>0</v>
      </c>
      <c r="CN131" s="90">
        <f t="shared" si="162"/>
        <v>0</v>
      </c>
      <c r="CO131" s="171">
        <f t="shared" si="163"/>
        <v>0</v>
      </c>
      <c r="CP131" s="170">
        <f t="shared" si="132"/>
        <v>0</v>
      </c>
      <c r="CQ131" s="90">
        <f t="shared" si="164"/>
        <v>0</v>
      </c>
      <c r="CR131" s="171">
        <f t="shared" si="165"/>
        <v>0</v>
      </c>
      <c r="CS131" s="170">
        <f t="shared" si="133"/>
        <v>0</v>
      </c>
      <c r="CT131" s="90">
        <f t="shared" si="166"/>
        <v>0</v>
      </c>
      <c r="CU131" s="171">
        <f t="shared" si="167"/>
        <v>0</v>
      </c>
      <c r="CV131" s="170">
        <f t="shared" si="134"/>
        <v>0</v>
      </c>
      <c r="CW131" s="90">
        <f t="shared" si="168"/>
        <v>0</v>
      </c>
      <c r="CX131" s="171">
        <f t="shared" si="169"/>
        <v>0</v>
      </c>
      <c r="CY131" s="170">
        <f t="shared" si="135"/>
        <v>0</v>
      </c>
      <c r="CZ131" s="168">
        <f t="shared" si="136"/>
        <v>0</v>
      </c>
      <c r="DA131" s="172">
        <f t="shared" si="138"/>
        <v>0</v>
      </c>
      <c r="DB131" s="173">
        <f t="shared" si="139"/>
        <v>0</v>
      </c>
      <c r="DC131" s="172">
        <f t="shared" si="170"/>
        <v>0</v>
      </c>
      <c r="DD131" s="172">
        <f t="shared" si="170"/>
        <v>0</v>
      </c>
      <c r="DE131" s="172">
        <f t="shared" si="170"/>
        <v>0</v>
      </c>
      <c r="DF131" s="172">
        <f t="shared" si="141"/>
        <v>0</v>
      </c>
      <c r="DG131" s="1"/>
      <c r="DH131" s="1"/>
      <c r="DI131" s="3"/>
      <c r="DJ131" s="8"/>
      <c r="DK131" s="8"/>
      <c r="DL131" s="8"/>
      <c r="DM131" s="8"/>
      <c r="DN131" s="8"/>
      <c r="DO131" s="8"/>
      <c r="DP131" s="8"/>
      <c r="DQ131" s="3"/>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row>
    <row r="132" spans="1:155" s="565" customFormat="1" ht="15" customHeight="1">
      <c r="A132" s="216"/>
      <c r="B132" s="277"/>
      <c r="C132" s="54"/>
      <c r="D132" s="54"/>
      <c r="E132" s="54"/>
      <c r="F132" s="54"/>
      <c r="G132" s="54"/>
      <c r="H132" s="54"/>
      <c r="I132" s="54"/>
      <c r="J132" s="54"/>
      <c r="K132" s="54"/>
      <c r="L132" s="54"/>
      <c r="M132" s="275"/>
      <c r="N132" s="14" t="s">
        <v>272</v>
      </c>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70"/>
      <c r="BE132" s="165" t="s">
        <v>14</v>
      </c>
      <c r="BF132" s="23">
        <v>22</v>
      </c>
      <c r="BG132" s="23">
        <v>23</v>
      </c>
      <c r="BH132" s="23">
        <v>5</v>
      </c>
      <c r="BI132" s="90" t="b">
        <f t="shared" si="137"/>
        <v>1</v>
      </c>
      <c r="BJ132" s="46" t="b">
        <f t="shared" si="144"/>
        <v>0</v>
      </c>
      <c r="BK132" s="166">
        <f t="shared" si="145"/>
        <v>0</v>
      </c>
      <c r="BL132" s="175">
        <f>IF(SUM(BL$110:BL131,BK132)&gt;$BM$4,0,BK132)</f>
        <v>0</v>
      </c>
      <c r="BM132" s="23">
        <f t="shared" si="122"/>
        <v>0</v>
      </c>
      <c r="BN132" s="90">
        <f t="shared" si="123"/>
        <v>0</v>
      </c>
      <c r="BO132" s="24">
        <f t="shared" si="142"/>
        <v>0</v>
      </c>
      <c r="BP132" s="168">
        <f t="shared" si="146"/>
        <v>0</v>
      </c>
      <c r="BQ132" s="171">
        <f t="shared" si="147"/>
        <v>0</v>
      </c>
      <c r="BR132" s="170">
        <f t="shared" si="124"/>
        <v>0</v>
      </c>
      <c r="BS132" s="168">
        <f t="shared" si="148"/>
        <v>0</v>
      </c>
      <c r="BT132" s="171">
        <f t="shared" si="149"/>
        <v>0</v>
      </c>
      <c r="BU132" s="170">
        <f t="shared" si="125"/>
        <v>0</v>
      </c>
      <c r="BV132" s="168">
        <f t="shared" si="150"/>
        <v>0</v>
      </c>
      <c r="BW132" s="171">
        <f t="shared" si="151"/>
        <v>0</v>
      </c>
      <c r="BX132" s="170">
        <f t="shared" si="126"/>
        <v>0</v>
      </c>
      <c r="BY132" s="168">
        <f t="shared" si="152"/>
        <v>0</v>
      </c>
      <c r="BZ132" s="171">
        <f t="shared" si="153"/>
        <v>0</v>
      </c>
      <c r="CA132" s="170">
        <f t="shared" si="127"/>
        <v>0</v>
      </c>
      <c r="CB132" s="90">
        <f t="shared" si="154"/>
        <v>0</v>
      </c>
      <c r="CC132" s="171">
        <f t="shared" si="155"/>
        <v>0</v>
      </c>
      <c r="CD132" s="170">
        <f t="shared" si="128"/>
        <v>0</v>
      </c>
      <c r="CE132" s="90">
        <f t="shared" si="156"/>
        <v>0</v>
      </c>
      <c r="CF132" s="171">
        <f t="shared" si="157"/>
        <v>0</v>
      </c>
      <c r="CG132" s="170">
        <f t="shared" si="129"/>
        <v>0</v>
      </c>
      <c r="CH132" s="90">
        <f t="shared" si="158"/>
        <v>0</v>
      </c>
      <c r="CI132" s="171">
        <f t="shared" si="159"/>
        <v>0</v>
      </c>
      <c r="CJ132" s="170">
        <f t="shared" si="130"/>
        <v>0</v>
      </c>
      <c r="CK132" s="90">
        <f t="shared" si="160"/>
        <v>0</v>
      </c>
      <c r="CL132" s="171">
        <f t="shared" si="161"/>
        <v>0</v>
      </c>
      <c r="CM132" s="170">
        <f t="shared" si="131"/>
        <v>0</v>
      </c>
      <c r="CN132" s="90">
        <f t="shared" si="162"/>
        <v>0</v>
      </c>
      <c r="CO132" s="171">
        <f t="shared" si="163"/>
        <v>0</v>
      </c>
      <c r="CP132" s="170">
        <f t="shared" si="132"/>
        <v>0</v>
      </c>
      <c r="CQ132" s="90">
        <f t="shared" si="164"/>
        <v>0</v>
      </c>
      <c r="CR132" s="171">
        <f t="shared" si="165"/>
        <v>0</v>
      </c>
      <c r="CS132" s="170">
        <f t="shared" si="133"/>
        <v>0</v>
      </c>
      <c r="CT132" s="90">
        <f t="shared" si="166"/>
        <v>0</v>
      </c>
      <c r="CU132" s="171">
        <f t="shared" si="167"/>
        <v>0</v>
      </c>
      <c r="CV132" s="170">
        <f t="shared" si="134"/>
        <v>0</v>
      </c>
      <c r="CW132" s="90">
        <f t="shared" si="168"/>
        <v>0</v>
      </c>
      <c r="CX132" s="171">
        <f t="shared" si="169"/>
        <v>0</v>
      </c>
      <c r="CY132" s="170">
        <f t="shared" si="135"/>
        <v>0</v>
      </c>
      <c r="CZ132" s="168">
        <f t="shared" si="136"/>
        <v>0</v>
      </c>
      <c r="DA132" s="172">
        <f t="shared" si="138"/>
        <v>0</v>
      </c>
      <c r="DB132" s="173">
        <f t="shared" si="139"/>
        <v>0</v>
      </c>
      <c r="DC132" s="172">
        <f t="shared" si="170"/>
        <v>0</v>
      </c>
      <c r="DD132" s="172">
        <f t="shared" si="170"/>
        <v>0</v>
      </c>
      <c r="DE132" s="172">
        <f t="shared" si="170"/>
        <v>0</v>
      </c>
      <c r="DF132" s="172">
        <f t="shared" si="141"/>
        <v>0</v>
      </c>
      <c r="DG132" s="1"/>
      <c r="DH132" s="1"/>
      <c r="DI132" s="3"/>
      <c r="DJ132" s="278"/>
      <c r="DK132" s="279" t="s">
        <v>36</v>
      </c>
      <c r="DL132" s="280"/>
      <c r="DM132" s="280"/>
      <c r="DN132" s="280"/>
      <c r="DO132" s="280"/>
      <c r="DP132" s="281"/>
      <c r="DQ132" s="3"/>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row>
    <row r="133" spans="1:155" s="565" customFormat="1" ht="15" customHeight="1">
      <c r="A133" s="216"/>
      <c r="B133" s="708" t="s">
        <v>273</v>
      </c>
      <c r="C133" s="708"/>
      <c r="D133" s="708"/>
      <c r="E133" s="282"/>
      <c r="F133" s="283" t="s">
        <v>274</v>
      </c>
      <c r="G133" s="3"/>
      <c r="H133" s="54"/>
      <c r="I133" s="54"/>
      <c r="J133" s="54"/>
      <c r="K133" s="54"/>
      <c r="L133" s="54"/>
      <c r="M133" s="275"/>
      <c r="N133" s="14" t="s">
        <v>275</v>
      </c>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70"/>
      <c r="BE133" s="165" t="s">
        <v>14</v>
      </c>
      <c r="BF133" s="23">
        <v>22</v>
      </c>
      <c r="BG133" s="23">
        <v>24</v>
      </c>
      <c r="BH133" s="23">
        <v>6</v>
      </c>
      <c r="BI133" s="90" t="b">
        <f t="shared" si="137"/>
        <v>0</v>
      </c>
      <c r="BJ133" s="46" t="b">
        <f t="shared" si="144"/>
        <v>1</v>
      </c>
      <c r="BK133" s="166">
        <f t="shared" si="145"/>
        <v>7.7142857142857144</v>
      </c>
      <c r="BL133" s="175">
        <f>IF(SUM(BL$110:BL132,BK133)&gt;$BM$4,0,BK133)</f>
        <v>7.7142857142857144</v>
      </c>
      <c r="BM133" s="23">
        <f t="shared" si="122"/>
        <v>0</v>
      </c>
      <c r="BN133" s="90">
        <f t="shared" si="123"/>
        <v>0</v>
      </c>
      <c r="BO133" s="24">
        <f t="shared" si="142"/>
        <v>0</v>
      </c>
      <c r="BP133" s="168">
        <f t="shared" si="146"/>
        <v>0</v>
      </c>
      <c r="BQ133" s="171">
        <f t="shared" si="147"/>
        <v>0</v>
      </c>
      <c r="BR133" s="170">
        <f t="shared" si="124"/>
        <v>0</v>
      </c>
      <c r="BS133" s="168">
        <f t="shared" si="148"/>
        <v>0</v>
      </c>
      <c r="BT133" s="171">
        <f t="shared" si="149"/>
        <v>0</v>
      </c>
      <c r="BU133" s="170">
        <f t="shared" si="125"/>
        <v>0</v>
      </c>
      <c r="BV133" s="168">
        <f t="shared" si="150"/>
        <v>0</v>
      </c>
      <c r="BW133" s="171">
        <f t="shared" si="151"/>
        <v>0</v>
      </c>
      <c r="BX133" s="170">
        <f t="shared" si="126"/>
        <v>0</v>
      </c>
      <c r="BY133" s="168">
        <f t="shared" si="152"/>
        <v>0</v>
      </c>
      <c r="BZ133" s="171">
        <f t="shared" si="153"/>
        <v>0</v>
      </c>
      <c r="CA133" s="170">
        <f t="shared" si="127"/>
        <v>0</v>
      </c>
      <c r="CB133" s="90">
        <f t="shared" si="154"/>
        <v>0</v>
      </c>
      <c r="CC133" s="171">
        <f t="shared" si="155"/>
        <v>0</v>
      </c>
      <c r="CD133" s="170">
        <f t="shared" si="128"/>
        <v>0</v>
      </c>
      <c r="CE133" s="90">
        <f t="shared" si="156"/>
        <v>0</v>
      </c>
      <c r="CF133" s="171">
        <f t="shared" si="157"/>
        <v>0</v>
      </c>
      <c r="CG133" s="170">
        <f t="shared" si="129"/>
        <v>0</v>
      </c>
      <c r="CH133" s="90">
        <f t="shared" si="158"/>
        <v>0</v>
      </c>
      <c r="CI133" s="171">
        <f t="shared" si="159"/>
        <v>0</v>
      </c>
      <c r="CJ133" s="170">
        <f t="shared" si="130"/>
        <v>0</v>
      </c>
      <c r="CK133" s="90">
        <f t="shared" si="160"/>
        <v>0</v>
      </c>
      <c r="CL133" s="171">
        <f t="shared" si="161"/>
        <v>0</v>
      </c>
      <c r="CM133" s="170">
        <f t="shared" si="131"/>
        <v>0</v>
      </c>
      <c r="CN133" s="90">
        <f t="shared" si="162"/>
        <v>0</v>
      </c>
      <c r="CO133" s="171">
        <f t="shared" si="163"/>
        <v>0</v>
      </c>
      <c r="CP133" s="170">
        <f t="shared" si="132"/>
        <v>0</v>
      </c>
      <c r="CQ133" s="90">
        <f t="shared" si="164"/>
        <v>0</v>
      </c>
      <c r="CR133" s="171">
        <f t="shared" si="165"/>
        <v>0</v>
      </c>
      <c r="CS133" s="170">
        <f t="shared" si="133"/>
        <v>0</v>
      </c>
      <c r="CT133" s="90">
        <f t="shared" si="166"/>
        <v>0</v>
      </c>
      <c r="CU133" s="171">
        <f t="shared" si="167"/>
        <v>0</v>
      </c>
      <c r="CV133" s="170">
        <f t="shared" si="134"/>
        <v>0</v>
      </c>
      <c r="CW133" s="90">
        <f t="shared" si="168"/>
        <v>0</v>
      </c>
      <c r="CX133" s="171">
        <f t="shared" si="169"/>
        <v>0</v>
      </c>
      <c r="CY133" s="170">
        <f t="shared" si="135"/>
        <v>0</v>
      </c>
      <c r="CZ133" s="168">
        <f t="shared" si="136"/>
        <v>0</v>
      </c>
      <c r="DA133" s="172">
        <f t="shared" si="138"/>
        <v>0</v>
      </c>
      <c r="DB133" s="173">
        <f t="shared" si="139"/>
        <v>0</v>
      </c>
      <c r="DC133" s="172">
        <f t="shared" ref="DC133:DE148" si="171">IF(DC132+$DB133&lt;0,0,IF(DC132+$DB133&gt;$F$405,$F$405,DC132+$DB133))</f>
        <v>0</v>
      </c>
      <c r="DD133" s="172">
        <f t="shared" si="171"/>
        <v>0</v>
      </c>
      <c r="DE133" s="172">
        <f t="shared" si="171"/>
        <v>0</v>
      </c>
      <c r="DF133" s="172">
        <f t="shared" si="141"/>
        <v>0</v>
      </c>
      <c r="DG133" s="1"/>
      <c r="DH133" s="1"/>
      <c r="DI133" s="3"/>
      <c r="DJ133" s="284" t="s">
        <v>276</v>
      </c>
      <c r="DK133" s="285">
        <v>3.0000000000000001E-5</v>
      </c>
      <c r="DL133" s="709" t="s">
        <v>277</v>
      </c>
      <c r="DM133" s="709"/>
      <c r="DN133" s="709"/>
      <c r="DO133" s="709"/>
      <c r="DP133" s="709"/>
      <c r="DQ133" s="3"/>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row>
    <row r="134" spans="1:155" s="565" customFormat="1" ht="15" customHeight="1">
      <c r="A134" s="181"/>
      <c r="B134" s="3"/>
      <c r="C134" s="3"/>
      <c r="D134" s="3"/>
      <c r="E134" s="3"/>
      <c r="F134" s="3"/>
      <c r="G134" s="51"/>
      <c r="H134" s="3"/>
      <c r="I134" s="27"/>
      <c r="J134" s="27"/>
      <c r="K134" s="27"/>
      <c r="L134" s="3"/>
      <c r="M134" s="70"/>
      <c r="N134" s="14" t="s">
        <v>278</v>
      </c>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70"/>
      <c r="BE134" s="165" t="s">
        <v>14</v>
      </c>
      <c r="BF134" s="23">
        <v>22</v>
      </c>
      <c r="BG134" s="23">
        <v>25</v>
      </c>
      <c r="BH134" s="23">
        <v>7</v>
      </c>
      <c r="BI134" s="90" t="b">
        <f t="shared" si="137"/>
        <v>0</v>
      </c>
      <c r="BJ134" s="46" t="b">
        <f t="shared" si="144"/>
        <v>0</v>
      </c>
      <c r="BK134" s="166">
        <f t="shared" si="145"/>
        <v>0</v>
      </c>
      <c r="BL134" s="175">
        <f>IF(SUM(BL$110:BL133,BK134)&gt;$BM$4,0,BK134)</f>
        <v>0</v>
      </c>
      <c r="BM134" s="23">
        <f t="shared" si="122"/>
        <v>0</v>
      </c>
      <c r="BN134" s="90">
        <f t="shared" si="123"/>
        <v>0</v>
      </c>
      <c r="BO134" s="24">
        <f t="shared" si="142"/>
        <v>0</v>
      </c>
      <c r="BP134" s="168">
        <f t="shared" si="146"/>
        <v>0</v>
      </c>
      <c r="BQ134" s="171">
        <f t="shared" si="147"/>
        <v>0</v>
      </c>
      <c r="BR134" s="170">
        <f t="shared" si="124"/>
        <v>0</v>
      </c>
      <c r="BS134" s="168">
        <f t="shared" si="148"/>
        <v>0</v>
      </c>
      <c r="BT134" s="171">
        <f t="shared" si="149"/>
        <v>0</v>
      </c>
      <c r="BU134" s="170">
        <f t="shared" si="125"/>
        <v>0</v>
      </c>
      <c r="BV134" s="168">
        <f t="shared" si="150"/>
        <v>0</v>
      </c>
      <c r="BW134" s="171">
        <f t="shared" si="151"/>
        <v>0</v>
      </c>
      <c r="BX134" s="170">
        <f t="shared" si="126"/>
        <v>0</v>
      </c>
      <c r="BY134" s="168">
        <f t="shared" si="152"/>
        <v>0</v>
      </c>
      <c r="BZ134" s="171">
        <f t="shared" si="153"/>
        <v>0</v>
      </c>
      <c r="CA134" s="170">
        <f t="shared" si="127"/>
        <v>0</v>
      </c>
      <c r="CB134" s="90">
        <f t="shared" si="154"/>
        <v>0</v>
      </c>
      <c r="CC134" s="171">
        <f t="shared" si="155"/>
        <v>0</v>
      </c>
      <c r="CD134" s="170">
        <f t="shared" si="128"/>
        <v>0</v>
      </c>
      <c r="CE134" s="90">
        <f t="shared" si="156"/>
        <v>0</v>
      </c>
      <c r="CF134" s="171">
        <f t="shared" si="157"/>
        <v>0</v>
      </c>
      <c r="CG134" s="170">
        <f t="shared" si="129"/>
        <v>0</v>
      </c>
      <c r="CH134" s="90">
        <f t="shared" si="158"/>
        <v>0</v>
      </c>
      <c r="CI134" s="171">
        <f t="shared" si="159"/>
        <v>0</v>
      </c>
      <c r="CJ134" s="170">
        <f t="shared" si="130"/>
        <v>0</v>
      </c>
      <c r="CK134" s="90">
        <f t="shared" si="160"/>
        <v>0</v>
      </c>
      <c r="CL134" s="171">
        <f t="shared" si="161"/>
        <v>0</v>
      </c>
      <c r="CM134" s="170">
        <f t="shared" si="131"/>
        <v>0</v>
      </c>
      <c r="CN134" s="90">
        <f t="shared" si="162"/>
        <v>0</v>
      </c>
      <c r="CO134" s="171">
        <f t="shared" si="163"/>
        <v>0</v>
      </c>
      <c r="CP134" s="170">
        <f t="shared" si="132"/>
        <v>0</v>
      </c>
      <c r="CQ134" s="90">
        <f t="shared" si="164"/>
        <v>0</v>
      </c>
      <c r="CR134" s="171">
        <f t="shared" si="165"/>
        <v>0</v>
      </c>
      <c r="CS134" s="170">
        <f t="shared" si="133"/>
        <v>0</v>
      </c>
      <c r="CT134" s="90">
        <f t="shared" si="166"/>
        <v>0</v>
      </c>
      <c r="CU134" s="171">
        <f t="shared" si="167"/>
        <v>0</v>
      </c>
      <c r="CV134" s="170">
        <f t="shared" si="134"/>
        <v>0</v>
      </c>
      <c r="CW134" s="90">
        <f t="shared" si="168"/>
        <v>0</v>
      </c>
      <c r="CX134" s="171">
        <f t="shared" si="169"/>
        <v>0</v>
      </c>
      <c r="CY134" s="170">
        <f t="shared" si="135"/>
        <v>0</v>
      </c>
      <c r="CZ134" s="168">
        <f t="shared" si="136"/>
        <v>0</v>
      </c>
      <c r="DA134" s="172">
        <f t="shared" si="138"/>
        <v>0</v>
      </c>
      <c r="DB134" s="173">
        <f t="shared" si="139"/>
        <v>0</v>
      </c>
      <c r="DC134" s="172">
        <f t="shared" si="171"/>
        <v>0</v>
      </c>
      <c r="DD134" s="172">
        <f t="shared" si="171"/>
        <v>0</v>
      </c>
      <c r="DE134" s="172">
        <f t="shared" si="171"/>
        <v>0</v>
      </c>
      <c r="DF134" s="172">
        <f t="shared" si="141"/>
        <v>0</v>
      </c>
      <c r="DG134" s="1"/>
      <c r="DH134" s="1"/>
      <c r="DI134" s="3"/>
      <c r="DJ134" s="286" t="s">
        <v>279</v>
      </c>
      <c r="DK134" s="287">
        <v>5.5</v>
      </c>
      <c r="DL134" s="710" t="s">
        <v>280</v>
      </c>
      <c r="DM134" s="710"/>
      <c r="DN134" s="710"/>
      <c r="DO134" s="710"/>
      <c r="DP134" s="710"/>
      <c r="DQ134" s="3"/>
      <c r="DR134" s="67"/>
      <c r="DS134" s="67"/>
      <c r="DT134" s="67"/>
      <c r="DU134" s="67"/>
      <c r="DV134" s="67"/>
      <c r="DW134" s="67"/>
      <c r="DX134" s="67"/>
      <c r="DY134" s="67"/>
      <c r="DZ134" s="67"/>
      <c r="EA134" s="67"/>
      <c r="EB134" s="67"/>
      <c r="EC134" s="67"/>
      <c r="ED134" s="67"/>
      <c r="EE134" s="67"/>
      <c r="EF134" s="67"/>
      <c r="EG134" s="67"/>
      <c r="EH134" s="67"/>
      <c r="EI134" s="67"/>
      <c r="EJ134" s="67"/>
      <c r="EK134" s="67"/>
      <c r="EL134" s="67"/>
      <c r="EM134" s="67"/>
      <c r="EN134" s="67"/>
      <c r="EO134" s="67"/>
      <c r="EP134" s="67"/>
      <c r="EQ134" s="67"/>
      <c r="ER134" s="67"/>
      <c r="ES134" s="67"/>
      <c r="ET134" s="67"/>
      <c r="EU134" s="67"/>
      <c r="EV134" s="67"/>
      <c r="EW134" s="67"/>
      <c r="EX134" s="67"/>
      <c r="EY134" s="67"/>
    </row>
    <row r="135" spans="1:155" s="565" customFormat="1" ht="15" customHeight="1">
      <c r="A135" s="181"/>
      <c r="B135" s="288"/>
      <c r="C135" s="289"/>
      <c r="D135" s="289"/>
      <c r="E135" s="289"/>
      <c r="F135" s="289"/>
      <c r="G135" s="51"/>
      <c r="H135" s="660" t="s">
        <v>36</v>
      </c>
      <c r="I135" s="660"/>
      <c r="J135" s="27"/>
      <c r="K135" s="27"/>
      <c r="L135" s="3"/>
      <c r="M135" s="70"/>
      <c r="N135" s="14"/>
      <c r="O135" s="14" t="s">
        <v>281</v>
      </c>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86"/>
      <c r="BE135" s="165" t="s">
        <v>14</v>
      </c>
      <c r="BF135" s="23">
        <v>22</v>
      </c>
      <c r="BG135" s="23">
        <v>26</v>
      </c>
      <c r="BH135" s="23">
        <v>1</v>
      </c>
      <c r="BI135" s="90" t="b">
        <f t="shared" si="137"/>
        <v>1</v>
      </c>
      <c r="BJ135" s="46" t="b">
        <f t="shared" si="144"/>
        <v>0</v>
      </c>
      <c r="BK135" s="166">
        <f t="shared" si="145"/>
        <v>0</v>
      </c>
      <c r="BL135" s="175">
        <f>IF(SUM(BL$110:BL134,BK135)&gt;$BM$4,0,BK135)</f>
        <v>0</v>
      </c>
      <c r="BM135" s="23">
        <f t="shared" si="122"/>
        <v>0</v>
      </c>
      <c r="BN135" s="90">
        <f t="shared" si="123"/>
        <v>0</v>
      </c>
      <c r="BO135" s="24">
        <f t="shared" si="142"/>
        <v>0</v>
      </c>
      <c r="BP135" s="168">
        <f t="shared" si="146"/>
        <v>0</v>
      </c>
      <c r="BQ135" s="171">
        <f t="shared" si="147"/>
        <v>0</v>
      </c>
      <c r="BR135" s="170">
        <f t="shared" si="124"/>
        <v>0</v>
      </c>
      <c r="BS135" s="168">
        <f t="shared" si="148"/>
        <v>0</v>
      </c>
      <c r="BT135" s="171">
        <f t="shared" si="149"/>
        <v>0</v>
      </c>
      <c r="BU135" s="170">
        <f t="shared" si="125"/>
        <v>0</v>
      </c>
      <c r="BV135" s="168">
        <f t="shared" si="150"/>
        <v>0</v>
      </c>
      <c r="BW135" s="171">
        <f t="shared" si="151"/>
        <v>0</v>
      </c>
      <c r="BX135" s="170">
        <f t="shared" si="126"/>
        <v>0</v>
      </c>
      <c r="BY135" s="168">
        <f t="shared" si="152"/>
        <v>0</v>
      </c>
      <c r="BZ135" s="171">
        <f t="shared" si="153"/>
        <v>0</v>
      </c>
      <c r="CA135" s="170">
        <f t="shared" si="127"/>
        <v>0</v>
      </c>
      <c r="CB135" s="90">
        <f t="shared" si="154"/>
        <v>0</v>
      </c>
      <c r="CC135" s="171">
        <f t="shared" si="155"/>
        <v>0</v>
      </c>
      <c r="CD135" s="170">
        <f t="shared" si="128"/>
        <v>0</v>
      </c>
      <c r="CE135" s="90">
        <f t="shared" si="156"/>
        <v>0</v>
      </c>
      <c r="CF135" s="171">
        <f t="shared" si="157"/>
        <v>0</v>
      </c>
      <c r="CG135" s="170">
        <f t="shared" si="129"/>
        <v>0</v>
      </c>
      <c r="CH135" s="90">
        <f t="shared" si="158"/>
        <v>0</v>
      </c>
      <c r="CI135" s="171">
        <f t="shared" si="159"/>
        <v>0</v>
      </c>
      <c r="CJ135" s="170">
        <f t="shared" si="130"/>
        <v>0</v>
      </c>
      <c r="CK135" s="90">
        <f t="shared" si="160"/>
        <v>0</v>
      </c>
      <c r="CL135" s="171">
        <f t="shared" si="161"/>
        <v>0</v>
      </c>
      <c r="CM135" s="170">
        <f t="shared" si="131"/>
        <v>0</v>
      </c>
      <c r="CN135" s="90">
        <f t="shared" si="162"/>
        <v>0</v>
      </c>
      <c r="CO135" s="171">
        <f t="shared" si="163"/>
        <v>0</v>
      </c>
      <c r="CP135" s="170">
        <f t="shared" si="132"/>
        <v>0</v>
      </c>
      <c r="CQ135" s="90">
        <f t="shared" si="164"/>
        <v>0</v>
      </c>
      <c r="CR135" s="171">
        <f t="shared" si="165"/>
        <v>0</v>
      </c>
      <c r="CS135" s="170">
        <f t="shared" si="133"/>
        <v>0</v>
      </c>
      <c r="CT135" s="90">
        <f t="shared" si="166"/>
        <v>0</v>
      </c>
      <c r="CU135" s="171">
        <f t="shared" si="167"/>
        <v>0</v>
      </c>
      <c r="CV135" s="170">
        <f t="shared" si="134"/>
        <v>0</v>
      </c>
      <c r="CW135" s="90">
        <f t="shared" si="168"/>
        <v>0</v>
      </c>
      <c r="CX135" s="171">
        <f t="shared" si="169"/>
        <v>0</v>
      </c>
      <c r="CY135" s="170">
        <f t="shared" si="135"/>
        <v>0</v>
      </c>
      <c r="CZ135" s="168">
        <f t="shared" si="136"/>
        <v>0</v>
      </c>
      <c r="DA135" s="172">
        <f t="shared" si="138"/>
        <v>0</v>
      </c>
      <c r="DB135" s="173">
        <f t="shared" si="139"/>
        <v>0</v>
      </c>
      <c r="DC135" s="172">
        <f t="shared" si="171"/>
        <v>0</v>
      </c>
      <c r="DD135" s="172">
        <f t="shared" si="171"/>
        <v>0</v>
      </c>
      <c r="DE135" s="172">
        <f t="shared" si="171"/>
        <v>0</v>
      </c>
      <c r="DF135" s="172">
        <f t="shared" si="141"/>
        <v>0</v>
      </c>
      <c r="DG135" s="1"/>
      <c r="DH135" s="1"/>
      <c r="DI135" s="3"/>
      <c r="DJ135" s="286" t="s">
        <v>282</v>
      </c>
      <c r="DK135" s="290">
        <v>6</v>
      </c>
      <c r="DL135" s="711" t="s">
        <v>283</v>
      </c>
      <c r="DM135" s="711"/>
      <c r="DN135" s="711"/>
      <c r="DO135" s="711"/>
      <c r="DP135" s="711"/>
      <c r="DQ135" s="3"/>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row>
    <row r="136" spans="1:155" s="565" customFormat="1" ht="15" customHeight="1">
      <c r="A136" s="221"/>
      <c r="B136" s="674" t="s">
        <v>284</v>
      </c>
      <c r="C136" s="674"/>
      <c r="D136" s="674"/>
      <c r="E136" s="712" t="s">
        <v>275</v>
      </c>
      <c r="F136" s="713"/>
      <c r="G136" s="51"/>
      <c r="H136" s="291" t="s">
        <v>285</v>
      </c>
      <c r="I136" s="292" t="str">
        <f>E136</f>
        <v>Water cooled chiller</v>
      </c>
      <c r="J136" s="27"/>
      <c r="K136" s="27"/>
      <c r="L136" s="3"/>
      <c r="M136" s="70"/>
      <c r="N136" s="293" t="s">
        <v>286</v>
      </c>
      <c r="O136" s="14" t="b">
        <f>E133&gt;2000</f>
        <v>0</v>
      </c>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86"/>
      <c r="BE136" s="165" t="s">
        <v>14</v>
      </c>
      <c r="BF136" s="23">
        <v>22</v>
      </c>
      <c r="BG136" s="23">
        <v>27</v>
      </c>
      <c r="BH136" s="23">
        <v>2</v>
      </c>
      <c r="BI136" s="90" t="b">
        <f t="shared" si="137"/>
        <v>1</v>
      </c>
      <c r="BJ136" s="46" t="b">
        <f t="shared" si="144"/>
        <v>0</v>
      </c>
      <c r="BK136" s="166">
        <f t="shared" si="145"/>
        <v>0</v>
      </c>
      <c r="BL136" s="175">
        <f>IF(SUM(BL$110:BL135,BK136)&gt;$BM$4,0,BK136)</f>
        <v>0</v>
      </c>
      <c r="BM136" s="23">
        <f t="shared" si="122"/>
        <v>0</v>
      </c>
      <c r="BN136" s="90">
        <f t="shared" si="123"/>
        <v>0</v>
      </c>
      <c r="BO136" s="24">
        <f t="shared" si="142"/>
        <v>0</v>
      </c>
      <c r="BP136" s="168">
        <f t="shared" si="146"/>
        <v>0</v>
      </c>
      <c r="BQ136" s="171">
        <f t="shared" si="147"/>
        <v>0</v>
      </c>
      <c r="BR136" s="170">
        <f t="shared" si="124"/>
        <v>0</v>
      </c>
      <c r="BS136" s="168">
        <f t="shared" si="148"/>
        <v>0</v>
      </c>
      <c r="BT136" s="171">
        <f t="shared" si="149"/>
        <v>0</v>
      </c>
      <c r="BU136" s="170">
        <f t="shared" si="125"/>
        <v>0</v>
      </c>
      <c r="BV136" s="168">
        <f t="shared" si="150"/>
        <v>0</v>
      </c>
      <c r="BW136" s="171">
        <f t="shared" si="151"/>
        <v>0</v>
      </c>
      <c r="BX136" s="170">
        <f t="shared" si="126"/>
        <v>0</v>
      </c>
      <c r="BY136" s="168">
        <f t="shared" si="152"/>
        <v>0</v>
      </c>
      <c r="BZ136" s="171">
        <f t="shared" si="153"/>
        <v>0</v>
      </c>
      <c r="CA136" s="170">
        <f t="shared" si="127"/>
        <v>0</v>
      </c>
      <c r="CB136" s="90">
        <f t="shared" si="154"/>
        <v>0</v>
      </c>
      <c r="CC136" s="171">
        <f t="shared" si="155"/>
        <v>0</v>
      </c>
      <c r="CD136" s="170">
        <f t="shared" si="128"/>
        <v>0</v>
      </c>
      <c r="CE136" s="90">
        <f t="shared" si="156"/>
        <v>0</v>
      </c>
      <c r="CF136" s="171">
        <f t="shared" si="157"/>
        <v>0</v>
      </c>
      <c r="CG136" s="170">
        <f t="shared" si="129"/>
        <v>0</v>
      </c>
      <c r="CH136" s="90">
        <f t="shared" si="158"/>
        <v>0</v>
      </c>
      <c r="CI136" s="171">
        <f t="shared" si="159"/>
        <v>0</v>
      </c>
      <c r="CJ136" s="170">
        <f t="shared" si="130"/>
        <v>0</v>
      </c>
      <c r="CK136" s="90">
        <f t="shared" si="160"/>
        <v>0</v>
      </c>
      <c r="CL136" s="171">
        <f t="shared" si="161"/>
        <v>0</v>
      </c>
      <c r="CM136" s="170">
        <f t="shared" si="131"/>
        <v>0</v>
      </c>
      <c r="CN136" s="90">
        <f t="shared" si="162"/>
        <v>0</v>
      </c>
      <c r="CO136" s="171">
        <f t="shared" si="163"/>
        <v>0</v>
      </c>
      <c r="CP136" s="170">
        <f t="shared" si="132"/>
        <v>0</v>
      </c>
      <c r="CQ136" s="90">
        <f t="shared" si="164"/>
        <v>0</v>
      </c>
      <c r="CR136" s="171">
        <f t="shared" si="165"/>
        <v>0</v>
      </c>
      <c r="CS136" s="170">
        <f t="shared" si="133"/>
        <v>0</v>
      </c>
      <c r="CT136" s="90">
        <f t="shared" si="166"/>
        <v>0</v>
      </c>
      <c r="CU136" s="171">
        <f t="shared" si="167"/>
        <v>0</v>
      </c>
      <c r="CV136" s="170">
        <f t="shared" si="134"/>
        <v>0</v>
      </c>
      <c r="CW136" s="90">
        <f t="shared" si="168"/>
        <v>0</v>
      </c>
      <c r="CX136" s="171">
        <f t="shared" si="169"/>
        <v>0</v>
      </c>
      <c r="CY136" s="170">
        <f t="shared" si="135"/>
        <v>0</v>
      </c>
      <c r="CZ136" s="168">
        <f t="shared" si="136"/>
        <v>0</v>
      </c>
      <c r="DA136" s="172">
        <f t="shared" si="138"/>
        <v>0</v>
      </c>
      <c r="DB136" s="173">
        <f t="shared" si="139"/>
        <v>0</v>
      </c>
      <c r="DC136" s="172">
        <f t="shared" si="171"/>
        <v>0</v>
      </c>
      <c r="DD136" s="172">
        <f t="shared" si="171"/>
        <v>0</v>
      </c>
      <c r="DE136" s="172">
        <f t="shared" si="171"/>
        <v>0</v>
      </c>
      <c r="DF136" s="172">
        <f t="shared" si="141"/>
        <v>0</v>
      </c>
      <c r="DG136" s="1"/>
      <c r="DH136" s="1"/>
      <c r="DI136" s="22"/>
      <c r="DJ136" s="294"/>
      <c r="DK136" s="294"/>
      <c r="DL136" s="294"/>
      <c r="DM136" s="294"/>
      <c r="DN136" s="294"/>
      <c r="DO136" s="294"/>
      <c r="DP136" s="294"/>
      <c r="DQ136" s="22"/>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row>
    <row r="137" spans="1:155" s="565" customFormat="1" ht="15" customHeight="1">
      <c r="A137" s="51"/>
      <c r="B137" s="295" t="s">
        <v>287</v>
      </c>
      <c r="C137" s="295"/>
      <c r="D137" s="295"/>
      <c r="E137" s="295"/>
      <c r="F137" s="295"/>
      <c r="G137" s="51"/>
      <c r="H137" s="291" t="s">
        <v>276</v>
      </c>
      <c r="I137" s="296">
        <f>DK133</f>
        <v>3.0000000000000001E-5</v>
      </c>
      <c r="J137" s="27"/>
      <c r="K137" s="27"/>
      <c r="L137" s="3"/>
      <c r="M137" s="70"/>
      <c r="N137" s="293" t="s">
        <v>288</v>
      </c>
      <c r="O137" s="14" t="b">
        <f>E136=N133</f>
        <v>1</v>
      </c>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86"/>
      <c r="BE137" s="165" t="s">
        <v>14</v>
      </c>
      <c r="BF137" s="23">
        <v>22</v>
      </c>
      <c r="BG137" s="23">
        <v>28</v>
      </c>
      <c r="BH137" s="23">
        <v>3</v>
      </c>
      <c r="BI137" s="90" t="b">
        <f t="shared" si="137"/>
        <v>1</v>
      </c>
      <c r="BJ137" s="46" t="b">
        <f t="shared" si="144"/>
        <v>1</v>
      </c>
      <c r="BK137" s="166">
        <f t="shared" si="145"/>
        <v>7.7142857142857144</v>
      </c>
      <c r="BL137" s="175">
        <f>IF(SUM(BL$110:BL136,BK137)&gt;$BM$4,0,BK137)</f>
        <v>7.7142857142857144</v>
      </c>
      <c r="BM137" s="23">
        <f t="shared" si="122"/>
        <v>0</v>
      </c>
      <c r="BN137" s="90">
        <f t="shared" si="123"/>
        <v>0</v>
      </c>
      <c r="BO137" s="24">
        <f t="shared" si="142"/>
        <v>0</v>
      </c>
      <c r="BP137" s="168">
        <f t="shared" si="146"/>
        <v>0</v>
      </c>
      <c r="BQ137" s="171">
        <f t="shared" si="147"/>
        <v>0</v>
      </c>
      <c r="BR137" s="170">
        <f t="shared" si="124"/>
        <v>0</v>
      </c>
      <c r="BS137" s="168">
        <f t="shared" si="148"/>
        <v>0</v>
      </c>
      <c r="BT137" s="171">
        <f t="shared" si="149"/>
        <v>0</v>
      </c>
      <c r="BU137" s="170">
        <f t="shared" si="125"/>
        <v>0</v>
      </c>
      <c r="BV137" s="168">
        <f t="shared" si="150"/>
        <v>0</v>
      </c>
      <c r="BW137" s="171">
        <f t="shared" si="151"/>
        <v>0</v>
      </c>
      <c r="BX137" s="170">
        <f t="shared" si="126"/>
        <v>0</v>
      </c>
      <c r="BY137" s="168">
        <f t="shared" si="152"/>
        <v>0</v>
      </c>
      <c r="BZ137" s="171">
        <f t="shared" si="153"/>
        <v>0</v>
      </c>
      <c r="CA137" s="170">
        <f t="shared" si="127"/>
        <v>0</v>
      </c>
      <c r="CB137" s="90">
        <f t="shared" si="154"/>
        <v>0</v>
      </c>
      <c r="CC137" s="171">
        <f t="shared" si="155"/>
        <v>0</v>
      </c>
      <c r="CD137" s="170">
        <f t="shared" si="128"/>
        <v>0</v>
      </c>
      <c r="CE137" s="90">
        <f t="shared" si="156"/>
        <v>0</v>
      </c>
      <c r="CF137" s="171">
        <f t="shared" si="157"/>
        <v>0</v>
      </c>
      <c r="CG137" s="170">
        <f t="shared" si="129"/>
        <v>0</v>
      </c>
      <c r="CH137" s="90">
        <f t="shared" si="158"/>
        <v>0</v>
      </c>
      <c r="CI137" s="171">
        <f t="shared" si="159"/>
        <v>0</v>
      </c>
      <c r="CJ137" s="170">
        <f t="shared" si="130"/>
        <v>0</v>
      </c>
      <c r="CK137" s="90">
        <f t="shared" si="160"/>
        <v>0</v>
      </c>
      <c r="CL137" s="171">
        <f t="shared" si="161"/>
        <v>0</v>
      </c>
      <c r="CM137" s="170">
        <f t="shared" si="131"/>
        <v>0</v>
      </c>
      <c r="CN137" s="90">
        <f t="shared" si="162"/>
        <v>0</v>
      </c>
      <c r="CO137" s="171">
        <f t="shared" si="163"/>
        <v>0</v>
      </c>
      <c r="CP137" s="170">
        <f t="shared" si="132"/>
        <v>0</v>
      </c>
      <c r="CQ137" s="90">
        <f t="shared" si="164"/>
        <v>0</v>
      </c>
      <c r="CR137" s="171">
        <f t="shared" si="165"/>
        <v>0</v>
      </c>
      <c r="CS137" s="170">
        <f t="shared" si="133"/>
        <v>0</v>
      </c>
      <c r="CT137" s="90">
        <f t="shared" si="166"/>
        <v>0</v>
      </c>
      <c r="CU137" s="171">
        <f t="shared" si="167"/>
        <v>0</v>
      </c>
      <c r="CV137" s="170">
        <f t="shared" si="134"/>
        <v>0</v>
      </c>
      <c r="CW137" s="90">
        <f t="shared" si="168"/>
        <v>0</v>
      </c>
      <c r="CX137" s="171">
        <f t="shared" si="169"/>
        <v>0</v>
      </c>
      <c r="CY137" s="170">
        <f t="shared" si="135"/>
        <v>0</v>
      </c>
      <c r="CZ137" s="168">
        <f t="shared" si="136"/>
        <v>0</v>
      </c>
      <c r="DA137" s="172">
        <f t="shared" si="138"/>
        <v>0</v>
      </c>
      <c r="DB137" s="173">
        <f t="shared" si="139"/>
        <v>0</v>
      </c>
      <c r="DC137" s="172">
        <f t="shared" si="171"/>
        <v>0</v>
      </c>
      <c r="DD137" s="172">
        <f t="shared" si="171"/>
        <v>0</v>
      </c>
      <c r="DE137" s="172">
        <f t="shared" si="171"/>
        <v>0</v>
      </c>
      <c r="DF137" s="172">
        <f t="shared" si="141"/>
        <v>0</v>
      </c>
      <c r="DG137" s="1"/>
      <c r="DH137" s="1"/>
      <c r="DI137" s="3"/>
      <c r="DJ137" s="278" t="s">
        <v>289</v>
      </c>
      <c r="DK137" s="297"/>
      <c r="DL137" s="298"/>
      <c r="DM137" s="294"/>
      <c r="DN137" s="294"/>
      <c r="DO137" s="294"/>
      <c r="DP137" s="294"/>
      <c r="DQ137" s="3"/>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row>
    <row r="138" spans="1:155" s="565" customFormat="1" ht="15" customHeight="1">
      <c r="A138" s="188"/>
      <c r="B138" s="579" t="s">
        <v>276</v>
      </c>
      <c r="C138" s="579">
        <v>3.0000000000000001E-5</v>
      </c>
      <c r="D138" s="3"/>
      <c r="E138" s="3"/>
      <c r="F138" s="3"/>
      <c r="G138" s="3"/>
      <c r="H138" s="291" t="s">
        <v>290</v>
      </c>
      <c r="I138" s="299">
        <f>DK134</f>
        <v>5.5</v>
      </c>
      <c r="J138" s="27"/>
      <c r="K138" s="27"/>
      <c r="L138" s="3"/>
      <c r="M138" s="70"/>
      <c r="N138" s="300" t="s">
        <v>291</v>
      </c>
      <c r="O138" s="56" t="b">
        <f>F158="yes"</f>
        <v>0</v>
      </c>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186"/>
      <c r="BE138" s="165" t="s">
        <v>14</v>
      </c>
      <c r="BF138" s="23">
        <v>22</v>
      </c>
      <c r="BG138" s="23">
        <v>29</v>
      </c>
      <c r="BH138" s="23">
        <v>4</v>
      </c>
      <c r="BI138" s="90" t="b">
        <f t="shared" si="137"/>
        <v>1</v>
      </c>
      <c r="BJ138" s="46" t="b">
        <f t="shared" si="144"/>
        <v>0</v>
      </c>
      <c r="BK138" s="166">
        <f t="shared" si="145"/>
        <v>0</v>
      </c>
      <c r="BL138" s="175">
        <f>IF(SUM(BL$110:BL137,BK138)&gt;$BM$4,0,BK138)</f>
        <v>0</v>
      </c>
      <c r="BM138" s="23">
        <f t="shared" si="122"/>
        <v>0</v>
      </c>
      <c r="BN138" s="90">
        <f t="shared" si="123"/>
        <v>0</v>
      </c>
      <c r="BO138" s="24">
        <f t="shared" si="142"/>
        <v>0</v>
      </c>
      <c r="BP138" s="168">
        <f t="shared" si="146"/>
        <v>0</v>
      </c>
      <c r="BQ138" s="171">
        <f t="shared" si="147"/>
        <v>0</v>
      </c>
      <c r="BR138" s="170">
        <f t="shared" si="124"/>
        <v>0</v>
      </c>
      <c r="BS138" s="168">
        <f t="shared" si="148"/>
        <v>0</v>
      </c>
      <c r="BT138" s="171">
        <f t="shared" si="149"/>
        <v>0</v>
      </c>
      <c r="BU138" s="170">
        <f t="shared" si="125"/>
        <v>0</v>
      </c>
      <c r="BV138" s="168">
        <f t="shared" si="150"/>
        <v>0</v>
      </c>
      <c r="BW138" s="171">
        <f t="shared" si="151"/>
        <v>0</v>
      </c>
      <c r="BX138" s="170">
        <f t="shared" si="126"/>
        <v>0</v>
      </c>
      <c r="BY138" s="168">
        <f t="shared" si="152"/>
        <v>0</v>
      </c>
      <c r="BZ138" s="171">
        <f t="shared" si="153"/>
        <v>0</v>
      </c>
      <c r="CA138" s="170">
        <f t="shared" si="127"/>
        <v>0</v>
      </c>
      <c r="CB138" s="90">
        <f t="shared" si="154"/>
        <v>0</v>
      </c>
      <c r="CC138" s="171">
        <f t="shared" si="155"/>
        <v>0</v>
      </c>
      <c r="CD138" s="170">
        <f t="shared" si="128"/>
        <v>0</v>
      </c>
      <c r="CE138" s="90">
        <f t="shared" si="156"/>
        <v>0</v>
      </c>
      <c r="CF138" s="171">
        <f t="shared" si="157"/>
        <v>0</v>
      </c>
      <c r="CG138" s="170">
        <f t="shared" si="129"/>
        <v>0</v>
      </c>
      <c r="CH138" s="90">
        <f t="shared" si="158"/>
        <v>0</v>
      </c>
      <c r="CI138" s="171">
        <f t="shared" si="159"/>
        <v>0</v>
      </c>
      <c r="CJ138" s="170">
        <f t="shared" si="130"/>
        <v>0</v>
      </c>
      <c r="CK138" s="90">
        <f t="shared" si="160"/>
        <v>0</v>
      </c>
      <c r="CL138" s="171">
        <f t="shared" si="161"/>
        <v>0</v>
      </c>
      <c r="CM138" s="170">
        <f t="shared" si="131"/>
        <v>0</v>
      </c>
      <c r="CN138" s="90">
        <f t="shared" si="162"/>
        <v>0</v>
      </c>
      <c r="CO138" s="171">
        <f t="shared" si="163"/>
        <v>0</v>
      </c>
      <c r="CP138" s="170">
        <f t="shared" si="132"/>
        <v>0</v>
      </c>
      <c r="CQ138" s="90">
        <f t="shared" si="164"/>
        <v>0</v>
      </c>
      <c r="CR138" s="171">
        <f t="shared" si="165"/>
        <v>0</v>
      </c>
      <c r="CS138" s="170">
        <f t="shared" si="133"/>
        <v>0</v>
      </c>
      <c r="CT138" s="90">
        <f t="shared" si="166"/>
        <v>0</v>
      </c>
      <c r="CU138" s="171">
        <f t="shared" si="167"/>
        <v>0</v>
      </c>
      <c r="CV138" s="170">
        <f t="shared" si="134"/>
        <v>0</v>
      </c>
      <c r="CW138" s="90">
        <f t="shared" si="168"/>
        <v>0</v>
      </c>
      <c r="CX138" s="171">
        <f t="shared" si="169"/>
        <v>0</v>
      </c>
      <c r="CY138" s="170">
        <f t="shared" si="135"/>
        <v>0</v>
      </c>
      <c r="CZ138" s="168">
        <f t="shared" si="136"/>
        <v>0</v>
      </c>
      <c r="DA138" s="172">
        <f t="shared" si="138"/>
        <v>0</v>
      </c>
      <c r="DB138" s="173">
        <f t="shared" si="139"/>
        <v>0</v>
      </c>
      <c r="DC138" s="172">
        <f t="shared" si="171"/>
        <v>0</v>
      </c>
      <c r="DD138" s="172">
        <f t="shared" si="171"/>
        <v>0</v>
      </c>
      <c r="DE138" s="172">
        <f t="shared" si="171"/>
        <v>0</v>
      </c>
      <c r="DF138" s="172">
        <f t="shared" si="141"/>
        <v>0</v>
      </c>
      <c r="DG138" s="1"/>
      <c r="DH138" s="1"/>
      <c r="DI138" s="3"/>
      <c r="DJ138" s="702" t="s">
        <v>292</v>
      </c>
      <c r="DK138" s="702"/>
      <c r="DL138" s="301">
        <v>2256</v>
      </c>
      <c r="DM138" s="294"/>
      <c r="DN138" s="294"/>
      <c r="DO138" s="294"/>
      <c r="DP138" s="294"/>
      <c r="DQ138" s="3"/>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row>
    <row r="139" spans="1:155" s="565" customFormat="1">
      <c r="A139" s="188"/>
      <c r="B139" s="579" t="s">
        <v>290</v>
      </c>
      <c r="C139" s="579">
        <v>5.5</v>
      </c>
      <c r="D139" s="3"/>
      <c r="E139" s="3"/>
      <c r="F139" s="3"/>
      <c r="G139" s="3"/>
      <c r="H139" s="291" t="s">
        <v>293</v>
      </c>
      <c r="I139" s="302">
        <f>DK135</f>
        <v>6</v>
      </c>
      <c r="J139" s="27"/>
      <c r="K139" s="27"/>
      <c r="L139" s="3"/>
      <c r="M139" s="70"/>
      <c r="N139" s="293" t="s">
        <v>294</v>
      </c>
      <c r="O139" s="14">
        <v>0.9</v>
      </c>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86"/>
      <c r="BE139" s="165" t="s">
        <v>14</v>
      </c>
      <c r="BF139" s="23">
        <v>22</v>
      </c>
      <c r="BG139" s="23">
        <v>30</v>
      </c>
      <c r="BH139" s="23">
        <v>5</v>
      </c>
      <c r="BI139" s="90" t="b">
        <f t="shared" si="137"/>
        <v>1</v>
      </c>
      <c r="BJ139" s="46" t="b">
        <f t="shared" si="144"/>
        <v>0</v>
      </c>
      <c r="BK139" s="166">
        <f t="shared" si="145"/>
        <v>0</v>
      </c>
      <c r="BL139" s="167">
        <f>$BM$4-SUM(BL110:BL138)</f>
        <v>0</v>
      </c>
      <c r="BM139" s="23">
        <f t="shared" si="122"/>
        <v>0</v>
      </c>
      <c r="BN139" s="90">
        <f t="shared" si="123"/>
        <v>0</v>
      </c>
      <c r="BO139" s="24">
        <f t="shared" si="142"/>
        <v>0</v>
      </c>
      <c r="BP139" s="168">
        <f t="shared" si="146"/>
        <v>0</v>
      </c>
      <c r="BQ139" s="171">
        <f t="shared" si="147"/>
        <v>0</v>
      </c>
      <c r="BR139" s="170">
        <f t="shared" si="124"/>
        <v>0</v>
      </c>
      <c r="BS139" s="168">
        <f t="shared" si="148"/>
        <v>0</v>
      </c>
      <c r="BT139" s="171">
        <f t="shared" si="149"/>
        <v>0</v>
      </c>
      <c r="BU139" s="170">
        <f t="shared" si="125"/>
        <v>0</v>
      </c>
      <c r="BV139" s="168">
        <f t="shared" si="150"/>
        <v>0</v>
      </c>
      <c r="BW139" s="171">
        <f t="shared" si="151"/>
        <v>0</v>
      </c>
      <c r="BX139" s="170">
        <f t="shared" si="126"/>
        <v>0</v>
      </c>
      <c r="BY139" s="168">
        <f t="shared" si="152"/>
        <v>0</v>
      </c>
      <c r="BZ139" s="171">
        <f t="shared" si="153"/>
        <v>0</v>
      </c>
      <c r="CA139" s="170">
        <f t="shared" si="127"/>
        <v>0</v>
      </c>
      <c r="CB139" s="90">
        <f t="shared" si="154"/>
        <v>0</v>
      </c>
      <c r="CC139" s="171">
        <f t="shared" si="155"/>
        <v>0</v>
      </c>
      <c r="CD139" s="170">
        <f t="shared" si="128"/>
        <v>0</v>
      </c>
      <c r="CE139" s="90">
        <f t="shared" si="156"/>
        <v>0</v>
      </c>
      <c r="CF139" s="171">
        <f t="shared" si="157"/>
        <v>0</v>
      </c>
      <c r="CG139" s="170">
        <f t="shared" si="129"/>
        <v>0</v>
      </c>
      <c r="CH139" s="90">
        <f t="shared" si="158"/>
        <v>0</v>
      </c>
      <c r="CI139" s="171">
        <f t="shared" si="159"/>
        <v>0</v>
      </c>
      <c r="CJ139" s="170">
        <f t="shared" si="130"/>
        <v>0</v>
      </c>
      <c r="CK139" s="90">
        <f t="shared" si="160"/>
        <v>0</v>
      </c>
      <c r="CL139" s="171">
        <f t="shared" si="161"/>
        <v>0</v>
      </c>
      <c r="CM139" s="170">
        <f t="shared" si="131"/>
        <v>0</v>
      </c>
      <c r="CN139" s="90">
        <f t="shared" si="162"/>
        <v>0</v>
      </c>
      <c r="CO139" s="171">
        <f t="shared" si="163"/>
        <v>0</v>
      </c>
      <c r="CP139" s="170">
        <f t="shared" si="132"/>
        <v>0</v>
      </c>
      <c r="CQ139" s="90">
        <f t="shared" si="164"/>
        <v>0</v>
      </c>
      <c r="CR139" s="171">
        <f t="shared" si="165"/>
        <v>0</v>
      </c>
      <c r="CS139" s="170">
        <f t="shared" si="133"/>
        <v>0</v>
      </c>
      <c r="CT139" s="90">
        <f t="shared" si="166"/>
        <v>0</v>
      </c>
      <c r="CU139" s="171">
        <f t="shared" si="167"/>
        <v>0</v>
      </c>
      <c r="CV139" s="170">
        <f t="shared" si="134"/>
        <v>0</v>
      </c>
      <c r="CW139" s="90">
        <f t="shared" si="168"/>
        <v>0</v>
      </c>
      <c r="CX139" s="171">
        <f t="shared" si="169"/>
        <v>0</v>
      </c>
      <c r="CY139" s="170">
        <f t="shared" si="135"/>
        <v>0</v>
      </c>
      <c r="CZ139" s="168">
        <f t="shared" si="136"/>
        <v>0</v>
      </c>
      <c r="DA139" s="172">
        <f t="shared" si="138"/>
        <v>0</v>
      </c>
      <c r="DB139" s="173">
        <f t="shared" si="139"/>
        <v>0</v>
      </c>
      <c r="DC139" s="172">
        <f t="shared" si="171"/>
        <v>0</v>
      </c>
      <c r="DD139" s="172">
        <f t="shared" si="171"/>
        <v>0</v>
      </c>
      <c r="DE139" s="172">
        <f t="shared" si="171"/>
        <v>0</v>
      </c>
      <c r="DF139" s="172">
        <f t="shared" si="141"/>
        <v>0</v>
      </c>
      <c r="DG139" s="1"/>
      <c r="DH139" s="1"/>
      <c r="DI139" s="3"/>
      <c r="DJ139" s="703" t="s">
        <v>295</v>
      </c>
      <c r="DK139" s="703"/>
      <c r="DL139" s="303">
        <v>1</v>
      </c>
      <c r="DM139" s="294"/>
      <c r="DN139" s="294"/>
      <c r="DO139" s="294"/>
      <c r="DP139" s="294"/>
      <c r="DQ139" s="3"/>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row>
    <row r="140" spans="1:155" s="565" customFormat="1" ht="15.75" customHeight="1">
      <c r="A140" s="188"/>
      <c r="B140" s="579" t="s">
        <v>293</v>
      </c>
      <c r="C140" s="579">
        <v>6</v>
      </c>
      <c r="D140" s="3"/>
      <c r="E140" s="3"/>
      <c r="F140" s="3"/>
      <c r="G140" s="70"/>
      <c r="H140" s="3"/>
      <c r="I140" s="27"/>
      <c r="J140" s="27"/>
      <c r="K140" s="27"/>
      <c r="L140" s="3"/>
      <c r="M140" s="70"/>
      <c r="N140" s="293"/>
      <c r="O140" s="293"/>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86"/>
      <c r="BE140" s="165" t="s">
        <v>15</v>
      </c>
      <c r="BF140" s="23">
        <v>21</v>
      </c>
      <c r="BG140" s="23">
        <v>1</v>
      </c>
      <c r="BH140" s="23">
        <v>6</v>
      </c>
      <c r="BI140" s="90" t="b">
        <f t="shared" si="137"/>
        <v>0</v>
      </c>
      <c r="BJ140" s="46" t="b">
        <f t="shared" ref="BJ140:BJ170" si="172">MOD(BG140,$BN$7)=0</f>
        <v>0</v>
      </c>
      <c r="BK140" s="166">
        <f t="shared" ref="BK140:BK170" si="173">IF(BJ140,BN$8,0)</f>
        <v>0</v>
      </c>
      <c r="BL140" s="167">
        <f>BK140</f>
        <v>0</v>
      </c>
      <c r="BM140" s="23">
        <f t="shared" si="122"/>
        <v>0</v>
      </c>
      <c r="BN140" s="90">
        <f t="shared" si="123"/>
        <v>0</v>
      </c>
      <c r="BO140" s="24">
        <f t="shared" si="142"/>
        <v>0</v>
      </c>
      <c r="BP140" s="168">
        <f t="shared" ref="BP140:BP170" si="174">$Q$338/$BF$140*BR$16*$BI140</f>
        <v>0</v>
      </c>
      <c r="BQ140" s="171">
        <f t="shared" ref="BQ140:BQ170" si="175">AQ$373/$BF140*$BI140</f>
        <v>0</v>
      </c>
      <c r="BR140" s="170">
        <f t="shared" si="124"/>
        <v>0</v>
      </c>
      <c r="BS140" s="168">
        <f t="shared" ref="BS140:BS170" si="176">$R$338/$BF140*BU$16*$BI140</f>
        <v>0</v>
      </c>
      <c r="BT140" s="171">
        <f t="shared" ref="BT140:BT170" si="177">AR$373/$BF140*$BI140</f>
        <v>0</v>
      </c>
      <c r="BU140" s="170">
        <f t="shared" si="125"/>
        <v>0</v>
      </c>
      <c r="BV140" s="168">
        <f t="shared" ref="BV140:BV170" si="178">$S$338/$BF140*BX$16*$BI140</f>
        <v>0</v>
      </c>
      <c r="BW140" s="171">
        <f t="shared" ref="BW140:BW170" si="179">AS$373/$BF140*$BI140</f>
        <v>0</v>
      </c>
      <c r="BX140" s="170">
        <f t="shared" si="126"/>
        <v>0</v>
      </c>
      <c r="BY140" s="168">
        <f t="shared" ref="BY140:BY170" si="180">$T$338/$BF140*CA$16*$BI140</f>
        <v>0</v>
      </c>
      <c r="BZ140" s="171">
        <f t="shared" ref="BZ140:BZ170" si="181">AT$373/$BF140*$BI140</f>
        <v>0</v>
      </c>
      <c r="CA140" s="170">
        <f t="shared" si="127"/>
        <v>0</v>
      </c>
      <c r="CB140" s="90">
        <f t="shared" ref="CB140:CB170" si="182">$W$338/BF140*BI140*$C$419</f>
        <v>0</v>
      </c>
      <c r="CC140" s="171">
        <f t="shared" ref="CC140:CC170" si="183">AU$373/$BF140*$BI140</f>
        <v>0</v>
      </c>
      <c r="CD140" s="170">
        <f t="shared" si="128"/>
        <v>0</v>
      </c>
      <c r="CE140" s="90">
        <f t="shared" ref="CE140:CE170" si="184">$X$338/BF140*BI140*$C$420</f>
        <v>0</v>
      </c>
      <c r="CF140" s="171">
        <f t="shared" ref="CF140:CF170" si="185">AV$373/$BF140*$BI140</f>
        <v>0</v>
      </c>
      <c r="CG140" s="170">
        <f t="shared" si="129"/>
        <v>0</v>
      </c>
      <c r="CH140" s="90">
        <f t="shared" ref="CH140:CH170" si="186">$Y$338/BF140*BI140*$C$421</f>
        <v>0</v>
      </c>
      <c r="CI140" s="171">
        <f t="shared" ref="CI140:CI170" si="187">AW$373/$BF140*$BI140</f>
        <v>0</v>
      </c>
      <c r="CJ140" s="170">
        <f t="shared" si="130"/>
        <v>0</v>
      </c>
      <c r="CK140" s="90">
        <f t="shared" ref="CK140:CK170" si="188">$Z$338/BF140*BI140*$CM$16</f>
        <v>0</v>
      </c>
      <c r="CL140" s="171">
        <f t="shared" ref="CL140:CL170" si="189">AX$373/$BF140*$BI140</f>
        <v>0</v>
      </c>
      <c r="CM140" s="170">
        <f t="shared" si="131"/>
        <v>0</v>
      </c>
      <c r="CN140" s="90">
        <f t="shared" ref="CN140:CN170" si="190">$AA$338/BF140*BI140*$CP$16</f>
        <v>0</v>
      </c>
      <c r="CO140" s="171">
        <f t="shared" ref="CO140:CO170" si="191">$AY$373/$BF140*$BI140</f>
        <v>0</v>
      </c>
      <c r="CP140" s="170">
        <f t="shared" si="132"/>
        <v>0</v>
      </c>
      <c r="CQ140" s="90">
        <f t="shared" ref="CQ140:CQ170" si="192">$AB$338/BF140*BI140*$CS$16</f>
        <v>0</v>
      </c>
      <c r="CR140" s="171">
        <f t="shared" ref="CR140:CR170" si="193">AZ$373/$BF140*$BI140</f>
        <v>0</v>
      </c>
      <c r="CS140" s="170">
        <f t="shared" si="133"/>
        <v>0</v>
      </c>
      <c r="CT140" s="90">
        <f t="shared" ref="CT140:CT170" si="194">$AC$338/BF140*BI140*$CV$16</f>
        <v>0</v>
      </c>
      <c r="CU140" s="171">
        <f t="shared" ref="CU140:CU170" si="195">BA$373/$BF140*$BI140</f>
        <v>0</v>
      </c>
      <c r="CV140" s="170">
        <f t="shared" si="134"/>
        <v>0</v>
      </c>
      <c r="CW140" s="90">
        <f t="shared" ref="CW140:CW170" si="196">$AD$338/BF140*BI140*$CY$16</f>
        <v>0</v>
      </c>
      <c r="CX140" s="171">
        <f t="shared" ref="CX140:CX170" si="197">BB$373/$BF140*$BI140</f>
        <v>0</v>
      </c>
      <c r="CY140" s="170">
        <f t="shared" si="135"/>
        <v>0</v>
      </c>
      <c r="CZ140" s="168">
        <f t="shared" si="136"/>
        <v>0</v>
      </c>
      <c r="DA140" s="172">
        <f t="shared" si="138"/>
        <v>0</v>
      </c>
      <c r="DB140" s="173">
        <f t="shared" si="139"/>
        <v>0</v>
      </c>
      <c r="DC140" s="172">
        <f t="shared" si="171"/>
        <v>0</v>
      </c>
      <c r="DD140" s="172">
        <f t="shared" si="171"/>
        <v>0</v>
      </c>
      <c r="DE140" s="172">
        <f t="shared" si="171"/>
        <v>0</v>
      </c>
      <c r="DF140" s="172">
        <f>IF(DA140-(DE139+CZ140)&lt;0,0,DA140-(DE139+CZ140))</f>
        <v>0</v>
      </c>
      <c r="DG140" s="1"/>
      <c r="DH140" s="1"/>
      <c r="DI140" s="3"/>
      <c r="DJ140" s="703" t="s">
        <v>296</v>
      </c>
      <c r="DK140" s="703"/>
      <c r="DL140" s="304">
        <v>4.18</v>
      </c>
      <c r="DM140" s="294"/>
      <c r="DN140" s="294"/>
      <c r="DO140" s="294"/>
      <c r="DP140" s="294"/>
      <c r="DQ140" s="3"/>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row>
    <row r="141" spans="1:155" s="565" customFormat="1" ht="28.5" customHeight="1">
      <c r="A141" s="3"/>
      <c r="B141" s="221"/>
      <c r="C141" s="70"/>
      <c r="D141" s="70"/>
      <c r="E141" s="70"/>
      <c r="F141" s="70"/>
      <c r="G141" s="70"/>
      <c r="H141" s="70"/>
      <c r="I141" s="70"/>
      <c r="J141" s="70"/>
      <c r="K141" s="70"/>
      <c r="L141" s="70"/>
      <c r="M141" s="70"/>
      <c r="N141" s="293"/>
      <c r="O141" s="14"/>
      <c r="P141" s="704">
        <f>C142</f>
        <v>0</v>
      </c>
      <c r="Q141" s="704"/>
      <c r="R141" s="704"/>
      <c r="S141" s="704"/>
      <c r="T141" s="704"/>
      <c r="U141" s="14"/>
      <c r="V141" s="705" t="str">
        <f>I142</f>
        <v>Notional Building</v>
      </c>
      <c r="W141" s="705"/>
      <c r="X141" s="705"/>
      <c r="Y141" s="705"/>
      <c r="Z141" s="705"/>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86"/>
      <c r="BE141" s="165" t="s">
        <v>15</v>
      </c>
      <c r="BF141" s="23">
        <v>21</v>
      </c>
      <c r="BG141" s="23">
        <v>2</v>
      </c>
      <c r="BH141" s="23">
        <v>7</v>
      </c>
      <c r="BI141" s="90" t="b">
        <f t="shared" si="137"/>
        <v>0</v>
      </c>
      <c r="BJ141" s="46" t="b">
        <f t="shared" si="172"/>
        <v>0</v>
      </c>
      <c r="BK141" s="166">
        <f t="shared" si="173"/>
        <v>0</v>
      </c>
      <c r="BL141" s="175">
        <f>IF(SUM(BL$140:BL140,BK141)&gt;$BN$4,0,BK141)</f>
        <v>0</v>
      </c>
      <c r="BM141" s="23">
        <f t="shared" si="122"/>
        <v>0</v>
      </c>
      <c r="BN141" s="90">
        <f t="shared" si="123"/>
        <v>0</v>
      </c>
      <c r="BO141" s="24">
        <f t="shared" si="142"/>
        <v>0</v>
      </c>
      <c r="BP141" s="168">
        <f t="shared" si="174"/>
        <v>0</v>
      </c>
      <c r="BQ141" s="171">
        <f t="shared" si="175"/>
        <v>0</v>
      </c>
      <c r="BR141" s="170">
        <f t="shared" si="124"/>
        <v>0</v>
      </c>
      <c r="BS141" s="168">
        <f t="shared" si="176"/>
        <v>0</v>
      </c>
      <c r="BT141" s="171">
        <f t="shared" si="177"/>
        <v>0</v>
      </c>
      <c r="BU141" s="170">
        <f t="shared" si="125"/>
        <v>0</v>
      </c>
      <c r="BV141" s="168">
        <f t="shared" si="178"/>
        <v>0</v>
      </c>
      <c r="BW141" s="171">
        <f t="shared" si="179"/>
        <v>0</v>
      </c>
      <c r="BX141" s="170">
        <f t="shared" si="126"/>
        <v>0</v>
      </c>
      <c r="BY141" s="168">
        <f t="shared" si="180"/>
        <v>0</v>
      </c>
      <c r="BZ141" s="171">
        <f t="shared" si="181"/>
        <v>0</v>
      </c>
      <c r="CA141" s="170">
        <f t="shared" si="127"/>
        <v>0</v>
      </c>
      <c r="CB141" s="90">
        <f t="shared" si="182"/>
        <v>0</v>
      </c>
      <c r="CC141" s="171">
        <f t="shared" si="183"/>
        <v>0</v>
      </c>
      <c r="CD141" s="170">
        <f t="shared" si="128"/>
        <v>0</v>
      </c>
      <c r="CE141" s="90">
        <f t="shared" si="184"/>
        <v>0</v>
      </c>
      <c r="CF141" s="171">
        <f t="shared" si="185"/>
        <v>0</v>
      </c>
      <c r="CG141" s="170">
        <f t="shared" si="129"/>
        <v>0</v>
      </c>
      <c r="CH141" s="90">
        <f t="shared" si="186"/>
        <v>0</v>
      </c>
      <c r="CI141" s="171">
        <f t="shared" si="187"/>
        <v>0</v>
      </c>
      <c r="CJ141" s="170">
        <f t="shared" si="130"/>
        <v>0</v>
      </c>
      <c r="CK141" s="90">
        <f t="shared" si="188"/>
        <v>0</v>
      </c>
      <c r="CL141" s="171">
        <f t="shared" si="189"/>
        <v>0</v>
      </c>
      <c r="CM141" s="170">
        <f t="shared" si="131"/>
        <v>0</v>
      </c>
      <c r="CN141" s="90">
        <f t="shared" si="190"/>
        <v>0</v>
      </c>
      <c r="CO141" s="171">
        <f t="shared" si="191"/>
        <v>0</v>
      </c>
      <c r="CP141" s="170">
        <f t="shared" si="132"/>
        <v>0</v>
      </c>
      <c r="CQ141" s="90">
        <f t="shared" si="192"/>
        <v>0</v>
      </c>
      <c r="CR141" s="171">
        <f t="shared" si="193"/>
        <v>0</v>
      </c>
      <c r="CS141" s="170">
        <f t="shared" si="133"/>
        <v>0</v>
      </c>
      <c r="CT141" s="90">
        <f t="shared" si="194"/>
        <v>0</v>
      </c>
      <c r="CU141" s="171">
        <f t="shared" si="195"/>
        <v>0</v>
      </c>
      <c r="CV141" s="170">
        <f t="shared" si="134"/>
        <v>0</v>
      </c>
      <c r="CW141" s="90">
        <f t="shared" si="196"/>
        <v>0</v>
      </c>
      <c r="CX141" s="171">
        <f t="shared" si="197"/>
        <v>0</v>
      </c>
      <c r="CY141" s="170">
        <f t="shared" si="135"/>
        <v>0</v>
      </c>
      <c r="CZ141" s="168">
        <f t="shared" si="136"/>
        <v>0</v>
      </c>
      <c r="DA141" s="172">
        <f t="shared" si="138"/>
        <v>0</v>
      </c>
      <c r="DB141" s="173">
        <f t="shared" si="139"/>
        <v>0</v>
      </c>
      <c r="DC141" s="172">
        <f t="shared" si="171"/>
        <v>0</v>
      </c>
      <c r="DD141" s="172">
        <f t="shared" si="171"/>
        <v>0</v>
      </c>
      <c r="DE141" s="172">
        <f t="shared" si="171"/>
        <v>0</v>
      </c>
      <c r="DF141" s="172">
        <f t="shared" si="141"/>
        <v>0</v>
      </c>
      <c r="DG141" s="1"/>
      <c r="DH141" s="1"/>
      <c r="DI141" s="3"/>
      <c r="DJ141" s="8"/>
      <c r="DK141" s="8"/>
      <c r="DL141" s="8"/>
      <c r="DM141" s="8"/>
      <c r="DN141" s="8"/>
      <c r="DO141" s="8"/>
      <c r="DP141" s="8"/>
      <c r="DQ141" s="3"/>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row>
    <row r="142" spans="1:155" s="565" customFormat="1" ht="15" customHeight="1">
      <c r="A142" s="181"/>
      <c r="B142" s="3"/>
      <c r="C142" s="3"/>
      <c r="D142" s="3"/>
      <c r="E142" s="3"/>
      <c r="F142" s="3"/>
      <c r="G142" s="70"/>
      <c r="H142" s="70"/>
      <c r="I142" s="305" t="str">
        <f>H135</f>
        <v>Notional Building</v>
      </c>
      <c r="J142" s="305"/>
      <c r="K142" s="70"/>
      <c r="L142" s="70"/>
      <c r="M142" s="70"/>
      <c r="N142" s="293"/>
      <c r="O142" s="14"/>
      <c r="P142" s="699" t="s">
        <v>297</v>
      </c>
      <c r="Q142" s="706" t="s">
        <v>298</v>
      </c>
      <c r="R142" s="707"/>
      <c r="S142" s="699" t="s">
        <v>299</v>
      </c>
      <c r="T142" s="699" t="s">
        <v>300</v>
      </c>
      <c r="U142" s="14"/>
      <c r="V142" s="699" t="s">
        <v>297</v>
      </c>
      <c r="W142" s="699" t="s">
        <v>298</v>
      </c>
      <c r="X142" s="699"/>
      <c r="Y142" s="699" t="s">
        <v>299</v>
      </c>
      <c r="Z142" s="699" t="s">
        <v>300</v>
      </c>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86"/>
      <c r="BE142" s="165" t="s">
        <v>15</v>
      </c>
      <c r="BF142" s="23">
        <v>21</v>
      </c>
      <c r="BG142" s="23">
        <v>3</v>
      </c>
      <c r="BH142" s="23">
        <v>1</v>
      </c>
      <c r="BI142" s="90" t="b">
        <f t="shared" si="137"/>
        <v>1</v>
      </c>
      <c r="BJ142" s="46" t="b">
        <f t="shared" si="172"/>
        <v>0</v>
      </c>
      <c r="BK142" s="166">
        <f t="shared" si="173"/>
        <v>0</v>
      </c>
      <c r="BL142" s="175">
        <f>IF(SUM(BL$140:BL141,BK142)&gt;$BN$4,0,BK142)</f>
        <v>0</v>
      </c>
      <c r="BM142" s="23">
        <f t="shared" si="122"/>
        <v>0</v>
      </c>
      <c r="BN142" s="90">
        <f t="shared" si="123"/>
        <v>0</v>
      </c>
      <c r="BO142" s="24">
        <f t="shared" si="142"/>
        <v>0</v>
      </c>
      <c r="BP142" s="168">
        <f t="shared" si="174"/>
        <v>0</v>
      </c>
      <c r="BQ142" s="171">
        <f t="shared" si="175"/>
        <v>0</v>
      </c>
      <c r="BR142" s="170">
        <f t="shared" si="124"/>
        <v>0</v>
      </c>
      <c r="BS142" s="168">
        <f t="shared" si="176"/>
        <v>0</v>
      </c>
      <c r="BT142" s="171">
        <f t="shared" si="177"/>
        <v>0</v>
      </c>
      <c r="BU142" s="170">
        <f t="shared" si="125"/>
        <v>0</v>
      </c>
      <c r="BV142" s="168">
        <f t="shared" si="178"/>
        <v>0</v>
      </c>
      <c r="BW142" s="171">
        <f t="shared" si="179"/>
        <v>0</v>
      </c>
      <c r="BX142" s="170">
        <f t="shared" si="126"/>
        <v>0</v>
      </c>
      <c r="BY142" s="168">
        <f t="shared" si="180"/>
        <v>0</v>
      </c>
      <c r="BZ142" s="171">
        <f t="shared" si="181"/>
        <v>0</v>
      </c>
      <c r="CA142" s="170">
        <f t="shared" si="127"/>
        <v>0</v>
      </c>
      <c r="CB142" s="90">
        <f t="shared" si="182"/>
        <v>0</v>
      </c>
      <c r="CC142" s="171">
        <f t="shared" si="183"/>
        <v>0</v>
      </c>
      <c r="CD142" s="170">
        <f t="shared" si="128"/>
        <v>0</v>
      </c>
      <c r="CE142" s="90">
        <f t="shared" si="184"/>
        <v>0</v>
      </c>
      <c r="CF142" s="171">
        <f t="shared" si="185"/>
        <v>0</v>
      </c>
      <c r="CG142" s="170">
        <f t="shared" si="129"/>
        <v>0</v>
      </c>
      <c r="CH142" s="90">
        <f t="shared" si="186"/>
        <v>0</v>
      </c>
      <c r="CI142" s="171">
        <f t="shared" si="187"/>
        <v>0</v>
      </c>
      <c r="CJ142" s="170">
        <f t="shared" si="130"/>
        <v>0</v>
      </c>
      <c r="CK142" s="90">
        <f t="shared" si="188"/>
        <v>0</v>
      </c>
      <c r="CL142" s="171">
        <f t="shared" si="189"/>
        <v>0</v>
      </c>
      <c r="CM142" s="170">
        <f t="shared" si="131"/>
        <v>0</v>
      </c>
      <c r="CN142" s="90">
        <f t="shared" si="190"/>
        <v>0</v>
      </c>
      <c r="CO142" s="171">
        <f t="shared" si="191"/>
        <v>0</v>
      </c>
      <c r="CP142" s="170">
        <f t="shared" si="132"/>
        <v>0</v>
      </c>
      <c r="CQ142" s="90">
        <f t="shared" si="192"/>
        <v>0</v>
      </c>
      <c r="CR142" s="171">
        <f t="shared" si="193"/>
        <v>0</v>
      </c>
      <c r="CS142" s="170">
        <f t="shared" si="133"/>
        <v>0</v>
      </c>
      <c r="CT142" s="90">
        <f t="shared" si="194"/>
        <v>0</v>
      </c>
      <c r="CU142" s="171">
        <f t="shared" si="195"/>
        <v>0</v>
      </c>
      <c r="CV142" s="170">
        <f t="shared" si="134"/>
        <v>0</v>
      </c>
      <c r="CW142" s="90">
        <f t="shared" si="196"/>
        <v>0</v>
      </c>
      <c r="CX142" s="171">
        <f t="shared" si="197"/>
        <v>0</v>
      </c>
      <c r="CY142" s="170">
        <f t="shared" si="135"/>
        <v>0</v>
      </c>
      <c r="CZ142" s="168">
        <f t="shared" si="136"/>
        <v>0</v>
      </c>
      <c r="DA142" s="172">
        <f t="shared" si="138"/>
        <v>0</v>
      </c>
      <c r="DB142" s="173">
        <f t="shared" si="139"/>
        <v>0</v>
      </c>
      <c r="DC142" s="172">
        <f t="shared" si="171"/>
        <v>0</v>
      </c>
      <c r="DD142" s="172">
        <f t="shared" si="171"/>
        <v>0</v>
      </c>
      <c r="DE142" s="172">
        <f t="shared" si="171"/>
        <v>0</v>
      </c>
      <c r="DF142" s="172">
        <f t="shared" si="141"/>
        <v>0</v>
      </c>
      <c r="DG142" s="1"/>
      <c r="DH142" s="1"/>
      <c r="DI142" s="3"/>
      <c r="DJ142" s="8"/>
      <c r="DK142" s="8"/>
      <c r="DL142" s="8"/>
      <c r="DM142" s="8"/>
      <c r="DN142" s="8"/>
      <c r="DO142" s="8"/>
      <c r="DP142" s="8"/>
      <c r="DQ142" s="3"/>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row>
    <row r="143" spans="1:155" s="565" customFormat="1" ht="27" customHeight="1">
      <c r="A143" s="306"/>
      <c r="B143" s="3"/>
      <c r="C143" s="3"/>
      <c r="D143" s="3"/>
      <c r="E143" s="307"/>
      <c r="F143" s="307"/>
      <c r="G143" s="308"/>
      <c r="H143" s="308"/>
      <c r="I143" s="190" t="s">
        <v>301</v>
      </c>
      <c r="J143" s="190" t="s">
        <v>302</v>
      </c>
      <c r="K143" s="70"/>
      <c r="L143" s="70"/>
      <c r="M143" s="70"/>
      <c r="N143" s="293" t="s">
        <v>303</v>
      </c>
      <c r="O143" s="14" t="b">
        <f>I136=N133</f>
        <v>1</v>
      </c>
      <c r="P143" s="699"/>
      <c r="Q143" s="309" t="s">
        <v>304</v>
      </c>
      <c r="R143" s="309" t="s">
        <v>305</v>
      </c>
      <c r="S143" s="699"/>
      <c r="T143" s="699"/>
      <c r="U143" s="14"/>
      <c r="V143" s="699"/>
      <c r="W143" s="309" t="s">
        <v>304</v>
      </c>
      <c r="X143" s="309" t="s">
        <v>305</v>
      </c>
      <c r="Y143" s="699"/>
      <c r="Z143" s="699"/>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86"/>
      <c r="BE143" s="165" t="s">
        <v>15</v>
      </c>
      <c r="BF143" s="23">
        <v>21</v>
      </c>
      <c r="BG143" s="23">
        <v>4</v>
      </c>
      <c r="BH143" s="23">
        <v>2</v>
      </c>
      <c r="BI143" s="90" t="b">
        <f t="shared" si="137"/>
        <v>1</v>
      </c>
      <c r="BJ143" s="46" t="b">
        <f t="shared" si="172"/>
        <v>0</v>
      </c>
      <c r="BK143" s="166">
        <f t="shared" si="173"/>
        <v>0</v>
      </c>
      <c r="BL143" s="175">
        <f>IF(SUM(BL$140:BL142,BK143)&gt;$BN$4,0,BK143)</f>
        <v>0</v>
      </c>
      <c r="BM143" s="23">
        <f t="shared" si="122"/>
        <v>0</v>
      </c>
      <c r="BN143" s="90">
        <f t="shared" si="123"/>
        <v>0</v>
      </c>
      <c r="BO143" s="24">
        <f t="shared" si="142"/>
        <v>0</v>
      </c>
      <c r="BP143" s="168">
        <f t="shared" si="174"/>
        <v>0</v>
      </c>
      <c r="BQ143" s="171">
        <f t="shared" si="175"/>
        <v>0</v>
      </c>
      <c r="BR143" s="170">
        <f t="shared" si="124"/>
        <v>0</v>
      </c>
      <c r="BS143" s="168">
        <f t="shared" si="176"/>
        <v>0</v>
      </c>
      <c r="BT143" s="171">
        <f t="shared" si="177"/>
        <v>0</v>
      </c>
      <c r="BU143" s="170">
        <f t="shared" si="125"/>
        <v>0</v>
      </c>
      <c r="BV143" s="168">
        <f t="shared" si="178"/>
        <v>0</v>
      </c>
      <c r="BW143" s="171">
        <f t="shared" si="179"/>
        <v>0</v>
      </c>
      <c r="BX143" s="170">
        <f t="shared" si="126"/>
        <v>0</v>
      </c>
      <c r="BY143" s="168">
        <f t="shared" si="180"/>
        <v>0</v>
      </c>
      <c r="BZ143" s="171">
        <f t="shared" si="181"/>
        <v>0</v>
      </c>
      <c r="CA143" s="170">
        <f t="shared" si="127"/>
        <v>0</v>
      </c>
      <c r="CB143" s="90">
        <f t="shared" si="182"/>
        <v>0</v>
      </c>
      <c r="CC143" s="171">
        <f t="shared" si="183"/>
        <v>0</v>
      </c>
      <c r="CD143" s="170">
        <f t="shared" si="128"/>
        <v>0</v>
      </c>
      <c r="CE143" s="90">
        <f t="shared" si="184"/>
        <v>0</v>
      </c>
      <c r="CF143" s="171">
        <f t="shared" si="185"/>
        <v>0</v>
      </c>
      <c r="CG143" s="170">
        <f t="shared" si="129"/>
        <v>0</v>
      </c>
      <c r="CH143" s="90">
        <f t="shared" si="186"/>
        <v>0</v>
      </c>
      <c r="CI143" s="171">
        <f t="shared" si="187"/>
        <v>0</v>
      </c>
      <c r="CJ143" s="170">
        <f t="shared" si="130"/>
        <v>0</v>
      </c>
      <c r="CK143" s="90">
        <f t="shared" si="188"/>
        <v>0</v>
      </c>
      <c r="CL143" s="171">
        <f t="shared" si="189"/>
        <v>0</v>
      </c>
      <c r="CM143" s="170">
        <f t="shared" si="131"/>
        <v>0</v>
      </c>
      <c r="CN143" s="90">
        <f t="shared" si="190"/>
        <v>0</v>
      </c>
      <c r="CO143" s="171">
        <f t="shared" si="191"/>
        <v>0</v>
      </c>
      <c r="CP143" s="170">
        <f t="shared" si="132"/>
        <v>0</v>
      </c>
      <c r="CQ143" s="90">
        <f t="shared" si="192"/>
        <v>0</v>
      </c>
      <c r="CR143" s="171">
        <f t="shared" si="193"/>
        <v>0</v>
      </c>
      <c r="CS143" s="170">
        <f t="shared" si="133"/>
        <v>0</v>
      </c>
      <c r="CT143" s="90">
        <f t="shared" si="194"/>
        <v>0</v>
      </c>
      <c r="CU143" s="171">
        <f t="shared" si="195"/>
        <v>0</v>
      </c>
      <c r="CV143" s="170">
        <f t="shared" si="134"/>
        <v>0</v>
      </c>
      <c r="CW143" s="90">
        <f t="shared" si="196"/>
        <v>0</v>
      </c>
      <c r="CX143" s="171">
        <f t="shared" si="197"/>
        <v>0</v>
      </c>
      <c r="CY143" s="170">
        <f t="shared" si="135"/>
        <v>0</v>
      </c>
      <c r="CZ143" s="168">
        <f t="shared" si="136"/>
        <v>0</v>
      </c>
      <c r="DA143" s="172">
        <f t="shared" si="138"/>
        <v>0</v>
      </c>
      <c r="DB143" s="173">
        <f t="shared" si="139"/>
        <v>0</v>
      </c>
      <c r="DC143" s="172">
        <f t="shared" si="171"/>
        <v>0</v>
      </c>
      <c r="DD143" s="172">
        <f t="shared" si="171"/>
        <v>0</v>
      </c>
      <c r="DE143" s="172">
        <f t="shared" si="171"/>
        <v>0</v>
      </c>
      <c r="DF143" s="172">
        <f t="shared" si="141"/>
        <v>0</v>
      </c>
      <c r="DG143" s="1"/>
      <c r="DH143" s="1"/>
      <c r="DI143" s="3"/>
      <c r="DJ143" s="8"/>
      <c r="DK143" s="8"/>
      <c r="DL143" s="8"/>
      <c r="DM143" s="8"/>
      <c r="DN143" s="8"/>
      <c r="DO143" s="8"/>
      <c r="DP143" s="8"/>
      <c r="DQ143" s="3"/>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row>
    <row r="144" spans="1:155" s="565" customFormat="1" ht="15" customHeight="1">
      <c r="A144" s="197"/>
      <c r="B144" s="3"/>
      <c r="C144" s="3"/>
      <c r="D144" s="3"/>
      <c r="E144" s="3"/>
      <c r="F144" s="3"/>
      <c r="G144" s="70"/>
      <c r="H144" s="194" t="s">
        <v>168</v>
      </c>
      <c r="I144" s="310"/>
      <c r="J144" s="311">
        <f t="shared" ref="J144:J155" si="198">Z144</f>
        <v>0</v>
      </c>
      <c r="K144" s="70"/>
      <c r="L144" s="70"/>
      <c r="M144" s="70"/>
      <c r="N144" s="14"/>
      <c r="O144" s="27" t="s">
        <v>11</v>
      </c>
      <c r="P144" s="23">
        <f t="shared" ref="P144:P155" si="199">C144*3600/($DL$138*$DL$139)*$O$137</f>
        <v>0</v>
      </c>
      <c r="Q144" s="312">
        <f t="shared" ref="Q144:Q155" si="200">(C144*3600)/($DL$140*$C$139)*$O$137</f>
        <v>0</v>
      </c>
      <c r="R144" s="23">
        <f t="shared" ref="R144:R155" si="201">Q144*$C$138</f>
        <v>0</v>
      </c>
      <c r="S144" s="23">
        <f t="shared" ref="S144:S155" si="202">P144/($C$140-1)</f>
        <v>0</v>
      </c>
      <c r="T144" s="23">
        <f t="shared" ref="T144:T155" si="203">SUM(S144,R144,P144)/1000</f>
        <v>0</v>
      </c>
      <c r="U144" s="14"/>
      <c r="V144" s="313">
        <f>I144*3600/($DL$138*$DL$139)*$O$143*$O$139</f>
        <v>0</v>
      </c>
      <c r="W144" s="314">
        <f>(I144*3600)/($DL$140*$I$138)*$O$143*$O$139</f>
        <v>0</v>
      </c>
      <c r="X144" s="313">
        <f t="shared" ref="X144:X155" si="204">W144*$I$137*$O$143</f>
        <v>0</v>
      </c>
      <c r="Y144" s="313">
        <f t="shared" ref="Y144:Y155" si="205">V144/($I$139-1)</f>
        <v>0</v>
      </c>
      <c r="Z144" s="313">
        <f t="shared" ref="Z144:Z155" si="206">SUM(Y144,X144,V144)/1000</f>
        <v>0</v>
      </c>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86"/>
      <c r="BE144" s="165" t="s">
        <v>15</v>
      </c>
      <c r="BF144" s="23">
        <v>21</v>
      </c>
      <c r="BG144" s="23">
        <v>5</v>
      </c>
      <c r="BH144" s="23">
        <v>3</v>
      </c>
      <c r="BI144" s="90" t="b">
        <f t="shared" si="137"/>
        <v>1</v>
      </c>
      <c r="BJ144" s="46" t="b">
        <f t="shared" si="172"/>
        <v>0</v>
      </c>
      <c r="BK144" s="166">
        <f t="shared" si="173"/>
        <v>0</v>
      </c>
      <c r="BL144" s="175">
        <f>IF(SUM(BL$140:BL143,BK144)&gt;$BN$4,0,BK144)</f>
        <v>0</v>
      </c>
      <c r="BM144" s="23">
        <f t="shared" si="122"/>
        <v>0</v>
      </c>
      <c r="BN144" s="90">
        <f t="shared" si="123"/>
        <v>0</v>
      </c>
      <c r="BO144" s="24">
        <f t="shared" si="142"/>
        <v>0</v>
      </c>
      <c r="BP144" s="168">
        <f t="shared" si="174"/>
        <v>0</v>
      </c>
      <c r="BQ144" s="171">
        <f t="shared" si="175"/>
        <v>0</v>
      </c>
      <c r="BR144" s="170">
        <f t="shared" si="124"/>
        <v>0</v>
      </c>
      <c r="BS144" s="168">
        <f t="shared" si="176"/>
        <v>0</v>
      </c>
      <c r="BT144" s="171">
        <f t="shared" si="177"/>
        <v>0</v>
      </c>
      <c r="BU144" s="170">
        <f t="shared" si="125"/>
        <v>0</v>
      </c>
      <c r="BV144" s="168">
        <f t="shared" si="178"/>
        <v>0</v>
      </c>
      <c r="BW144" s="171">
        <f t="shared" si="179"/>
        <v>0</v>
      </c>
      <c r="BX144" s="170">
        <f t="shared" si="126"/>
        <v>0</v>
      </c>
      <c r="BY144" s="168">
        <f t="shared" si="180"/>
        <v>0</v>
      </c>
      <c r="BZ144" s="171">
        <f t="shared" si="181"/>
        <v>0</v>
      </c>
      <c r="CA144" s="170">
        <f t="shared" si="127"/>
        <v>0</v>
      </c>
      <c r="CB144" s="90">
        <f t="shared" si="182"/>
        <v>0</v>
      </c>
      <c r="CC144" s="171">
        <f t="shared" si="183"/>
        <v>0</v>
      </c>
      <c r="CD144" s="170">
        <f t="shared" si="128"/>
        <v>0</v>
      </c>
      <c r="CE144" s="90">
        <f t="shared" si="184"/>
        <v>0</v>
      </c>
      <c r="CF144" s="171">
        <f t="shared" si="185"/>
        <v>0</v>
      </c>
      <c r="CG144" s="170">
        <f t="shared" si="129"/>
        <v>0</v>
      </c>
      <c r="CH144" s="90">
        <f t="shared" si="186"/>
        <v>0</v>
      </c>
      <c r="CI144" s="171">
        <f t="shared" si="187"/>
        <v>0</v>
      </c>
      <c r="CJ144" s="170">
        <f t="shared" si="130"/>
        <v>0</v>
      </c>
      <c r="CK144" s="90">
        <f t="shared" si="188"/>
        <v>0</v>
      </c>
      <c r="CL144" s="171">
        <f t="shared" si="189"/>
        <v>0</v>
      </c>
      <c r="CM144" s="170">
        <f t="shared" si="131"/>
        <v>0</v>
      </c>
      <c r="CN144" s="90">
        <f t="shared" si="190"/>
        <v>0</v>
      </c>
      <c r="CO144" s="171">
        <f t="shared" si="191"/>
        <v>0</v>
      </c>
      <c r="CP144" s="170">
        <f t="shared" si="132"/>
        <v>0</v>
      </c>
      <c r="CQ144" s="90">
        <f t="shared" si="192"/>
        <v>0</v>
      </c>
      <c r="CR144" s="171">
        <f t="shared" si="193"/>
        <v>0</v>
      </c>
      <c r="CS144" s="170">
        <f t="shared" si="133"/>
        <v>0</v>
      </c>
      <c r="CT144" s="90">
        <f t="shared" si="194"/>
        <v>0</v>
      </c>
      <c r="CU144" s="171">
        <f t="shared" si="195"/>
        <v>0</v>
      </c>
      <c r="CV144" s="170">
        <f t="shared" si="134"/>
        <v>0</v>
      </c>
      <c r="CW144" s="90">
        <f t="shared" si="196"/>
        <v>0</v>
      </c>
      <c r="CX144" s="171">
        <f t="shared" si="197"/>
        <v>0</v>
      </c>
      <c r="CY144" s="170">
        <f t="shared" si="135"/>
        <v>0</v>
      </c>
      <c r="CZ144" s="168">
        <f t="shared" si="136"/>
        <v>0</v>
      </c>
      <c r="DA144" s="172">
        <f t="shared" si="138"/>
        <v>0</v>
      </c>
      <c r="DB144" s="173">
        <f t="shared" si="139"/>
        <v>0</v>
      </c>
      <c r="DC144" s="172">
        <f t="shared" si="171"/>
        <v>0</v>
      </c>
      <c r="DD144" s="172">
        <f t="shared" si="171"/>
        <v>0</v>
      </c>
      <c r="DE144" s="172">
        <f t="shared" si="171"/>
        <v>0</v>
      </c>
      <c r="DF144" s="172">
        <f t="shared" si="141"/>
        <v>0</v>
      </c>
      <c r="DG144" s="1"/>
      <c r="DH144" s="1"/>
      <c r="DI144" s="3"/>
      <c r="DJ144" s="8"/>
      <c r="DK144" s="8"/>
      <c r="DL144" s="8"/>
      <c r="DM144" s="8"/>
      <c r="DN144" s="8"/>
      <c r="DO144" s="8"/>
      <c r="DP144" s="8"/>
      <c r="DQ144" s="3"/>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row>
    <row r="145" spans="1:155" s="565" customFormat="1" ht="15" customHeight="1">
      <c r="A145" s="197"/>
      <c r="B145" s="3"/>
      <c r="C145" s="3"/>
      <c r="D145" s="3"/>
      <c r="E145" s="3"/>
      <c r="F145" s="3"/>
      <c r="G145" s="70"/>
      <c r="H145" s="194" t="s">
        <v>172</v>
      </c>
      <c r="I145" s="310"/>
      <c r="J145" s="195">
        <f t="shared" si="198"/>
        <v>0</v>
      </c>
      <c r="K145" s="70"/>
      <c r="L145" s="70"/>
      <c r="M145" s="70"/>
      <c r="N145" s="14"/>
      <c r="O145" s="27" t="s">
        <v>12</v>
      </c>
      <c r="P145" s="23">
        <f t="shared" si="199"/>
        <v>0</v>
      </c>
      <c r="Q145" s="312">
        <f t="shared" si="200"/>
        <v>0</v>
      </c>
      <c r="R145" s="23">
        <f t="shared" si="201"/>
        <v>0</v>
      </c>
      <c r="S145" s="23">
        <f t="shared" si="202"/>
        <v>0</v>
      </c>
      <c r="T145" s="23">
        <f t="shared" si="203"/>
        <v>0</v>
      </c>
      <c r="U145" s="14"/>
      <c r="V145" s="313">
        <f t="shared" ref="V145:V155" si="207">I145*3600/($DL$138*$DL$139)*$O$143*$O$139</f>
        <v>0</v>
      </c>
      <c r="W145" s="314">
        <f t="shared" ref="W145:W155" si="208">(I145*3600)/($DL$140*$I$138)*$O$143*$O$139</f>
        <v>0</v>
      </c>
      <c r="X145" s="315">
        <f t="shared" si="204"/>
        <v>0</v>
      </c>
      <c r="Y145" s="315">
        <f t="shared" si="205"/>
        <v>0</v>
      </c>
      <c r="Z145" s="315">
        <f t="shared" si="206"/>
        <v>0</v>
      </c>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86"/>
      <c r="BE145" s="165" t="s">
        <v>15</v>
      </c>
      <c r="BF145" s="23">
        <v>21</v>
      </c>
      <c r="BG145" s="23">
        <v>6</v>
      </c>
      <c r="BH145" s="23">
        <v>4</v>
      </c>
      <c r="BI145" s="90" t="b">
        <f t="shared" si="137"/>
        <v>1</v>
      </c>
      <c r="BJ145" s="46" t="b">
        <f t="shared" si="172"/>
        <v>0</v>
      </c>
      <c r="BK145" s="166">
        <f t="shared" si="173"/>
        <v>0</v>
      </c>
      <c r="BL145" s="175">
        <f>IF(SUM(BL$140:BL144,BK145)&gt;$BN$4,0,BK145)</f>
        <v>0</v>
      </c>
      <c r="BM145" s="23">
        <f t="shared" si="122"/>
        <v>0</v>
      </c>
      <c r="BN145" s="90">
        <f t="shared" si="123"/>
        <v>0</v>
      </c>
      <c r="BO145" s="24">
        <f t="shared" si="142"/>
        <v>0</v>
      </c>
      <c r="BP145" s="168">
        <f t="shared" si="174"/>
        <v>0</v>
      </c>
      <c r="BQ145" s="171">
        <f t="shared" si="175"/>
        <v>0</v>
      </c>
      <c r="BR145" s="170">
        <f t="shared" si="124"/>
        <v>0</v>
      </c>
      <c r="BS145" s="168">
        <f t="shared" si="176"/>
        <v>0</v>
      </c>
      <c r="BT145" s="171">
        <f t="shared" si="177"/>
        <v>0</v>
      </c>
      <c r="BU145" s="170">
        <f t="shared" si="125"/>
        <v>0</v>
      </c>
      <c r="BV145" s="168">
        <f t="shared" si="178"/>
        <v>0</v>
      </c>
      <c r="BW145" s="171">
        <f t="shared" si="179"/>
        <v>0</v>
      </c>
      <c r="BX145" s="170">
        <f t="shared" si="126"/>
        <v>0</v>
      </c>
      <c r="BY145" s="168">
        <f t="shared" si="180"/>
        <v>0</v>
      </c>
      <c r="BZ145" s="171">
        <f t="shared" si="181"/>
        <v>0</v>
      </c>
      <c r="CA145" s="170">
        <f t="shared" si="127"/>
        <v>0</v>
      </c>
      <c r="CB145" s="90">
        <f t="shared" si="182"/>
        <v>0</v>
      </c>
      <c r="CC145" s="171">
        <f t="shared" si="183"/>
        <v>0</v>
      </c>
      <c r="CD145" s="170">
        <f t="shared" si="128"/>
        <v>0</v>
      </c>
      <c r="CE145" s="90">
        <f t="shared" si="184"/>
        <v>0</v>
      </c>
      <c r="CF145" s="171">
        <f t="shared" si="185"/>
        <v>0</v>
      </c>
      <c r="CG145" s="170">
        <f t="shared" si="129"/>
        <v>0</v>
      </c>
      <c r="CH145" s="90">
        <f t="shared" si="186"/>
        <v>0</v>
      </c>
      <c r="CI145" s="171">
        <f t="shared" si="187"/>
        <v>0</v>
      </c>
      <c r="CJ145" s="170">
        <f t="shared" si="130"/>
        <v>0</v>
      </c>
      <c r="CK145" s="90">
        <f t="shared" si="188"/>
        <v>0</v>
      </c>
      <c r="CL145" s="171">
        <f t="shared" si="189"/>
        <v>0</v>
      </c>
      <c r="CM145" s="170">
        <f t="shared" si="131"/>
        <v>0</v>
      </c>
      <c r="CN145" s="90">
        <f t="shared" si="190"/>
        <v>0</v>
      </c>
      <c r="CO145" s="171">
        <f t="shared" si="191"/>
        <v>0</v>
      </c>
      <c r="CP145" s="170">
        <f t="shared" si="132"/>
        <v>0</v>
      </c>
      <c r="CQ145" s="90">
        <f t="shared" si="192"/>
        <v>0</v>
      </c>
      <c r="CR145" s="171">
        <f t="shared" si="193"/>
        <v>0</v>
      </c>
      <c r="CS145" s="170">
        <f t="shared" si="133"/>
        <v>0</v>
      </c>
      <c r="CT145" s="90">
        <f t="shared" si="194"/>
        <v>0</v>
      </c>
      <c r="CU145" s="171">
        <f t="shared" si="195"/>
        <v>0</v>
      </c>
      <c r="CV145" s="170">
        <f t="shared" si="134"/>
        <v>0</v>
      </c>
      <c r="CW145" s="90">
        <f t="shared" si="196"/>
        <v>0</v>
      </c>
      <c r="CX145" s="171">
        <f t="shared" si="197"/>
        <v>0</v>
      </c>
      <c r="CY145" s="170">
        <f t="shared" si="135"/>
        <v>0</v>
      </c>
      <c r="CZ145" s="168">
        <f t="shared" si="136"/>
        <v>0</v>
      </c>
      <c r="DA145" s="172">
        <f t="shared" si="138"/>
        <v>0</v>
      </c>
      <c r="DB145" s="173">
        <f t="shared" si="139"/>
        <v>0</v>
      </c>
      <c r="DC145" s="172">
        <f t="shared" si="171"/>
        <v>0</v>
      </c>
      <c r="DD145" s="172">
        <f t="shared" si="171"/>
        <v>0</v>
      </c>
      <c r="DE145" s="172">
        <f t="shared" si="171"/>
        <v>0</v>
      </c>
      <c r="DF145" s="172">
        <f t="shared" si="141"/>
        <v>0</v>
      </c>
      <c r="DG145" s="1"/>
      <c r="DH145" s="1"/>
      <c r="DI145" s="3"/>
      <c r="DJ145" s="8"/>
      <c r="DK145" s="8"/>
      <c r="DL145" s="8"/>
      <c r="DM145" s="8"/>
      <c r="DN145" s="8"/>
      <c r="DO145" s="8"/>
      <c r="DP145" s="8"/>
      <c r="DQ145" s="3"/>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row>
    <row r="146" spans="1:155" s="565" customFormat="1" ht="15" customHeight="1">
      <c r="A146" s="181"/>
      <c r="B146" s="3"/>
      <c r="C146" s="3"/>
      <c r="D146" s="3"/>
      <c r="E146" s="3"/>
      <c r="F146" s="3"/>
      <c r="G146" s="70"/>
      <c r="H146" s="194" t="s">
        <v>177</v>
      </c>
      <c r="I146" s="310"/>
      <c r="J146" s="195">
        <f t="shared" si="198"/>
        <v>0</v>
      </c>
      <c r="K146" s="70"/>
      <c r="L146" s="70"/>
      <c r="M146" s="70"/>
      <c r="N146" s="14"/>
      <c r="O146" s="27" t="s">
        <v>13</v>
      </c>
      <c r="P146" s="23">
        <f t="shared" si="199"/>
        <v>0</v>
      </c>
      <c r="Q146" s="312">
        <f t="shared" si="200"/>
        <v>0</v>
      </c>
      <c r="R146" s="23">
        <f t="shared" si="201"/>
        <v>0</v>
      </c>
      <c r="S146" s="23">
        <f t="shared" si="202"/>
        <v>0</v>
      </c>
      <c r="T146" s="23">
        <f t="shared" si="203"/>
        <v>0</v>
      </c>
      <c r="U146" s="14"/>
      <c r="V146" s="313">
        <f t="shared" si="207"/>
        <v>0</v>
      </c>
      <c r="W146" s="314">
        <f t="shared" si="208"/>
        <v>0</v>
      </c>
      <c r="X146" s="315">
        <f t="shared" si="204"/>
        <v>0</v>
      </c>
      <c r="Y146" s="315">
        <f t="shared" si="205"/>
        <v>0</v>
      </c>
      <c r="Z146" s="315">
        <f t="shared" si="206"/>
        <v>0</v>
      </c>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86"/>
      <c r="BE146" s="165" t="s">
        <v>15</v>
      </c>
      <c r="BF146" s="23">
        <v>21</v>
      </c>
      <c r="BG146" s="23">
        <v>7</v>
      </c>
      <c r="BH146" s="23">
        <v>5</v>
      </c>
      <c r="BI146" s="90" t="b">
        <f t="shared" si="137"/>
        <v>1</v>
      </c>
      <c r="BJ146" s="46" t="b">
        <f t="shared" si="172"/>
        <v>0</v>
      </c>
      <c r="BK146" s="166">
        <f t="shared" si="173"/>
        <v>0</v>
      </c>
      <c r="BL146" s="175">
        <f>IF(SUM(BL$140:BL145,BK146)&gt;$BN$4,0,BK146)</f>
        <v>0</v>
      </c>
      <c r="BM146" s="23">
        <f t="shared" si="122"/>
        <v>0</v>
      </c>
      <c r="BN146" s="90">
        <f t="shared" si="123"/>
        <v>0</v>
      </c>
      <c r="BO146" s="24">
        <f t="shared" si="142"/>
        <v>0</v>
      </c>
      <c r="BP146" s="168">
        <f t="shared" si="174"/>
        <v>0</v>
      </c>
      <c r="BQ146" s="171">
        <f t="shared" si="175"/>
        <v>0</v>
      </c>
      <c r="BR146" s="170">
        <f t="shared" si="124"/>
        <v>0</v>
      </c>
      <c r="BS146" s="168">
        <f t="shared" si="176"/>
        <v>0</v>
      </c>
      <c r="BT146" s="171">
        <f t="shared" si="177"/>
        <v>0</v>
      </c>
      <c r="BU146" s="170">
        <f t="shared" si="125"/>
        <v>0</v>
      </c>
      <c r="BV146" s="168">
        <f t="shared" si="178"/>
        <v>0</v>
      </c>
      <c r="BW146" s="171">
        <f t="shared" si="179"/>
        <v>0</v>
      </c>
      <c r="BX146" s="170">
        <f t="shared" si="126"/>
        <v>0</v>
      </c>
      <c r="BY146" s="168">
        <f t="shared" si="180"/>
        <v>0</v>
      </c>
      <c r="BZ146" s="171">
        <f t="shared" si="181"/>
        <v>0</v>
      </c>
      <c r="CA146" s="170">
        <f t="shared" si="127"/>
        <v>0</v>
      </c>
      <c r="CB146" s="90">
        <f t="shared" si="182"/>
        <v>0</v>
      </c>
      <c r="CC146" s="171">
        <f t="shared" si="183"/>
        <v>0</v>
      </c>
      <c r="CD146" s="170">
        <f t="shared" si="128"/>
        <v>0</v>
      </c>
      <c r="CE146" s="90">
        <f t="shared" si="184"/>
        <v>0</v>
      </c>
      <c r="CF146" s="171">
        <f t="shared" si="185"/>
        <v>0</v>
      </c>
      <c r="CG146" s="170">
        <f t="shared" si="129"/>
        <v>0</v>
      </c>
      <c r="CH146" s="90">
        <f t="shared" si="186"/>
        <v>0</v>
      </c>
      <c r="CI146" s="171">
        <f t="shared" si="187"/>
        <v>0</v>
      </c>
      <c r="CJ146" s="170">
        <f t="shared" si="130"/>
        <v>0</v>
      </c>
      <c r="CK146" s="90">
        <f t="shared" si="188"/>
        <v>0</v>
      </c>
      <c r="CL146" s="171">
        <f t="shared" si="189"/>
        <v>0</v>
      </c>
      <c r="CM146" s="170">
        <f t="shared" si="131"/>
        <v>0</v>
      </c>
      <c r="CN146" s="90">
        <f t="shared" si="190"/>
        <v>0</v>
      </c>
      <c r="CO146" s="171">
        <f t="shared" si="191"/>
        <v>0</v>
      </c>
      <c r="CP146" s="170">
        <f t="shared" si="132"/>
        <v>0</v>
      </c>
      <c r="CQ146" s="90">
        <f t="shared" si="192"/>
        <v>0</v>
      </c>
      <c r="CR146" s="171">
        <f t="shared" si="193"/>
        <v>0</v>
      </c>
      <c r="CS146" s="170">
        <f t="shared" si="133"/>
        <v>0</v>
      </c>
      <c r="CT146" s="90">
        <f t="shared" si="194"/>
        <v>0</v>
      </c>
      <c r="CU146" s="171">
        <f t="shared" si="195"/>
        <v>0</v>
      </c>
      <c r="CV146" s="170">
        <f t="shared" si="134"/>
        <v>0</v>
      </c>
      <c r="CW146" s="90">
        <f t="shared" si="196"/>
        <v>0</v>
      </c>
      <c r="CX146" s="171">
        <f t="shared" si="197"/>
        <v>0</v>
      </c>
      <c r="CY146" s="170">
        <f t="shared" si="135"/>
        <v>0</v>
      </c>
      <c r="CZ146" s="168">
        <f t="shared" si="136"/>
        <v>0</v>
      </c>
      <c r="DA146" s="172">
        <f t="shared" si="138"/>
        <v>0</v>
      </c>
      <c r="DB146" s="173">
        <f t="shared" si="139"/>
        <v>0</v>
      </c>
      <c r="DC146" s="172">
        <f t="shared" si="171"/>
        <v>0</v>
      </c>
      <c r="DD146" s="172">
        <f t="shared" si="171"/>
        <v>0</v>
      </c>
      <c r="DE146" s="172">
        <f t="shared" si="171"/>
        <v>0</v>
      </c>
      <c r="DF146" s="172">
        <f t="shared" si="141"/>
        <v>0</v>
      </c>
      <c r="DG146" s="1"/>
      <c r="DH146" s="1"/>
      <c r="DI146" s="3"/>
      <c r="DJ146" s="8"/>
      <c r="DK146" s="8"/>
      <c r="DL146" s="8"/>
      <c r="DM146" s="8"/>
      <c r="DN146" s="8"/>
      <c r="DO146" s="8"/>
      <c r="DP146" s="8"/>
      <c r="DQ146" s="3"/>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row>
    <row r="147" spans="1:155" s="565" customFormat="1" ht="15" customHeight="1">
      <c r="A147" s="230"/>
      <c r="B147" s="3"/>
      <c r="C147" s="3"/>
      <c r="D147" s="3"/>
      <c r="E147" s="70"/>
      <c r="F147" s="70"/>
      <c r="G147" s="186"/>
      <c r="H147" s="194" t="s">
        <v>180</v>
      </c>
      <c r="I147" s="310"/>
      <c r="J147" s="195">
        <f t="shared" si="198"/>
        <v>0</v>
      </c>
      <c r="K147" s="186"/>
      <c r="L147" s="186"/>
      <c r="M147" s="70"/>
      <c r="N147" s="14"/>
      <c r="O147" s="27" t="s">
        <v>14</v>
      </c>
      <c r="P147" s="23">
        <f t="shared" si="199"/>
        <v>0</v>
      </c>
      <c r="Q147" s="312">
        <f t="shared" si="200"/>
        <v>0</v>
      </c>
      <c r="R147" s="23">
        <f t="shared" si="201"/>
        <v>0</v>
      </c>
      <c r="S147" s="23">
        <f t="shared" si="202"/>
        <v>0</v>
      </c>
      <c r="T147" s="23">
        <f t="shared" si="203"/>
        <v>0</v>
      </c>
      <c r="U147" s="14"/>
      <c r="V147" s="313">
        <f t="shared" si="207"/>
        <v>0</v>
      </c>
      <c r="W147" s="314">
        <f t="shared" si="208"/>
        <v>0</v>
      </c>
      <c r="X147" s="315">
        <f t="shared" si="204"/>
        <v>0</v>
      </c>
      <c r="Y147" s="315">
        <f t="shared" si="205"/>
        <v>0</v>
      </c>
      <c r="Z147" s="315">
        <f t="shared" si="206"/>
        <v>0</v>
      </c>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86"/>
      <c r="BE147" s="165" t="s">
        <v>15</v>
      </c>
      <c r="BF147" s="23">
        <v>21</v>
      </c>
      <c r="BG147" s="23">
        <v>8</v>
      </c>
      <c r="BH147" s="23">
        <v>6</v>
      </c>
      <c r="BI147" s="90" t="b">
        <f t="shared" si="137"/>
        <v>0</v>
      </c>
      <c r="BJ147" s="46" t="b">
        <f t="shared" si="172"/>
        <v>0</v>
      </c>
      <c r="BK147" s="166">
        <f t="shared" si="173"/>
        <v>0</v>
      </c>
      <c r="BL147" s="175">
        <f>IF(SUM(BL$140:BL146,BK147)&gt;$BN$4,0,BK147)</f>
        <v>0</v>
      </c>
      <c r="BM147" s="23">
        <f t="shared" si="122"/>
        <v>0</v>
      </c>
      <c r="BN147" s="90">
        <f t="shared" si="123"/>
        <v>0</v>
      </c>
      <c r="BO147" s="24">
        <f t="shared" si="142"/>
        <v>0</v>
      </c>
      <c r="BP147" s="168">
        <f t="shared" si="174"/>
        <v>0</v>
      </c>
      <c r="BQ147" s="171">
        <f t="shared" si="175"/>
        <v>0</v>
      </c>
      <c r="BR147" s="170">
        <f t="shared" si="124"/>
        <v>0</v>
      </c>
      <c r="BS147" s="168">
        <f t="shared" si="176"/>
        <v>0</v>
      </c>
      <c r="BT147" s="171">
        <f t="shared" si="177"/>
        <v>0</v>
      </c>
      <c r="BU147" s="170">
        <f t="shared" si="125"/>
        <v>0</v>
      </c>
      <c r="BV147" s="168">
        <f t="shared" si="178"/>
        <v>0</v>
      </c>
      <c r="BW147" s="171">
        <f t="shared" si="179"/>
        <v>0</v>
      </c>
      <c r="BX147" s="170">
        <f t="shared" si="126"/>
        <v>0</v>
      </c>
      <c r="BY147" s="168">
        <f t="shared" si="180"/>
        <v>0</v>
      </c>
      <c r="BZ147" s="171">
        <f t="shared" si="181"/>
        <v>0</v>
      </c>
      <c r="CA147" s="170">
        <f t="shared" si="127"/>
        <v>0</v>
      </c>
      <c r="CB147" s="90">
        <f t="shared" si="182"/>
        <v>0</v>
      </c>
      <c r="CC147" s="171">
        <f t="shared" si="183"/>
        <v>0</v>
      </c>
      <c r="CD147" s="170">
        <f t="shared" si="128"/>
        <v>0</v>
      </c>
      <c r="CE147" s="90">
        <f t="shared" si="184"/>
        <v>0</v>
      </c>
      <c r="CF147" s="171">
        <f t="shared" si="185"/>
        <v>0</v>
      </c>
      <c r="CG147" s="170">
        <f t="shared" si="129"/>
        <v>0</v>
      </c>
      <c r="CH147" s="90">
        <f t="shared" si="186"/>
        <v>0</v>
      </c>
      <c r="CI147" s="171">
        <f t="shared" si="187"/>
        <v>0</v>
      </c>
      <c r="CJ147" s="170">
        <f t="shared" si="130"/>
        <v>0</v>
      </c>
      <c r="CK147" s="90">
        <f t="shared" si="188"/>
        <v>0</v>
      </c>
      <c r="CL147" s="171">
        <f t="shared" si="189"/>
        <v>0</v>
      </c>
      <c r="CM147" s="170">
        <f t="shared" si="131"/>
        <v>0</v>
      </c>
      <c r="CN147" s="90">
        <f t="shared" si="190"/>
        <v>0</v>
      </c>
      <c r="CO147" s="171">
        <f t="shared" si="191"/>
        <v>0</v>
      </c>
      <c r="CP147" s="170">
        <f t="shared" si="132"/>
        <v>0</v>
      </c>
      <c r="CQ147" s="90">
        <f t="shared" si="192"/>
        <v>0</v>
      </c>
      <c r="CR147" s="171">
        <f t="shared" si="193"/>
        <v>0</v>
      </c>
      <c r="CS147" s="170">
        <f t="shared" si="133"/>
        <v>0</v>
      </c>
      <c r="CT147" s="90">
        <f t="shared" si="194"/>
        <v>0</v>
      </c>
      <c r="CU147" s="171">
        <f t="shared" si="195"/>
        <v>0</v>
      </c>
      <c r="CV147" s="170">
        <f t="shared" si="134"/>
        <v>0</v>
      </c>
      <c r="CW147" s="90">
        <f t="shared" si="196"/>
        <v>0</v>
      </c>
      <c r="CX147" s="171">
        <f t="shared" si="197"/>
        <v>0</v>
      </c>
      <c r="CY147" s="170">
        <f t="shared" si="135"/>
        <v>0</v>
      </c>
      <c r="CZ147" s="168">
        <f t="shared" si="136"/>
        <v>0</v>
      </c>
      <c r="DA147" s="172">
        <f t="shared" si="138"/>
        <v>0</v>
      </c>
      <c r="DB147" s="173">
        <f t="shared" si="139"/>
        <v>0</v>
      </c>
      <c r="DC147" s="172">
        <f t="shared" si="171"/>
        <v>0</v>
      </c>
      <c r="DD147" s="172">
        <f t="shared" si="171"/>
        <v>0</v>
      </c>
      <c r="DE147" s="172">
        <f t="shared" si="171"/>
        <v>0</v>
      </c>
      <c r="DF147" s="172">
        <f t="shared" si="141"/>
        <v>0</v>
      </c>
      <c r="DG147" s="1"/>
      <c r="DH147" s="1"/>
      <c r="DI147" s="3"/>
      <c r="DJ147" s="8"/>
      <c r="DK147" s="8"/>
      <c r="DL147" s="8"/>
      <c r="DM147" s="8"/>
      <c r="DN147" s="8"/>
      <c r="DO147" s="8"/>
      <c r="DP147" s="8"/>
      <c r="DQ147" s="3"/>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row>
    <row r="148" spans="1:155" s="565" customFormat="1" ht="15" customHeight="1">
      <c r="A148" s="181"/>
      <c r="B148" s="3"/>
      <c r="C148" s="3"/>
      <c r="D148" s="3"/>
      <c r="E148" s="3"/>
      <c r="F148" s="3"/>
      <c r="G148" s="3"/>
      <c r="H148" s="194" t="s">
        <v>15</v>
      </c>
      <c r="I148" s="310"/>
      <c r="J148" s="195">
        <f t="shared" si="198"/>
        <v>0</v>
      </c>
      <c r="K148" s="186"/>
      <c r="L148" s="186"/>
      <c r="M148" s="70"/>
      <c r="N148" s="14"/>
      <c r="O148" s="27" t="s">
        <v>15</v>
      </c>
      <c r="P148" s="23">
        <f t="shared" si="199"/>
        <v>0</v>
      </c>
      <c r="Q148" s="312">
        <f t="shared" si="200"/>
        <v>0</v>
      </c>
      <c r="R148" s="23">
        <f t="shared" si="201"/>
        <v>0</v>
      </c>
      <c r="S148" s="23">
        <f t="shared" si="202"/>
        <v>0</v>
      </c>
      <c r="T148" s="23">
        <f t="shared" si="203"/>
        <v>0</v>
      </c>
      <c r="U148" s="14"/>
      <c r="V148" s="313">
        <f t="shared" si="207"/>
        <v>0</v>
      </c>
      <c r="W148" s="314">
        <f t="shared" si="208"/>
        <v>0</v>
      </c>
      <c r="X148" s="315">
        <f t="shared" si="204"/>
        <v>0</v>
      </c>
      <c r="Y148" s="315">
        <f t="shared" si="205"/>
        <v>0</v>
      </c>
      <c r="Z148" s="315">
        <f t="shared" si="206"/>
        <v>0</v>
      </c>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86"/>
      <c r="BE148" s="165" t="s">
        <v>15</v>
      </c>
      <c r="BF148" s="23">
        <v>21</v>
      </c>
      <c r="BG148" s="23">
        <v>9</v>
      </c>
      <c r="BH148" s="23">
        <v>7</v>
      </c>
      <c r="BI148" s="90" t="b">
        <f t="shared" si="137"/>
        <v>0</v>
      </c>
      <c r="BJ148" s="46" t="b">
        <f t="shared" si="172"/>
        <v>0</v>
      </c>
      <c r="BK148" s="166">
        <f t="shared" si="173"/>
        <v>0</v>
      </c>
      <c r="BL148" s="175">
        <f>IF(SUM(BL$140:BL147,BK148)&gt;$BN$4,0,BK148)</f>
        <v>0</v>
      </c>
      <c r="BM148" s="23">
        <f t="shared" ref="BM148:BM211" si="209">BL148*$BJ$13</f>
        <v>0</v>
      </c>
      <c r="BN148" s="90">
        <f t="shared" ref="BN148:BN211" si="210">$BJ$14*(BL148&gt;0)</f>
        <v>0</v>
      </c>
      <c r="BO148" s="24">
        <f t="shared" si="142"/>
        <v>0</v>
      </c>
      <c r="BP148" s="168">
        <f t="shared" si="174"/>
        <v>0</v>
      </c>
      <c r="BQ148" s="171">
        <f t="shared" si="175"/>
        <v>0</v>
      </c>
      <c r="BR148" s="170">
        <f t="shared" ref="BR148:BR211" si="211">IF(BP148-(BQ148*$BR$17)&gt;0,BP148-(BQ148*$BR$17),0)</f>
        <v>0</v>
      </c>
      <c r="BS148" s="168">
        <f t="shared" si="176"/>
        <v>0</v>
      </c>
      <c r="BT148" s="171">
        <f t="shared" si="177"/>
        <v>0</v>
      </c>
      <c r="BU148" s="170">
        <f t="shared" ref="BU148:BU211" si="212">IF(BS148-(BT148*BU$17)&gt;0,BS148-(BT148*BU$17),0)</f>
        <v>0</v>
      </c>
      <c r="BV148" s="168">
        <f t="shared" si="178"/>
        <v>0</v>
      </c>
      <c r="BW148" s="171">
        <f t="shared" si="179"/>
        <v>0</v>
      </c>
      <c r="BX148" s="170">
        <f t="shared" ref="BX148:BX211" si="213">IF(BV148-(BW148*BX$17)&gt;0,BV148-(BW148*BX$17),0)</f>
        <v>0</v>
      </c>
      <c r="BY148" s="168">
        <f t="shared" si="180"/>
        <v>0</v>
      </c>
      <c r="BZ148" s="171">
        <f t="shared" si="181"/>
        <v>0</v>
      </c>
      <c r="CA148" s="170">
        <f t="shared" ref="CA148:CA211" si="214">IF(BY148-(BZ148*CA$17)&gt;0,BY148-(BZ148*CA$17),0)</f>
        <v>0</v>
      </c>
      <c r="CB148" s="90">
        <f t="shared" si="182"/>
        <v>0</v>
      </c>
      <c r="CC148" s="171">
        <f t="shared" si="183"/>
        <v>0</v>
      </c>
      <c r="CD148" s="170">
        <f t="shared" ref="CD148:CD211" si="215">IF(CB148-(CC148*CD$17)&gt;0,CB148-(CC148*CD$17),0)</f>
        <v>0</v>
      </c>
      <c r="CE148" s="90">
        <f t="shared" si="184"/>
        <v>0</v>
      </c>
      <c r="CF148" s="171">
        <f t="shared" si="185"/>
        <v>0</v>
      </c>
      <c r="CG148" s="170">
        <f t="shared" ref="CG148:CG211" si="216">IF(CE148-(CF148*CG$17)&gt;0,CE148-(CF148*CG$17),0)</f>
        <v>0</v>
      </c>
      <c r="CH148" s="90">
        <f t="shared" si="186"/>
        <v>0</v>
      </c>
      <c r="CI148" s="171">
        <f t="shared" si="187"/>
        <v>0</v>
      </c>
      <c r="CJ148" s="170">
        <f t="shared" ref="CJ148:CJ211" si="217">IF(CH148-(CI148*CJ$17)&gt;0,CH148-(CI148*CJ$17),0)</f>
        <v>0</v>
      </c>
      <c r="CK148" s="90">
        <f t="shared" si="188"/>
        <v>0</v>
      </c>
      <c r="CL148" s="171">
        <f t="shared" si="189"/>
        <v>0</v>
      </c>
      <c r="CM148" s="170">
        <f t="shared" ref="CM148:CM211" si="218">IF(CK148-(CL148*CM$17)&gt;0,CK148-(CL148*CM$17),0)</f>
        <v>0</v>
      </c>
      <c r="CN148" s="90">
        <f t="shared" si="190"/>
        <v>0</v>
      </c>
      <c r="CO148" s="171">
        <f t="shared" si="191"/>
        <v>0</v>
      </c>
      <c r="CP148" s="170">
        <f t="shared" ref="CP148:CP211" si="219">IF(CN148-(CO148*CP$17)&gt;0,CN148-(CO148*CP$17),0)</f>
        <v>0</v>
      </c>
      <c r="CQ148" s="90">
        <f t="shared" si="192"/>
        <v>0</v>
      </c>
      <c r="CR148" s="171">
        <f t="shared" si="193"/>
        <v>0</v>
      </c>
      <c r="CS148" s="170">
        <f t="shared" ref="CS148:CS211" si="220">IF(CQ148-(CR148*CS$17)&gt;0,CQ148-(CR148*CS$17),0)</f>
        <v>0</v>
      </c>
      <c r="CT148" s="90">
        <f t="shared" si="194"/>
        <v>0</v>
      </c>
      <c r="CU148" s="171">
        <f t="shared" si="195"/>
        <v>0</v>
      </c>
      <c r="CV148" s="170">
        <f t="shared" ref="CV148:CV211" si="221">IF(CT148-(CU148*CV$17)&gt;0,CT148-(CU148*CV$17),0)</f>
        <v>0</v>
      </c>
      <c r="CW148" s="90">
        <f t="shared" si="196"/>
        <v>0</v>
      </c>
      <c r="CX148" s="171">
        <f t="shared" si="197"/>
        <v>0</v>
      </c>
      <c r="CY148" s="170">
        <f t="shared" ref="CY148:CY211" si="222">IF(CW148-(CX148*CY$17)&gt;0,CW148-(CX148*CY$17),0)</f>
        <v>0</v>
      </c>
      <c r="CZ148" s="168">
        <f t="shared" ref="CZ148:CZ211" si="223">BO148</f>
        <v>0</v>
      </c>
      <c r="DA148" s="172">
        <f t="shared" si="138"/>
        <v>0</v>
      </c>
      <c r="DB148" s="173">
        <f t="shared" si="139"/>
        <v>0</v>
      </c>
      <c r="DC148" s="172">
        <f t="shared" si="171"/>
        <v>0</v>
      </c>
      <c r="DD148" s="172">
        <f t="shared" si="171"/>
        <v>0</v>
      </c>
      <c r="DE148" s="172">
        <f t="shared" si="171"/>
        <v>0</v>
      </c>
      <c r="DF148" s="172">
        <f t="shared" si="141"/>
        <v>0</v>
      </c>
      <c r="DG148" s="1"/>
      <c r="DH148" s="1"/>
      <c r="DI148" s="3"/>
      <c r="DJ148" s="8"/>
      <c r="DK148" s="8"/>
      <c r="DL148" s="8"/>
      <c r="DM148" s="8"/>
      <c r="DN148" s="8"/>
      <c r="DO148" s="8"/>
      <c r="DP148" s="8"/>
      <c r="DQ148" s="3"/>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row>
    <row r="149" spans="1:155" s="565" customFormat="1" ht="15" customHeight="1">
      <c r="A149" s="181"/>
      <c r="B149" s="3"/>
      <c r="C149" s="3"/>
      <c r="D149" s="3"/>
      <c r="E149" s="3"/>
      <c r="F149" s="3"/>
      <c r="G149" s="3"/>
      <c r="H149" s="194" t="s">
        <v>185</v>
      </c>
      <c r="I149" s="310"/>
      <c r="J149" s="195">
        <f t="shared" si="198"/>
        <v>0</v>
      </c>
      <c r="K149" s="186"/>
      <c r="L149" s="186"/>
      <c r="M149" s="70"/>
      <c r="N149" s="14"/>
      <c r="O149" s="27" t="s">
        <v>16</v>
      </c>
      <c r="P149" s="23">
        <f t="shared" si="199"/>
        <v>0</v>
      </c>
      <c r="Q149" s="312">
        <f t="shared" si="200"/>
        <v>0</v>
      </c>
      <c r="R149" s="23">
        <f t="shared" si="201"/>
        <v>0</v>
      </c>
      <c r="S149" s="23">
        <f t="shared" si="202"/>
        <v>0</v>
      </c>
      <c r="T149" s="23">
        <f t="shared" si="203"/>
        <v>0</v>
      </c>
      <c r="U149" s="14"/>
      <c r="V149" s="313">
        <f t="shared" si="207"/>
        <v>0</v>
      </c>
      <c r="W149" s="314">
        <f t="shared" si="208"/>
        <v>0</v>
      </c>
      <c r="X149" s="315">
        <f t="shared" si="204"/>
        <v>0</v>
      </c>
      <c r="Y149" s="315">
        <f t="shared" si="205"/>
        <v>0</v>
      </c>
      <c r="Z149" s="315">
        <f t="shared" si="206"/>
        <v>0</v>
      </c>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86"/>
      <c r="BE149" s="165" t="s">
        <v>15</v>
      </c>
      <c r="BF149" s="23">
        <v>21</v>
      </c>
      <c r="BG149" s="23">
        <v>10</v>
      </c>
      <c r="BH149" s="23">
        <v>1</v>
      </c>
      <c r="BI149" s="90" t="b">
        <f t="shared" ref="BI149:BI212" si="224">BH149&lt;=5</f>
        <v>1</v>
      </c>
      <c r="BJ149" s="46" t="b">
        <f t="shared" si="172"/>
        <v>0</v>
      </c>
      <c r="BK149" s="166">
        <f t="shared" si="173"/>
        <v>0</v>
      </c>
      <c r="BL149" s="175">
        <f>IF(SUM(BL$140:BL148,BK149)&gt;$BN$4,0,BK149)</f>
        <v>0</v>
      </c>
      <c r="BM149" s="23">
        <f t="shared" si="209"/>
        <v>0</v>
      </c>
      <c r="BN149" s="90">
        <f t="shared" si="210"/>
        <v>0</v>
      </c>
      <c r="BO149" s="24">
        <f t="shared" si="142"/>
        <v>0</v>
      </c>
      <c r="BP149" s="168">
        <f t="shared" si="174"/>
        <v>0</v>
      </c>
      <c r="BQ149" s="171">
        <f t="shared" si="175"/>
        <v>0</v>
      </c>
      <c r="BR149" s="170">
        <f t="shared" si="211"/>
        <v>0</v>
      </c>
      <c r="BS149" s="168">
        <f t="shared" si="176"/>
        <v>0</v>
      </c>
      <c r="BT149" s="171">
        <f t="shared" si="177"/>
        <v>0</v>
      </c>
      <c r="BU149" s="170">
        <f t="shared" si="212"/>
        <v>0</v>
      </c>
      <c r="BV149" s="168">
        <f t="shared" si="178"/>
        <v>0</v>
      </c>
      <c r="BW149" s="171">
        <f t="shared" si="179"/>
        <v>0</v>
      </c>
      <c r="BX149" s="170">
        <f t="shared" si="213"/>
        <v>0</v>
      </c>
      <c r="BY149" s="168">
        <f t="shared" si="180"/>
        <v>0</v>
      </c>
      <c r="BZ149" s="171">
        <f t="shared" si="181"/>
        <v>0</v>
      </c>
      <c r="CA149" s="170">
        <f t="shared" si="214"/>
        <v>0</v>
      </c>
      <c r="CB149" s="90">
        <f t="shared" si="182"/>
        <v>0</v>
      </c>
      <c r="CC149" s="171">
        <f t="shared" si="183"/>
        <v>0</v>
      </c>
      <c r="CD149" s="170">
        <f t="shared" si="215"/>
        <v>0</v>
      </c>
      <c r="CE149" s="90">
        <f t="shared" si="184"/>
        <v>0</v>
      </c>
      <c r="CF149" s="171">
        <f t="shared" si="185"/>
        <v>0</v>
      </c>
      <c r="CG149" s="170">
        <f t="shared" si="216"/>
        <v>0</v>
      </c>
      <c r="CH149" s="90">
        <f t="shared" si="186"/>
        <v>0</v>
      </c>
      <c r="CI149" s="171">
        <f t="shared" si="187"/>
        <v>0</v>
      </c>
      <c r="CJ149" s="170">
        <f t="shared" si="217"/>
        <v>0</v>
      </c>
      <c r="CK149" s="90">
        <f t="shared" si="188"/>
        <v>0</v>
      </c>
      <c r="CL149" s="171">
        <f t="shared" si="189"/>
        <v>0</v>
      </c>
      <c r="CM149" s="170">
        <f t="shared" si="218"/>
        <v>0</v>
      </c>
      <c r="CN149" s="90">
        <f t="shared" si="190"/>
        <v>0</v>
      </c>
      <c r="CO149" s="171">
        <f t="shared" si="191"/>
        <v>0</v>
      </c>
      <c r="CP149" s="170">
        <f t="shared" si="219"/>
        <v>0</v>
      </c>
      <c r="CQ149" s="90">
        <f t="shared" si="192"/>
        <v>0</v>
      </c>
      <c r="CR149" s="171">
        <f t="shared" si="193"/>
        <v>0</v>
      </c>
      <c r="CS149" s="170">
        <f t="shared" si="220"/>
        <v>0</v>
      </c>
      <c r="CT149" s="90">
        <f t="shared" si="194"/>
        <v>0</v>
      </c>
      <c r="CU149" s="171">
        <f t="shared" si="195"/>
        <v>0</v>
      </c>
      <c r="CV149" s="170">
        <f t="shared" si="221"/>
        <v>0</v>
      </c>
      <c r="CW149" s="90">
        <f t="shared" si="196"/>
        <v>0</v>
      </c>
      <c r="CX149" s="171">
        <f t="shared" si="197"/>
        <v>0</v>
      </c>
      <c r="CY149" s="170">
        <f t="shared" si="222"/>
        <v>0</v>
      </c>
      <c r="CZ149" s="168">
        <f t="shared" si="223"/>
        <v>0</v>
      </c>
      <c r="DA149" s="172">
        <f t="shared" ref="DA149:DA212" si="225">BR149+BU149+BX149+CA149+CD149+CG149+CJ149+CM149+CP149+CS149+CV149+CY149</f>
        <v>0</v>
      </c>
      <c r="DB149" s="173">
        <f t="shared" ref="DB149:DB212" si="226">CZ149-DA149</f>
        <v>0</v>
      </c>
      <c r="DC149" s="172">
        <f t="shared" ref="DC149:DE164" si="227">IF(DC148+$DB149&lt;0,0,IF(DC148+$DB149&gt;$F$405,$F$405,DC148+$DB149))</f>
        <v>0</v>
      </c>
      <c r="DD149" s="172">
        <f t="shared" si="227"/>
        <v>0</v>
      </c>
      <c r="DE149" s="172">
        <f t="shared" si="227"/>
        <v>0</v>
      </c>
      <c r="DF149" s="172">
        <f t="shared" si="141"/>
        <v>0</v>
      </c>
      <c r="DG149" s="1"/>
      <c r="DH149" s="1"/>
      <c r="DI149" s="3"/>
      <c r="DJ149" s="8"/>
      <c r="DK149" s="8"/>
      <c r="DL149" s="8"/>
      <c r="DM149" s="8"/>
      <c r="DN149" s="8"/>
      <c r="DO149" s="8"/>
      <c r="DP149" s="8"/>
      <c r="DQ149" s="3"/>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row>
    <row r="150" spans="1:155" s="565" customFormat="1" ht="15" customHeight="1">
      <c r="A150" s="181"/>
      <c r="B150" s="3"/>
      <c r="C150" s="3"/>
      <c r="D150" s="3"/>
      <c r="E150" s="3"/>
      <c r="F150" s="3"/>
      <c r="G150" s="3"/>
      <c r="H150" s="194" t="s">
        <v>186</v>
      </c>
      <c r="I150" s="310"/>
      <c r="J150" s="195">
        <f t="shared" si="198"/>
        <v>0</v>
      </c>
      <c r="K150" s="186"/>
      <c r="L150" s="186"/>
      <c r="M150" s="70"/>
      <c r="N150" s="14"/>
      <c r="O150" s="27" t="s">
        <v>17</v>
      </c>
      <c r="P150" s="23">
        <f t="shared" si="199"/>
        <v>0</v>
      </c>
      <c r="Q150" s="312">
        <f t="shared" si="200"/>
        <v>0</v>
      </c>
      <c r="R150" s="23">
        <f t="shared" si="201"/>
        <v>0</v>
      </c>
      <c r="S150" s="23">
        <f t="shared" si="202"/>
        <v>0</v>
      </c>
      <c r="T150" s="23">
        <f t="shared" si="203"/>
        <v>0</v>
      </c>
      <c r="U150" s="14"/>
      <c r="V150" s="313">
        <f t="shared" si="207"/>
        <v>0</v>
      </c>
      <c r="W150" s="314">
        <f t="shared" si="208"/>
        <v>0</v>
      </c>
      <c r="X150" s="315">
        <f t="shared" si="204"/>
        <v>0</v>
      </c>
      <c r="Y150" s="315">
        <f t="shared" si="205"/>
        <v>0</v>
      </c>
      <c r="Z150" s="315">
        <f t="shared" si="206"/>
        <v>0</v>
      </c>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86"/>
      <c r="BE150" s="165" t="s">
        <v>15</v>
      </c>
      <c r="BF150" s="23">
        <v>21</v>
      </c>
      <c r="BG150" s="23">
        <v>11</v>
      </c>
      <c r="BH150" s="23">
        <v>2</v>
      </c>
      <c r="BI150" s="90" t="b">
        <f t="shared" si="224"/>
        <v>1</v>
      </c>
      <c r="BJ150" s="46" t="b">
        <f t="shared" si="172"/>
        <v>0</v>
      </c>
      <c r="BK150" s="166">
        <f t="shared" si="173"/>
        <v>0</v>
      </c>
      <c r="BL150" s="175">
        <f>IF(SUM(BL$140:BL149,BK150)&gt;$BN$4,0,BK150)</f>
        <v>0</v>
      </c>
      <c r="BM150" s="23">
        <f t="shared" si="209"/>
        <v>0</v>
      </c>
      <c r="BN150" s="90">
        <f t="shared" si="210"/>
        <v>0</v>
      </c>
      <c r="BO150" s="24">
        <f t="shared" si="142"/>
        <v>0</v>
      </c>
      <c r="BP150" s="168">
        <f t="shared" si="174"/>
        <v>0</v>
      </c>
      <c r="BQ150" s="171">
        <f t="shared" si="175"/>
        <v>0</v>
      </c>
      <c r="BR150" s="170">
        <f t="shared" si="211"/>
        <v>0</v>
      </c>
      <c r="BS150" s="168">
        <f t="shared" si="176"/>
        <v>0</v>
      </c>
      <c r="BT150" s="171">
        <f t="shared" si="177"/>
        <v>0</v>
      </c>
      <c r="BU150" s="170">
        <f t="shared" si="212"/>
        <v>0</v>
      </c>
      <c r="BV150" s="168">
        <f t="shared" si="178"/>
        <v>0</v>
      </c>
      <c r="BW150" s="171">
        <f t="shared" si="179"/>
        <v>0</v>
      </c>
      <c r="BX150" s="170">
        <f t="shared" si="213"/>
        <v>0</v>
      </c>
      <c r="BY150" s="168">
        <f t="shared" si="180"/>
        <v>0</v>
      </c>
      <c r="BZ150" s="171">
        <f t="shared" si="181"/>
        <v>0</v>
      </c>
      <c r="CA150" s="170">
        <f t="shared" si="214"/>
        <v>0</v>
      </c>
      <c r="CB150" s="90">
        <f t="shared" si="182"/>
        <v>0</v>
      </c>
      <c r="CC150" s="171">
        <f t="shared" si="183"/>
        <v>0</v>
      </c>
      <c r="CD150" s="170">
        <f t="shared" si="215"/>
        <v>0</v>
      </c>
      <c r="CE150" s="90">
        <f t="shared" si="184"/>
        <v>0</v>
      </c>
      <c r="CF150" s="171">
        <f t="shared" si="185"/>
        <v>0</v>
      </c>
      <c r="CG150" s="170">
        <f t="shared" si="216"/>
        <v>0</v>
      </c>
      <c r="CH150" s="90">
        <f t="shared" si="186"/>
        <v>0</v>
      </c>
      <c r="CI150" s="171">
        <f t="shared" si="187"/>
        <v>0</v>
      </c>
      <c r="CJ150" s="170">
        <f t="shared" si="217"/>
        <v>0</v>
      </c>
      <c r="CK150" s="90">
        <f t="shared" si="188"/>
        <v>0</v>
      </c>
      <c r="CL150" s="171">
        <f t="shared" si="189"/>
        <v>0</v>
      </c>
      <c r="CM150" s="170">
        <f t="shared" si="218"/>
        <v>0</v>
      </c>
      <c r="CN150" s="90">
        <f t="shared" si="190"/>
        <v>0</v>
      </c>
      <c r="CO150" s="171">
        <f t="shared" si="191"/>
        <v>0</v>
      </c>
      <c r="CP150" s="170">
        <f t="shared" si="219"/>
        <v>0</v>
      </c>
      <c r="CQ150" s="90">
        <f t="shared" si="192"/>
        <v>0</v>
      </c>
      <c r="CR150" s="171">
        <f t="shared" si="193"/>
        <v>0</v>
      </c>
      <c r="CS150" s="170">
        <f t="shared" si="220"/>
        <v>0</v>
      </c>
      <c r="CT150" s="90">
        <f t="shared" si="194"/>
        <v>0</v>
      </c>
      <c r="CU150" s="171">
        <f t="shared" si="195"/>
        <v>0</v>
      </c>
      <c r="CV150" s="170">
        <f t="shared" si="221"/>
        <v>0</v>
      </c>
      <c r="CW150" s="90">
        <f t="shared" si="196"/>
        <v>0</v>
      </c>
      <c r="CX150" s="171">
        <f t="shared" si="197"/>
        <v>0</v>
      </c>
      <c r="CY150" s="170">
        <f t="shared" si="222"/>
        <v>0</v>
      </c>
      <c r="CZ150" s="168">
        <f t="shared" si="223"/>
        <v>0</v>
      </c>
      <c r="DA150" s="172">
        <f t="shared" si="225"/>
        <v>0</v>
      </c>
      <c r="DB150" s="173">
        <f t="shared" si="226"/>
        <v>0</v>
      </c>
      <c r="DC150" s="172">
        <f t="shared" si="227"/>
        <v>0</v>
      </c>
      <c r="DD150" s="172">
        <f t="shared" si="227"/>
        <v>0</v>
      </c>
      <c r="DE150" s="172">
        <f t="shared" si="227"/>
        <v>0</v>
      </c>
      <c r="DF150" s="172">
        <f t="shared" ref="DF150:DF213" si="228">IF(DA150-(DE149+CZ150)&lt;0,0,DA150-(DE149+CZ150))</f>
        <v>0</v>
      </c>
      <c r="DG150" s="1"/>
      <c r="DH150" s="1"/>
      <c r="DI150" s="3"/>
      <c r="DJ150" s="8"/>
      <c r="DK150" s="8"/>
      <c r="DL150" s="8"/>
      <c r="DM150" s="8"/>
      <c r="DN150" s="8"/>
      <c r="DO150" s="8"/>
      <c r="DP150" s="8"/>
      <c r="DQ150" s="3"/>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row>
    <row r="151" spans="1:155" s="565" customFormat="1" ht="15" customHeight="1">
      <c r="A151" s="197"/>
      <c r="B151" s="3"/>
      <c r="C151" s="3"/>
      <c r="D151" s="3"/>
      <c r="E151" s="3"/>
      <c r="F151" s="3"/>
      <c r="G151" s="3"/>
      <c r="H151" s="194" t="s">
        <v>187</v>
      </c>
      <c r="I151" s="310"/>
      <c r="J151" s="195">
        <f t="shared" si="198"/>
        <v>0</v>
      </c>
      <c r="K151" s="186"/>
      <c r="L151" s="186"/>
      <c r="M151" s="70"/>
      <c r="N151" s="14"/>
      <c r="O151" s="27" t="s">
        <v>18</v>
      </c>
      <c r="P151" s="23">
        <f t="shared" si="199"/>
        <v>0</v>
      </c>
      <c r="Q151" s="312">
        <f t="shared" si="200"/>
        <v>0</v>
      </c>
      <c r="R151" s="23">
        <f t="shared" si="201"/>
        <v>0</v>
      </c>
      <c r="S151" s="23">
        <f t="shared" si="202"/>
        <v>0</v>
      </c>
      <c r="T151" s="23">
        <f t="shared" si="203"/>
        <v>0</v>
      </c>
      <c r="U151" s="14"/>
      <c r="V151" s="313">
        <f t="shared" si="207"/>
        <v>0</v>
      </c>
      <c r="W151" s="314">
        <f t="shared" si="208"/>
        <v>0</v>
      </c>
      <c r="X151" s="315">
        <f t="shared" si="204"/>
        <v>0</v>
      </c>
      <c r="Y151" s="315">
        <f t="shared" si="205"/>
        <v>0</v>
      </c>
      <c r="Z151" s="315">
        <f t="shared" si="206"/>
        <v>0</v>
      </c>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86"/>
      <c r="BE151" s="165" t="s">
        <v>15</v>
      </c>
      <c r="BF151" s="23">
        <v>21</v>
      </c>
      <c r="BG151" s="23">
        <v>12</v>
      </c>
      <c r="BH151" s="23">
        <v>3</v>
      </c>
      <c r="BI151" s="90" t="b">
        <f t="shared" si="224"/>
        <v>1</v>
      </c>
      <c r="BJ151" s="46" t="b">
        <f t="shared" si="172"/>
        <v>0</v>
      </c>
      <c r="BK151" s="166">
        <f t="shared" si="173"/>
        <v>0</v>
      </c>
      <c r="BL151" s="175">
        <f>IF(SUM(BL$140:BL150,BK151)&gt;$BN$4,0,BK151)</f>
        <v>0</v>
      </c>
      <c r="BM151" s="23">
        <f t="shared" si="209"/>
        <v>0</v>
      </c>
      <c r="BN151" s="90">
        <f t="shared" si="210"/>
        <v>0</v>
      </c>
      <c r="BO151" s="24">
        <f t="shared" si="142"/>
        <v>0</v>
      </c>
      <c r="BP151" s="168">
        <f t="shared" si="174"/>
        <v>0</v>
      </c>
      <c r="BQ151" s="171">
        <f t="shared" si="175"/>
        <v>0</v>
      </c>
      <c r="BR151" s="170">
        <f t="shared" si="211"/>
        <v>0</v>
      </c>
      <c r="BS151" s="168">
        <f t="shared" si="176"/>
        <v>0</v>
      </c>
      <c r="BT151" s="171">
        <f t="shared" si="177"/>
        <v>0</v>
      </c>
      <c r="BU151" s="170">
        <f t="shared" si="212"/>
        <v>0</v>
      </c>
      <c r="BV151" s="168">
        <f t="shared" si="178"/>
        <v>0</v>
      </c>
      <c r="BW151" s="171">
        <f t="shared" si="179"/>
        <v>0</v>
      </c>
      <c r="BX151" s="170">
        <f t="shared" si="213"/>
        <v>0</v>
      </c>
      <c r="BY151" s="168">
        <f t="shared" si="180"/>
        <v>0</v>
      </c>
      <c r="BZ151" s="171">
        <f t="shared" si="181"/>
        <v>0</v>
      </c>
      <c r="CA151" s="170">
        <f t="shared" si="214"/>
        <v>0</v>
      </c>
      <c r="CB151" s="90">
        <f t="shared" si="182"/>
        <v>0</v>
      </c>
      <c r="CC151" s="171">
        <f t="shared" si="183"/>
        <v>0</v>
      </c>
      <c r="CD151" s="170">
        <f t="shared" si="215"/>
        <v>0</v>
      </c>
      <c r="CE151" s="90">
        <f t="shared" si="184"/>
        <v>0</v>
      </c>
      <c r="CF151" s="171">
        <f t="shared" si="185"/>
        <v>0</v>
      </c>
      <c r="CG151" s="170">
        <f t="shared" si="216"/>
        <v>0</v>
      </c>
      <c r="CH151" s="90">
        <f t="shared" si="186"/>
        <v>0</v>
      </c>
      <c r="CI151" s="171">
        <f t="shared" si="187"/>
        <v>0</v>
      </c>
      <c r="CJ151" s="170">
        <f t="shared" si="217"/>
        <v>0</v>
      </c>
      <c r="CK151" s="90">
        <f t="shared" si="188"/>
        <v>0</v>
      </c>
      <c r="CL151" s="171">
        <f t="shared" si="189"/>
        <v>0</v>
      </c>
      <c r="CM151" s="170">
        <f t="shared" si="218"/>
        <v>0</v>
      </c>
      <c r="CN151" s="90">
        <f t="shared" si="190"/>
        <v>0</v>
      </c>
      <c r="CO151" s="171">
        <f t="shared" si="191"/>
        <v>0</v>
      </c>
      <c r="CP151" s="170">
        <f t="shared" si="219"/>
        <v>0</v>
      </c>
      <c r="CQ151" s="90">
        <f t="shared" si="192"/>
        <v>0</v>
      </c>
      <c r="CR151" s="171">
        <f t="shared" si="193"/>
        <v>0</v>
      </c>
      <c r="CS151" s="170">
        <f t="shared" si="220"/>
        <v>0</v>
      </c>
      <c r="CT151" s="90">
        <f t="shared" si="194"/>
        <v>0</v>
      </c>
      <c r="CU151" s="171">
        <f t="shared" si="195"/>
        <v>0</v>
      </c>
      <c r="CV151" s="170">
        <f t="shared" si="221"/>
        <v>0</v>
      </c>
      <c r="CW151" s="90">
        <f t="shared" si="196"/>
        <v>0</v>
      </c>
      <c r="CX151" s="171">
        <f t="shared" si="197"/>
        <v>0</v>
      </c>
      <c r="CY151" s="170">
        <f t="shared" si="222"/>
        <v>0</v>
      </c>
      <c r="CZ151" s="168">
        <f t="shared" si="223"/>
        <v>0</v>
      </c>
      <c r="DA151" s="172">
        <f t="shared" si="225"/>
        <v>0</v>
      </c>
      <c r="DB151" s="173">
        <f t="shared" si="226"/>
        <v>0</v>
      </c>
      <c r="DC151" s="172">
        <f t="shared" si="227"/>
        <v>0</v>
      </c>
      <c r="DD151" s="172">
        <f t="shared" si="227"/>
        <v>0</v>
      </c>
      <c r="DE151" s="172">
        <f t="shared" si="227"/>
        <v>0</v>
      </c>
      <c r="DF151" s="172">
        <f>IF(DA151-(DE150+CZ151)&lt;0,0,DA151-(DE150+CZ151))</f>
        <v>0</v>
      </c>
      <c r="DG151" s="1"/>
      <c r="DH151" s="1"/>
      <c r="DI151" s="3"/>
      <c r="DJ151" s="8"/>
      <c r="DK151" s="8"/>
      <c r="DL151" s="8"/>
      <c r="DM151" s="8"/>
      <c r="DN151" s="8"/>
      <c r="DO151" s="8"/>
      <c r="DP151" s="8"/>
      <c r="DQ151" s="3"/>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row>
    <row r="152" spans="1:155" s="565" customFormat="1" ht="15" customHeight="1">
      <c r="A152" s="197"/>
      <c r="B152" s="3"/>
      <c r="C152" s="3"/>
      <c r="D152" s="3"/>
      <c r="E152" s="3"/>
      <c r="F152" s="3"/>
      <c r="G152" s="3"/>
      <c r="H152" s="194" t="s">
        <v>188</v>
      </c>
      <c r="I152" s="310"/>
      <c r="J152" s="195">
        <f t="shared" si="198"/>
        <v>0</v>
      </c>
      <c r="K152" s="186"/>
      <c r="L152" s="186"/>
      <c r="M152" s="70"/>
      <c r="N152" s="14"/>
      <c r="O152" s="27" t="s">
        <v>19</v>
      </c>
      <c r="P152" s="23">
        <f t="shared" si="199"/>
        <v>0</v>
      </c>
      <c r="Q152" s="312">
        <f t="shared" si="200"/>
        <v>0</v>
      </c>
      <c r="R152" s="23">
        <f t="shared" si="201"/>
        <v>0</v>
      </c>
      <c r="S152" s="23">
        <f t="shared" si="202"/>
        <v>0</v>
      </c>
      <c r="T152" s="23">
        <f t="shared" si="203"/>
        <v>0</v>
      </c>
      <c r="U152" s="14"/>
      <c r="V152" s="313">
        <f t="shared" si="207"/>
        <v>0</v>
      </c>
      <c r="W152" s="314">
        <f t="shared" si="208"/>
        <v>0</v>
      </c>
      <c r="X152" s="315">
        <f t="shared" si="204"/>
        <v>0</v>
      </c>
      <c r="Y152" s="315">
        <f t="shared" si="205"/>
        <v>0</v>
      </c>
      <c r="Z152" s="315">
        <f t="shared" si="206"/>
        <v>0</v>
      </c>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86"/>
      <c r="BE152" s="165" t="s">
        <v>15</v>
      </c>
      <c r="BF152" s="23">
        <v>21</v>
      </c>
      <c r="BG152" s="23">
        <v>13</v>
      </c>
      <c r="BH152" s="23">
        <v>4</v>
      </c>
      <c r="BI152" s="90" t="b">
        <f t="shared" si="224"/>
        <v>1</v>
      </c>
      <c r="BJ152" s="46" t="b">
        <f t="shared" si="172"/>
        <v>0</v>
      </c>
      <c r="BK152" s="166">
        <f t="shared" si="173"/>
        <v>0</v>
      </c>
      <c r="BL152" s="175">
        <f>IF(SUM(BL$140:BL151,BK152)&gt;$BN$4,0,BK152)</f>
        <v>0</v>
      </c>
      <c r="BM152" s="23">
        <f t="shared" si="209"/>
        <v>0</v>
      </c>
      <c r="BN152" s="90">
        <f t="shared" si="210"/>
        <v>0</v>
      </c>
      <c r="BO152" s="24">
        <f t="shared" si="142"/>
        <v>0</v>
      </c>
      <c r="BP152" s="168">
        <f t="shared" si="174"/>
        <v>0</v>
      </c>
      <c r="BQ152" s="171">
        <f t="shared" si="175"/>
        <v>0</v>
      </c>
      <c r="BR152" s="170">
        <f t="shared" si="211"/>
        <v>0</v>
      </c>
      <c r="BS152" s="168">
        <f t="shared" si="176"/>
        <v>0</v>
      </c>
      <c r="BT152" s="171">
        <f t="shared" si="177"/>
        <v>0</v>
      </c>
      <c r="BU152" s="170">
        <f t="shared" si="212"/>
        <v>0</v>
      </c>
      <c r="BV152" s="168">
        <f t="shared" si="178"/>
        <v>0</v>
      </c>
      <c r="BW152" s="171">
        <f t="shared" si="179"/>
        <v>0</v>
      </c>
      <c r="BX152" s="170">
        <f t="shared" si="213"/>
        <v>0</v>
      </c>
      <c r="BY152" s="168">
        <f t="shared" si="180"/>
        <v>0</v>
      </c>
      <c r="BZ152" s="171">
        <f t="shared" si="181"/>
        <v>0</v>
      </c>
      <c r="CA152" s="170">
        <f t="shared" si="214"/>
        <v>0</v>
      </c>
      <c r="CB152" s="90">
        <f t="shared" si="182"/>
        <v>0</v>
      </c>
      <c r="CC152" s="171">
        <f t="shared" si="183"/>
        <v>0</v>
      </c>
      <c r="CD152" s="170">
        <f t="shared" si="215"/>
        <v>0</v>
      </c>
      <c r="CE152" s="90">
        <f t="shared" si="184"/>
        <v>0</v>
      </c>
      <c r="CF152" s="171">
        <f t="shared" si="185"/>
        <v>0</v>
      </c>
      <c r="CG152" s="170">
        <f t="shared" si="216"/>
        <v>0</v>
      </c>
      <c r="CH152" s="90">
        <f t="shared" si="186"/>
        <v>0</v>
      </c>
      <c r="CI152" s="171">
        <f t="shared" si="187"/>
        <v>0</v>
      </c>
      <c r="CJ152" s="170">
        <f t="shared" si="217"/>
        <v>0</v>
      </c>
      <c r="CK152" s="90">
        <f t="shared" si="188"/>
        <v>0</v>
      </c>
      <c r="CL152" s="171">
        <f t="shared" si="189"/>
        <v>0</v>
      </c>
      <c r="CM152" s="170">
        <f t="shared" si="218"/>
        <v>0</v>
      </c>
      <c r="CN152" s="90">
        <f t="shared" si="190"/>
        <v>0</v>
      </c>
      <c r="CO152" s="171">
        <f t="shared" si="191"/>
        <v>0</v>
      </c>
      <c r="CP152" s="170">
        <f t="shared" si="219"/>
        <v>0</v>
      </c>
      <c r="CQ152" s="90">
        <f t="shared" si="192"/>
        <v>0</v>
      </c>
      <c r="CR152" s="171">
        <f t="shared" si="193"/>
        <v>0</v>
      </c>
      <c r="CS152" s="170">
        <f t="shared" si="220"/>
        <v>0</v>
      </c>
      <c r="CT152" s="90">
        <f t="shared" si="194"/>
        <v>0</v>
      </c>
      <c r="CU152" s="171">
        <f t="shared" si="195"/>
        <v>0</v>
      </c>
      <c r="CV152" s="170">
        <f t="shared" si="221"/>
        <v>0</v>
      </c>
      <c r="CW152" s="90">
        <f t="shared" si="196"/>
        <v>0</v>
      </c>
      <c r="CX152" s="171">
        <f t="shared" si="197"/>
        <v>0</v>
      </c>
      <c r="CY152" s="170">
        <f t="shared" si="222"/>
        <v>0</v>
      </c>
      <c r="CZ152" s="168">
        <f t="shared" si="223"/>
        <v>0</v>
      </c>
      <c r="DA152" s="172">
        <f t="shared" si="225"/>
        <v>0</v>
      </c>
      <c r="DB152" s="173">
        <f t="shared" si="226"/>
        <v>0</v>
      </c>
      <c r="DC152" s="172">
        <f t="shared" si="227"/>
        <v>0</v>
      </c>
      <c r="DD152" s="172">
        <f t="shared" si="227"/>
        <v>0</v>
      </c>
      <c r="DE152" s="172">
        <f t="shared" si="227"/>
        <v>0</v>
      </c>
      <c r="DF152" s="172">
        <f t="shared" si="228"/>
        <v>0</v>
      </c>
      <c r="DG152" s="1"/>
      <c r="DH152" s="1"/>
      <c r="DI152" s="3"/>
      <c r="DJ152" s="8"/>
      <c r="DK152" s="8"/>
      <c r="DL152" s="8"/>
      <c r="DM152" s="8"/>
      <c r="DN152" s="8"/>
      <c r="DO152" s="8"/>
      <c r="DP152" s="8"/>
      <c r="DQ152" s="3"/>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row>
    <row r="153" spans="1:155" s="565" customFormat="1" ht="15" customHeight="1">
      <c r="A153" s="197"/>
      <c r="B153" s="3"/>
      <c r="C153" s="3"/>
      <c r="D153" s="3"/>
      <c r="E153" s="3"/>
      <c r="F153" s="3"/>
      <c r="G153" s="3"/>
      <c r="H153" s="194" t="s">
        <v>189</v>
      </c>
      <c r="I153" s="310"/>
      <c r="J153" s="195">
        <f t="shared" si="198"/>
        <v>0</v>
      </c>
      <c r="K153" s="186"/>
      <c r="L153" s="186"/>
      <c r="M153" s="70"/>
      <c r="N153" s="14"/>
      <c r="O153" s="27" t="s">
        <v>20</v>
      </c>
      <c r="P153" s="23">
        <f t="shared" si="199"/>
        <v>0</v>
      </c>
      <c r="Q153" s="312">
        <f t="shared" si="200"/>
        <v>0</v>
      </c>
      <c r="R153" s="23">
        <f t="shared" si="201"/>
        <v>0</v>
      </c>
      <c r="S153" s="23">
        <f t="shared" si="202"/>
        <v>0</v>
      </c>
      <c r="T153" s="23">
        <f t="shared" si="203"/>
        <v>0</v>
      </c>
      <c r="U153" s="14"/>
      <c r="V153" s="313">
        <f t="shared" si="207"/>
        <v>0</v>
      </c>
      <c r="W153" s="314">
        <f t="shared" si="208"/>
        <v>0</v>
      </c>
      <c r="X153" s="315">
        <f t="shared" si="204"/>
        <v>0</v>
      </c>
      <c r="Y153" s="315">
        <f t="shared" si="205"/>
        <v>0</v>
      </c>
      <c r="Z153" s="315">
        <f t="shared" si="206"/>
        <v>0</v>
      </c>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276"/>
      <c r="BE153" s="165" t="s">
        <v>15</v>
      </c>
      <c r="BF153" s="23">
        <v>21</v>
      </c>
      <c r="BG153" s="23">
        <v>14</v>
      </c>
      <c r="BH153" s="23">
        <v>5</v>
      </c>
      <c r="BI153" s="90" t="b">
        <f t="shared" si="224"/>
        <v>1</v>
      </c>
      <c r="BJ153" s="46" t="b">
        <f t="shared" si="172"/>
        <v>0</v>
      </c>
      <c r="BK153" s="166">
        <f t="shared" si="173"/>
        <v>0</v>
      </c>
      <c r="BL153" s="175">
        <f>IF(SUM(BL$140:BL152,BK153)&gt;$BN$4,0,BK153)</f>
        <v>0</v>
      </c>
      <c r="BM153" s="23">
        <f t="shared" si="209"/>
        <v>0</v>
      </c>
      <c r="BN153" s="90">
        <f t="shared" si="210"/>
        <v>0</v>
      </c>
      <c r="BO153" s="24">
        <f t="shared" ref="BO153:BO216" si="229">BM153-BN153</f>
        <v>0</v>
      </c>
      <c r="BP153" s="168">
        <f t="shared" si="174"/>
        <v>0</v>
      </c>
      <c r="BQ153" s="171">
        <f t="shared" si="175"/>
        <v>0</v>
      </c>
      <c r="BR153" s="170">
        <f t="shared" si="211"/>
        <v>0</v>
      </c>
      <c r="BS153" s="168">
        <f t="shared" si="176"/>
        <v>0</v>
      </c>
      <c r="BT153" s="171">
        <f t="shared" si="177"/>
        <v>0</v>
      </c>
      <c r="BU153" s="170">
        <f t="shared" si="212"/>
        <v>0</v>
      </c>
      <c r="BV153" s="168">
        <f t="shared" si="178"/>
        <v>0</v>
      </c>
      <c r="BW153" s="171">
        <f t="shared" si="179"/>
        <v>0</v>
      </c>
      <c r="BX153" s="170">
        <f t="shared" si="213"/>
        <v>0</v>
      </c>
      <c r="BY153" s="168">
        <f t="shared" si="180"/>
        <v>0</v>
      </c>
      <c r="BZ153" s="171">
        <f t="shared" si="181"/>
        <v>0</v>
      </c>
      <c r="CA153" s="170">
        <f t="shared" si="214"/>
        <v>0</v>
      </c>
      <c r="CB153" s="90">
        <f t="shared" si="182"/>
        <v>0</v>
      </c>
      <c r="CC153" s="171">
        <f t="shared" si="183"/>
        <v>0</v>
      </c>
      <c r="CD153" s="170">
        <f t="shared" si="215"/>
        <v>0</v>
      </c>
      <c r="CE153" s="90">
        <f t="shared" si="184"/>
        <v>0</v>
      </c>
      <c r="CF153" s="171">
        <f t="shared" si="185"/>
        <v>0</v>
      </c>
      <c r="CG153" s="170">
        <f t="shared" si="216"/>
        <v>0</v>
      </c>
      <c r="CH153" s="90">
        <f t="shared" si="186"/>
        <v>0</v>
      </c>
      <c r="CI153" s="171">
        <f t="shared" si="187"/>
        <v>0</v>
      </c>
      <c r="CJ153" s="170">
        <f t="shared" si="217"/>
        <v>0</v>
      </c>
      <c r="CK153" s="90">
        <f t="shared" si="188"/>
        <v>0</v>
      </c>
      <c r="CL153" s="171">
        <f t="shared" si="189"/>
        <v>0</v>
      </c>
      <c r="CM153" s="170">
        <f t="shared" si="218"/>
        <v>0</v>
      </c>
      <c r="CN153" s="90">
        <f t="shared" si="190"/>
        <v>0</v>
      </c>
      <c r="CO153" s="171">
        <f t="shared" si="191"/>
        <v>0</v>
      </c>
      <c r="CP153" s="170">
        <f t="shared" si="219"/>
        <v>0</v>
      </c>
      <c r="CQ153" s="90">
        <f t="shared" si="192"/>
        <v>0</v>
      </c>
      <c r="CR153" s="171">
        <f t="shared" si="193"/>
        <v>0</v>
      </c>
      <c r="CS153" s="170">
        <f t="shared" si="220"/>
        <v>0</v>
      </c>
      <c r="CT153" s="90">
        <f t="shared" si="194"/>
        <v>0</v>
      </c>
      <c r="CU153" s="171">
        <f t="shared" si="195"/>
        <v>0</v>
      </c>
      <c r="CV153" s="170">
        <f t="shared" si="221"/>
        <v>0</v>
      </c>
      <c r="CW153" s="90">
        <f t="shared" si="196"/>
        <v>0</v>
      </c>
      <c r="CX153" s="171">
        <f t="shared" si="197"/>
        <v>0</v>
      </c>
      <c r="CY153" s="170">
        <f t="shared" si="222"/>
        <v>0</v>
      </c>
      <c r="CZ153" s="168">
        <f t="shared" si="223"/>
        <v>0</v>
      </c>
      <c r="DA153" s="172">
        <f t="shared" si="225"/>
        <v>0</v>
      </c>
      <c r="DB153" s="173">
        <f t="shared" si="226"/>
        <v>0</v>
      </c>
      <c r="DC153" s="172">
        <f t="shared" si="227"/>
        <v>0</v>
      </c>
      <c r="DD153" s="172">
        <f t="shared" si="227"/>
        <v>0</v>
      </c>
      <c r="DE153" s="172">
        <f t="shared" si="227"/>
        <v>0</v>
      </c>
      <c r="DF153" s="172">
        <f t="shared" si="228"/>
        <v>0</v>
      </c>
      <c r="DG153" s="1"/>
      <c r="DH153" s="1"/>
      <c r="DI153" s="3"/>
      <c r="DJ153" s="8"/>
      <c r="DK153" s="8"/>
      <c r="DL153" s="8"/>
      <c r="DM153" s="8"/>
      <c r="DN153" s="8"/>
      <c r="DO153" s="8"/>
      <c r="DP153" s="8"/>
      <c r="DQ153" s="3"/>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row>
    <row r="154" spans="1:155" s="565" customFormat="1" ht="15" customHeight="1">
      <c r="A154" s="197"/>
      <c r="B154" s="3"/>
      <c r="C154" s="3"/>
      <c r="D154" s="3"/>
      <c r="E154" s="3"/>
      <c r="F154" s="3"/>
      <c r="G154" s="3"/>
      <c r="H154" s="194" t="s">
        <v>190</v>
      </c>
      <c r="I154" s="310"/>
      <c r="J154" s="195">
        <f t="shared" si="198"/>
        <v>0</v>
      </c>
      <c r="K154" s="186"/>
      <c r="L154" s="186"/>
      <c r="M154" s="70"/>
      <c r="N154" s="14"/>
      <c r="O154" s="27" t="s">
        <v>21</v>
      </c>
      <c r="P154" s="23">
        <f t="shared" si="199"/>
        <v>0</v>
      </c>
      <c r="Q154" s="312">
        <f t="shared" si="200"/>
        <v>0</v>
      </c>
      <c r="R154" s="23">
        <f t="shared" si="201"/>
        <v>0</v>
      </c>
      <c r="S154" s="23">
        <f t="shared" si="202"/>
        <v>0</v>
      </c>
      <c r="T154" s="23">
        <f t="shared" si="203"/>
        <v>0</v>
      </c>
      <c r="U154" s="14"/>
      <c r="V154" s="313">
        <f t="shared" si="207"/>
        <v>0</v>
      </c>
      <c r="W154" s="314">
        <f t="shared" si="208"/>
        <v>0</v>
      </c>
      <c r="X154" s="315">
        <f t="shared" si="204"/>
        <v>0</v>
      </c>
      <c r="Y154" s="315">
        <f t="shared" si="205"/>
        <v>0</v>
      </c>
      <c r="Z154" s="315">
        <f t="shared" si="206"/>
        <v>0</v>
      </c>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70"/>
      <c r="BE154" s="165" t="s">
        <v>15</v>
      </c>
      <c r="BF154" s="23">
        <v>21</v>
      </c>
      <c r="BG154" s="23">
        <v>15</v>
      </c>
      <c r="BH154" s="23">
        <v>6</v>
      </c>
      <c r="BI154" s="90" t="b">
        <f t="shared" si="224"/>
        <v>0</v>
      </c>
      <c r="BJ154" s="46" t="b">
        <f t="shared" si="172"/>
        <v>0</v>
      </c>
      <c r="BK154" s="166">
        <f t="shared" si="173"/>
        <v>0</v>
      </c>
      <c r="BL154" s="175">
        <f>IF(SUM(BL$140:BL153,BK154)&gt;$BN$4,0,BK154)</f>
        <v>0</v>
      </c>
      <c r="BM154" s="23">
        <f t="shared" si="209"/>
        <v>0</v>
      </c>
      <c r="BN154" s="90">
        <f t="shared" si="210"/>
        <v>0</v>
      </c>
      <c r="BO154" s="24">
        <f t="shared" si="229"/>
        <v>0</v>
      </c>
      <c r="BP154" s="168">
        <f t="shared" si="174"/>
        <v>0</v>
      </c>
      <c r="BQ154" s="171">
        <f t="shared" si="175"/>
        <v>0</v>
      </c>
      <c r="BR154" s="170">
        <f t="shared" si="211"/>
        <v>0</v>
      </c>
      <c r="BS154" s="168">
        <f t="shared" si="176"/>
        <v>0</v>
      </c>
      <c r="BT154" s="171">
        <f t="shared" si="177"/>
        <v>0</v>
      </c>
      <c r="BU154" s="170">
        <f t="shared" si="212"/>
        <v>0</v>
      </c>
      <c r="BV154" s="168">
        <f t="shared" si="178"/>
        <v>0</v>
      </c>
      <c r="BW154" s="171">
        <f t="shared" si="179"/>
        <v>0</v>
      </c>
      <c r="BX154" s="170">
        <f t="shared" si="213"/>
        <v>0</v>
      </c>
      <c r="BY154" s="168">
        <f t="shared" si="180"/>
        <v>0</v>
      </c>
      <c r="BZ154" s="171">
        <f t="shared" si="181"/>
        <v>0</v>
      </c>
      <c r="CA154" s="170">
        <f t="shared" si="214"/>
        <v>0</v>
      </c>
      <c r="CB154" s="90">
        <f t="shared" si="182"/>
        <v>0</v>
      </c>
      <c r="CC154" s="171">
        <f t="shared" si="183"/>
        <v>0</v>
      </c>
      <c r="CD154" s="170">
        <f t="shared" si="215"/>
        <v>0</v>
      </c>
      <c r="CE154" s="90">
        <f t="shared" si="184"/>
        <v>0</v>
      </c>
      <c r="CF154" s="171">
        <f t="shared" si="185"/>
        <v>0</v>
      </c>
      <c r="CG154" s="170">
        <f t="shared" si="216"/>
        <v>0</v>
      </c>
      <c r="CH154" s="90">
        <f t="shared" si="186"/>
        <v>0</v>
      </c>
      <c r="CI154" s="171">
        <f t="shared" si="187"/>
        <v>0</v>
      </c>
      <c r="CJ154" s="170">
        <f t="shared" si="217"/>
        <v>0</v>
      </c>
      <c r="CK154" s="90">
        <f t="shared" si="188"/>
        <v>0</v>
      </c>
      <c r="CL154" s="171">
        <f t="shared" si="189"/>
        <v>0</v>
      </c>
      <c r="CM154" s="170">
        <f t="shared" si="218"/>
        <v>0</v>
      </c>
      <c r="CN154" s="90">
        <f t="shared" si="190"/>
        <v>0</v>
      </c>
      <c r="CO154" s="171">
        <f t="shared" si="191"/>
        <v>0</v>
      </c>
      <c r="CP154" s="170">
        <f t="shared" si="219"/>
        <v>0</v>
      </c>
      <c r="CQ154" s="90">
        <f t="shared" si="192"/>
        <v>0</v>
      </c>
      <c r="CR154" s="171">
        <f t="shared" si="193"/>
        <v>0</v>
      </c>
      <c r="CS154" s="170">
        <f t="shared" si="220"/>
        <v>0</v>
      </c>
      <c r="CT154" s="90">
        <f t="shared" si="194"/>
        <v>0</v>
      </c>
      <c r="CU154" s="171">
        <f t="shared" si="195"/>
        <v>0</v>
      </c>
      <c r="CV154" s="170">
        <f t="shared" si="221"/>
        <v>0</v>
      </c>
      <c r="CW154" s="90">
        <f t="shared" si="196"/>
        <v>0</v>
      </c>
      <c r="CX154" s="171">
        <f t="shared" si="197"/>
        <v>0</v>
      </c>
      <c r="CY154" s="170">
        <f t="shared" si="222"/>
        <v>0</v>
      </c>
      <c r="CZ154" s="168">
        <f t="shared" si="223"/>
        <v>0</v>
      </c>
      <c r="DA154" s="172">
        <f t="shared" si="225"/>
        <v>0</v>
      </c>
      <c r="DB154" s="173">
        <f t="shared" si="226"/>
        <v>0</v>
      </c>
      <c r="DC154" s="172">
        <f t="shared" si="227"/>
        <v>0</v>
      </c>
      <c r="DD154" s="172">
        <f t="shared" si="227"/>
        <v>0</v>
      </c>
      <c r="DE154" s="172">
        <f t="shared" si="227"/>
        <v>0</v>
      </c>
      <c r="DF154" s="172">
        <f t="shared" si="228"/>
        <v>0</v>
      </c>
      <c r="DG154" s="1"/>
      <c r="DH154" s="1"/>
      <c r="DI154" s="3"/>
      <c r="DJ154" s="8"/>
      <c r="DK154" s="8"/>
      <c r="DL154" s="8"/>
      <c r="DM154" s="8"/>
      <c r="DN154" s="8"/>
      <c r="DO154" s="8"/>
      <c r="DP154" s="8"/>
      <c r="DQ154" s="3"/>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row>
    <row r="155" spans="1:155" s="565" customFormat="1" ht="15" customHeight="1">
      <c r="A155" s="197"/>
      <c r="B155" s="3"/>
      <c r="C155" s="3"/>
      <c r="D155" s="3"/>
      <c r="E155" s="3"/>
      <c r="F155" s="3"/>
      <c r="G155" s="3"/>
      <c r="H155" s="194" t="s">
        <v>191</v>
      </c>
      <c r="I155" s="310"/>
      <c r="J155" s="195">
        <f t="shared" si="198"/>
        <v>0</v>
      </c>
      <c r="K155" s="186"/>
      <c r="L155" s="186"/>
      <c r="M155" s="70"/>
      <c r="N155" s="14"/>
      <c r="O155" s="27" t="s">
        <v>22</v>
      </c>
      <c r="P155" s="23">
        <f t="shared" si="199"/>
        <v>0</v>
      </c>
      <c r="Q155" s="312">
        <f t="shared" si="200"/>
        <v>0</v>
      </c>
      <c r="R155" s="23">
        <f t="shared" si="201"/>
        <v>0</v>
      </c>
      <c r="S155" s="23">
        <f t="shared" si="202"/>
        <v>0</v>
      </c>
      <c r="T155" s="23">
        <f t="shared" si="203"/>
        <v>0</v>
      </c>
      <c r="U155" s="14"/>
      <c r="V155" s="313">
        <f t="shared" si="207"/>
        <v>0</v>
      </c>
      <c r="W155" s="314">
        <f t="shared" si="208"/>
        <v>0</v>
      </c>
      <c r="X155" s="315">
        <f t="shared" si="204"/>
        <v>0</v>
      </c>
      <c r="Y155" s="315">
        <f t="shared" si="205"/>
        <v>0</v>
      </c>
      <c r="Z155" s="315">
        <f t="shared" si="206"/>
        <v>0</v>
      </c>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70"/>
      <c r="BE155" s="165" t="s">
        <v>15</v>
      </c>
      <c r="BF155" s="23">
        <v>21</v>
      </c>
      <c r="BG155" s="23">
        <v>16</v>
      </c>
      <c r="BH155" s="23">
        <v>7</v>
      </c>
      <c r="BI155" s="90" t="b">
        <f t="shared" si="224"/>
        <v>0</v>
      </c>
      <c r="BJ155" s="46" t="b">
        <f t="shared" si="172"/>
        <v>1</v>
      </c>
      <c r="BK155" s="166">
        <f t="shared" si="173"/>
        <v>6.5</v>
      </c>
      <c r="BL155" s="175">
        <f>IF(SUM(BL$140:BL154,BK155)&gt;$BN$4,0,BK155)</f>
        <v>6.5</v>
      </c>
      <c r="BM155" s="23">
        <f t="shared" si="209"/>
        <v>0</v>
      </c>
      <c r="BN155" s="90">
        <f t="shared" si="210"/>
        <v>0</v>
      </c>
      <c r="BO155" s="24">
        <f t="shared" si="229"/>
        <v>0</v>
      </c>
      <c r="BP155" s="168">
        <f t="shared" si="174"/>
        <v>0</v>
      </c>
      <c r="BQ155" s="171">
        <f t="shared" si="175"/>
        <v>0</v>
      </c>
      <c r="BR155" s="170">
        <f t="shared" si="211"/>
        <v>0</v>
      </c>
      <c r="BS155" s="168">
        <f t="shared" si="176"/>
        <v>0</v>
      </c>
      <c r="BT155" s="171">
        <f t="shared" si="177"/>
        <v>0</v>
      </c>
      <c r="BU155" s="170">
        <f t="shared" si="212"/>
        <v>0</v>
      </c>
      <c r="BV155" s="168">
        <f t="shared" si="178"/>
        <v>0</v>
      </c>
      <c r="BW155" s="171">
        <f t="shared" si="179"/>
        <v>0</v>
      </c>
      <c r="BX155" s="170">
        <f t="shared" si="213"/>
        <v>0</v>
      </c>
      <c r="BY155" s="168">
        <f t="shared" si="180"/>
        <v>0</v>
      </c>
      <c r="BZ155" s="171">
        <f t="shared" si="181"/>
        <v>0</v>
      </c>
      <c r="CA155" s="170">
        <f t="shared" si="214"/>
        <v>0</v>
      </c>
      <c r="CB155" s="90">
        <f t="shared" si="182"/>
        <v>0</v>
      </c>
      <c r="CC155" s="171">
        <f t="shared" si="183"/>
        <v>0</v>
      </c>
      <c r="CD155" s="170">
        <f t="shared" si="215"/>
        <v>0</v>
      </c>
      <c r="CE155" s="90">
        <f t="shared" si="184"/>
        <v>0</v>
      </c>
      <c r="CF155" s="171">
        <f t="shared" si="185"/>
        <v>0</v>
      </c>
      <c r="CG155" s="170">
        <f t="shared" si="216"/>
        <v>0</v>
      </c>
      <c r="CH155" s="90">
        <f t="shared" si="186"/>
        <v>0</v>
      </c>
      <c r="CI155" s="171">
        <f t="shared" si="187"/>
        <v>0</v>
      </c>
      <c r="CJ155" s="170">
        <f t="shared" si="217"/>
        <v>0</v>
      </c>
      <c r="CK155" s="90">
        <f t="shared" si="188"/>
        <v>0</v>
      </c>
      <c r="CL155" s="171">
        <f t="shared" si="189"/>
        <v>0</v>
      </c>
      <c r="CM155" s="170">
        <f t="shared" si="218"/>
        <v>0</v>
      </c>
      <c r="CN155" s="90">
        <f t="shared" si="190"/>
        <v>0</v>
      </c>
      <c r="CO155" s="171">
        <f t="shared" si="191"/>
        <v>0</v>
      </c>
      <c r="CP155" s="170">
        <f t="shared" si="219"/>
        <v>0</v>
      </c>
      <c r="CQ155" s="90">
        <f t="shared" si="192"/>
        <v>0</v>
      </c>
      <c r="CR155" s="171">
        <f t="shared" si="193"/>
        <v>0</v>
      </c>
      <c r="CS155" s="170">
        <f t="shared" si="220"/>
        <v>0</v>
      </c>
      <c r="CT155" s="90">
        <f t="shared" si="194"/>
        <v>0</v>
      </c>
      <c r="CU155" s="171">
        <f t="shared" si="195"/>
        <v>0</v>
      </c>
      <c r="CV155" s="170">
        <f t="shared" si="221"/>
        <v>0</v>
      </c>
      <c r="CW155" s="90">
        <f t="shared" si="196"/>
        <v>0</v>
      </c>
      <c r="CX155" s="171">
        <f t="shared" si="197"/>
        <v>0</v>
      </c>
      <c r="CY155" s="170">
        <f t="shared" si="222"/>
        <v>0</v>
      </c>
      <c r="CZ155" s="168">
        <f t="shared" si="223"/>
        <v>0</v>
      </c>
      <c r="DA155" s="172">
        <f t="shared" si="225"/>
        <v>0</v>
      </c>
      <c r="DB155" s="173">
        <f t="shared" si="226"/>
        <v>0</v>
      </c>
      <c r="DC155" s="172">
        <f t="shared" si="227"/>
        <v>0</v>
      </c>
      <c r="DD155" s="172">
        <f t="shared" si="227"/>
        <v>0</v>
      </c>
      <c r="DE155" s="172">
        <f t="shared" si="227"/>
        <v>0</v>
      </c>
      <c r="DF155" s="172">
        <f t="shared" si="228"/>
        <v>0</v>
      </c>
      <c r="DG155" s="1"/>
      <c r="DH155" s="1"/>
      <c r="DI155" s="3"/>
      <c r="DJ155" s="8"/>
      <c r="DK155" s="8"/>
      <c r="DL155" s="8"/>
      <c r="DM155" s="8"/>
      <c r="DN155" s="8"/>
      <c r="DO155" s="8"/>
      <c r="DP155" s="8"/>
      <c r="DQ155" s="3"/>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row>
    <row r="156" spans="1:155" s="565" customFormat="1" ht="15" customHeight="1">
      <c r="A156" s="197"/>
      <c r="B156" s="3"/>
      <c r="C156" s="3"/>
      <c r="D156" s="3"/>
      <c r="E156" s="3"/>
      <c r="F156" s="3"/>
      <c r="G156" s="3"/>
      <c r="H156" s="3"/>
      <c r="I156" s="316">
        <f>SUM(I144:I155)*O143</f>
        <v>0</v>
      </c>
      <c r="J156" s="317">
        <f>SUM(J144:J155)</f>
        <v>0</v>
      </c>
      <c r="K156" s="186"/>
      <c r="L156" s="186"/>
      <c r="M156" s="70"/>
      <c r="N156" s="14"/>
      <c r="O156" s="14"/>
      <c r="P156" s="318"/>
      <c r="Q156" s="318"/>
      <c r="R156" s="318" t="s">
        <v>306</v>
      </c>
      <c r="S156" s="319">
        <f>SUM(S144:S155)/1000</f>
        <v>0</v>
      </c>
      <c r="T156" s="318"/>
      <c r="U156" s="14"/>
      <c r="V156" s="3"/>
      <c r="W156" s="3"/>
      <c r="X156" s="3"/>
      <c r="Y156" s="3"/>
      <c r="Z156" s="3"/>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70"/>
      <c r="BE156" s="165" t="s">
        <v>15</v>
      </c>
      <c r="BF156" s="23">
        <v>21</v>
      </c>
      <c r="BG156" s="23">
        <v>17</v>
      </c>
      <c r="BH156" s="23">
        <v>1</v>
      </c>
      <c r="BI156" s="90" t="b">
        <f t="shared" si="224"/>
        <v>1</v>
      </c>
      <c r="BJ156" s="46" t="b">
        <f t="shared" si="172"/>
        <v>0</v>
      </c>
      <c r="BK156" s="166">
        <f t="shared" si="173"/>
        <v>0</v>
      </c>
      <c r="BL156" s="175">
        <f>IF(SUM(BL$140:BL155,BK156)&gt;$BN$4,0,BK156)</f>
        <v>0</v>
      </c>
      <c r="BM156" s="23">
        <f t="shared" si="209"/>
        <v>0</v>
      </c>
      <c r="BN156" s="90">
        <f t="shared" si="210"/>
        <v>0</v>
      </c>
      <c r="BO156" s="24">
        <f t="shared" si="229"/>
        <v>0</v>
      </c>
      <c r="BP156" s="168">
        <f t="shared" si="174"/>
        <v>0</v>
      </c>
      <c r="BQ156" s="171">
        <f t="shared" si="175"/>
        <v>0</v>
      </c>
      <c r="BR156" s="170">
        <f t="shared" si="211"/>
        <v>0</v>
      </c>
      <c r="BS156" s="168">
        <f t="shared" si="176"/>
        <v>0</v>
      </c>
      <c r="BT156" s="171">
        <f t="shared" si="177"/>
        <v>0</v>
      </c>
      <c r="BU156" s="170">
        <f t="shared" si="212"/>
        <v>0</v>
      </c>
      <c r="BV156" s="168">
        <f t="shared" si="178"/>
        <v>0</v>
      </c>
      <c r="BW156" s="171">
        <f t="shared" si="179"/>
        <v>0</v>
      </c>
      <c r="BX156" s="170">
        <f t="shared" si="213"/>
        <v>0</v>
      </c>
      <c r="BY156" s="168">
        <f t="shared" si="180"/>
        <v>0</v>
      </c>
      <c r="BZ156" s="171">
        <f t="shared" si="181"/>
        <v>0</v>
      </c>
      <c r="CA156" s="170">
        <f t="shared" si="214"/>
        <v>0</v>
      </c>
      <c r="CB156" s="90">
        <f t="shared" si="182"/>
        <v>0</v>
      </c>
      <c r="CC156" s="171">
        <f t="shared" si="183"/>
        <v>0</v>
      </c>
      <c r="CD156" s="170">
        <f t="shared" si="215"/>
        <v>0</v>
      </c>
      <c r="CE156" s="90">
        <f t="shared" si="184"/>
        <v>0</v>
      </c>
      <c r="CF156" s="171">
        <f t="shared" si="185"/>
        <v>0</v>
      </c>
      <c r="CG156" s="170">
        <f t="shared" si="216"/>
        <v>0</v>
      </c>
      <c r="CH156" s="90">
        <f t="shared" si="186"/>
        <v>0</v>
      </c>
      <c r="CI156" s="171">
        <f t="shared" si="187"/>
        <v>0</v>
      </c>
      <c r="CJ156" s="170">
        <f t="shared" si="217"/>
        <v>0</v>
      </c>
      <c r="CK156" s="90">
        <f t="shared" si="188"/>
        <v>0</v>
      </c>
      <c r="CL156" s="171">
        <f t="shared" si="189"/>
        <v>0</v>
      </c>
      <c r="CM156" s="170">
        <f t="shared" si="218"/>
        <v>0</v>
      </c>
      <c r="CN156" s="90">
        <f t="shared" si="190"/>
        <v>0</v>
      </c>
      <c r="CO156" s="171">
        <f t="shared" si="191"/>
        <v>0</v>
      </c>
      <c r="CP156" s="170">
        <f t="shared" si="219"/>
        <v>0</v>
      </c>
      <c r="CQ156" s="90">
        <f t="shared" si="192"/>
        <v>0</v>
      </c>
      <c r="CR156" s="171">
        <f t="shared" si="193"/>
        <v>0</v>
      </c>
      <c r="CS156" s="170">
        <f t="shared" si="220"/>
        <v>0</v>
      </c>
      <c r="CT156" s="90">
        <f t="shared" si="194"/>
        <v>0</v>
      </c>
      <c r="CU156" s="171">
        <f t="shared" si="195"/>
        <v>0</v>
      </c>
      <c r="CV156" s="170">
        <f t="shared" si="221"/>
        <v>0</v>
      </c>
      <c r="CW156" s="90">
        <f t="shared" si="196"/>
        <v>0</v>
      </c>
      <c r="CX156" s="171">
        <f t="shared" si="197"/>
        <v>0</v>
      </c>
      <c r="CY156" s="170">
        <f t="shared" si="222"/>
        <v>0</v>
      </c>
      <c r="CZ156" s="168">
        <f t="shared" si="223"/>
        <v>0</v>
      </c>
      <c r="DA156" s="172">
        <f t="shared" si="225"/>
        <v>0</v>
      </c>
      <c r="DB156" s="173">
        <f t="shared" si="226"/>
        <v>0</v>
      </c>
      <c r="DC156" s="172">
        <f t="shared" si="227"/>
        <v>0</v>
      </c>
      <c r="DD156" s="172">
        <f t="shared" si="227"/>
        <v>0</v>
      </c>
      <c r="DE156" s="172">
        <f t="shared" si="227"/>
        <v>0</v>
      </c>
      <c r="DF156" s="172">
        <f t="shared" si="228"/>
        <v>0</v>
      </c>
      <c r="DG156" s="1"/>
      <c r="DH156" s="1"/>
      <c r="DI156" s="3"/>
      <c r="DJ156" s="8"/>
      <c r="DK156" s="8"/>
      <c r="DL156" s="8"/>
      <c r="DM156" s="8"/>
      <c r="DN156" s="8"/>
      <c r="DO156" s="8"/>
      <c r="DP156" s="8"/>
      <c r="DQ156" s="3"/>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row>
    <row r="157" spans="1:155" s="565" customFormat="1" ht="15" customHeight="1">
      <c r="A157" s="197"/>
      <c r="B157" s="3"/>
      <c r="C157" s="3"/>
      <c r="D157" s="3"/>
      <c r="E157" s="3"/>
      <c r="F157" s="3"/>
      <c r="G157" s="3"/>
      <c r="H157" s="3"/>
      <c r="I157" s="27"/>
      <c r="J157" s="27"/>
      <c r="K157" s="186"/>
      <c r="L157" s="186"/>
      <c r="M157" s="70"/>
      <c r="N157" s="14"/>
      <c r="O157" s="14"/>
      <c r="P157" s="14"/>
      <c r="Q157" s="14"/>
      <c r="R157" s="700" t="s">
        <v>307</v>
      </c>
      <c r="S157" s="700"/>
      <c r="T157" s="319">
        <f>SUM(T144:T155)</f>
        <v>0</v>
      </c>
      <c r="U157" s="14"/>
      <c r="V157" s="14"/>
      <c r="W157" s="14"/>
      <c r="X157" s="701" t="s">
        <v>307</v>
      </c>
      <c r="Y157" s="701"/>
      <c r="Z157" s="31">
        <f>SUM(Z144:Z155)</f>
        <v>0</v>
      </c>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70"/>
      <c r="BE157" s="165" t="s">
        <v>15</v>
      </c>
      <c r="BF157" s="23">
        <v>21</v>
      </c>
      <c r="BG157" s="23">
        <v>18</v>
      </c>
      <c r="BH157" s="23">
        <v>2</v>
      </c>
      <c r="BI157" s="90" t="b">
        <f t="shared" si="224"/>
        <v>1</v>
      </c>
      <c r="BJ157" s="46" t="b">
        <f t="shared" si="172"/>
        <v>0</v>
      </c>
      <c r="BK157" s="166">
        <f t="shared" si="173"/>
        <v>0</v>
      </c>
      <c r="BL157" s="175">
        <f>IF(SUM(BL$140:BL156,BK157)&gt;$BN$4,0,BK157)</f>
        <v>0</v>
      </c>
      <c r="BM157" s="23">
        <f t="shared" si="209"/>
        <v>0</v>
      </c>
      <c r="BN157" s="90">
        <f t="shared" si="210"/>
        <v>0</v>
      </c>
      <c r="BO157" s="24">
        <f t="shared" si="229"/>
        <v>0</v>
      </c>
      <c r="BP157" s="168">
        <f t="shared" si="174"/>
        <v>0</v>
      </c>
      <c r="BQ157" s="171">
        <f t="shared" si="175"/>
        <v>0</v>
      </c>
      <c r="BR157" s="170">
        <f t="shared" si="211"/>
        <v>0</v>
      </c>
      <c r="BS157" s="168">
        <f t="shared" si="176"/>
        <v>0</v>
      </c>
      <c r="BT157" s="171">
        <f t="shared" si="177"/>
        <v>0</v>
      </c>
      <c r="BU157" s="170">
        <f t="shared" si="212"/>
        <v>0</v>
      </c>
      <c r="BV157" s="168">
        <f t="shared" si="178"/>
        <v>0</v>
      </c>
      <c r="BW157" s="171">
        <f t="shared" si="179"/>
        <v>0</v>
      </c>
      <c r="BX157" s="170">
        <f t="shared" si="213"/>
        <v>0</v>
      </c>
      <c r="BY157" s="168">
        <f t="shared" si="180"/>
        <v>0</v>
      </c>
      <c r="BZ157" s="171">
        <f t="shared" si="181"/>
        <v>0</v>
      </c>
      <c r="CA157" s="170">
        <f t="shared" si="214"/>
        <v>0</v>
      </c>
      <c r="CB157" s="90">
        <f t="shared" si="182"/>
        <v>0</v>
      </c>
      <c r="CC157" s="171">
        <f t="shared" si="183"/>
        <v>0</v>
      </c>
      <c r="CD157" s="170">
        <f t="shared" si="215"/>
        <v>0</v>
      </c>
      <c r="CE157" s="90">
        <f t="shared" si="184"/>
        <v>0</v>
      </c>
      <c r="CF157" s="171">
        <f t="shared" si="185"/>
        <v>0</v>
      </c>
      <c r="CG157" s="170">
        <f t="shared" si="216"/>
        <v>0</v>
      </c>
      <c r="CH157" s="90">
        <f t="shared" si="186"/>
        <v>0</v>
      </c>
      <c r="CI157" s="171">
        <f t="shared" si="187"/>
        <v>0</v>
      </c>
      <c r="CJ157" s="170">
        <f t="shared" si="217"/>
        <v>0</v>
      </c>
      <c r="CK157" s="90">
        <f t="shared" si="188"/>
        <v>0</v>
      </c>
      <c r="CL157" s="171">
        <f t="shared" si="189"/>
        <v>0</v>
      </c>
      <c r="CM157" s="170">
        <f t="shared" si="218"/>
        <v>0</v>
      </c>
      <c r="CN157" s="90">
        <f t="shared" si="190"/>
        <v>0</v>
      </c>
      <c r="CO157" s="171">
        <f t="shared" si="191"/>
        <v>0</v>
      </c>
      <c r="CP157" s="170">
        <f t="shared" si="219"/>
        <v>0</v>
      </c>
      <c r="CQ157" s="90">
        <f t="shared" si="192"/>
        <v>0</v>
      </c>
      <c r="CR157" s="171">
        <f t="shared" si="193"/>
        <v>0</v>
      </c>
      <c r="CS157" s="170">
        <f t="shared" si="220"/>
        <v>0</v>
      </c>
      <c r="CT157" s="90">
        <f t="shared" si="194"/>
        <v>0</v>
      </c>
      <c r="CU157" s="171">
        <f t="shared" si="195"/>
        <v>0</v>
      </c>
      <c r="CV157" s="170">
        <f t="shared" si="221"/>
        <v>0</v>
      </c>
      <c r="CW157" s="90">
        <f t="shared" si="196"/>
        <v>0</v>
      </c>
      <c r="CX157" s="171">
        <f t="shared" si="197"/>
        <v>0</v>
      </c>
      <c r="CY157" s="170">
        <f t="shared" si="222"/>
        <v>0</v>
      </c>
      <c r="CZ157" s="168">
        <f t="shared" si="223"/>
        <v>0</v>
      </c>
      <c r="DA157" s="172">
        <f t="shared" si="225"/>
        <v>0</v>
      </c>
      <c r="DB157" s="173">
        <f t="shared" si="226"/>
        <v>0</v>
      </c>
      <c r="DC157" s="172">
        <f t="shared" si="227"/>
        <v>0</v>
      </c>
      <c r="DD157" s="172">
        <f t="shared" si="227"/>
        <v>0</v>
      </c>
      <c r="DE157" s="172">
        <f t="shared" si="227"/>
        <v>0</v>
      </c>
      <c r="DF157" s="172">
        <f t="shared" si="228"/>
        <v>0</v>
      </c>
      <c r="DG157" s="1"/>
      <c r="DH157" s="1"/>
      <c r="DI157" s="3"/>
      <c r="DJ157" s="8"/>
      <c r="DK157" s="8"/>
      <c r="DL157" s="8"/>
      <c r="DM157" s="8"/>
      <c r="DN157" s="8"/>
      <c r="DO157" s="8"/>
      <c r="DP157" s="8"/>
      <c r="DQ157" s="3"/>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row>
    <row r="158" spans="1:155" s="565" customFormat="1" ht="15" hidden="1" customHeight="1">
      <c r="A158" s="197"/>
      <c r="B158" s="295" t="s">
        <v>308</v>
      </c>
      <c r="C158" s="320"/>
      <c r="D158" s="320"/>
      <c r="E158" s="320"/>
      <c r="F158" s="321" t="s">
        <v>309</v>
      </c>
      <c r="G158" s="3"/>
      <c r="H158" s="3"/>
      <c r="I158" s="27"/>
      <c r="J158" s="27"/>
      <c r="K158" s="186"/>
      <c r="L158" s="186"/>
      <c r="M158" s="70"/>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70"/>
      <c r="BE158" s="165" t="s">
        <v>15</v>
      </c>
      <c r="BF158" s="23">
        <v>21</v>
      </c>
      <c r="BG158" s="23">
        <v>19</v>
      </c>
      <c r="BH158" s="23">
        <v>3</v>
      </c>
      <c r="BI158" s="90" t="b">
        <f t="shared" si="224"/>
        <v>1</v>
      </c>
      <c r="BJ158" s="46" t="b">
        <f t="shared" si="172"/>
        <v>0</v>
      </c>
      <c r="BK158" s="166">
        <f t="shared" si="173"/>
        <v>0</v>
      </c>
      <c r="BL158" s="175">
        <f>IF(SUM(BL$140:BL157,BK158)&gt;$BN$4,0,BK158)</f>
        <v>0</v>
      </c>
      <c r="BM158" s="23">
        <f t="shared" si="209"/>
        <v>0</v>
      </c>
      <c r="BN158" s="90">
        <f t="shared" si="210"/>
        <v>0</v>
      </c>
      <c r="BO158" s="24">
        <f t="shared" si="229"/>
        <v>0</v>
      </c>
      <c r="BP158" s="168">
        <f t="shared" si="174"/>
        <v>0</v>
      </c>
      <c r="BQ158" s="171">
        <f t="shared" si="175"/>
        <v>0</v>
      </c>
      <c r="BR158" s="170">
        <f t="shared" si="211"/>
        <v>0</v>
      </c>
      <c r="BS158" s="168">
        <f t="shared" si="176"/>
        <v>0</v>
      </c>
      <c r="BT158" s="171">
        <f t="shared" si="177"/>
        <v>0</v>
      </c>
      <c r="BU158" s="170">
        <f t="shared" si="212"/>
        <v>0</v>
      </c>
      <c r="BV158" s="168">
        <f t="shared" si="178"/>
        <v>0</v>
      </c>
      <c r="BW158" s="171">
        <f t="shared" si="179"/>
        <v>0</v>
      </c>
      <c r="BX158" s="170">
        <f t="shared" si="213"/>
        <v>0</v>
      </c>
      <c r="BY158" s="168">
        <f t="shared" si="180"/>
        <v>0</v>
      </c>
      <c r="BZ158" s="171">
        <f t="shared" si="181"/>
        <v>0</v>
      </c>
      <c r="CA158" s="170">
        <f t="shared" si="214"/>
        <v>0</v>
      </c>
      <c r="CB158" s="90">
        <f t="shared" si="182"/>
        <v>0</v>
      </c>
      <c r="CC158" s="171">
        <f t="shared" si="183"/>
        <v>0</v>
      </c>
      <c r="CD158" s="170">
        <f t="shared" si="215"/>
        <v>0</v>
      </c>
      <c r="CE158" s="90">
        <f t="shared" si="184"/>
        <v>0</v>
      </c>
      <c r="CF158" s="171">
        <f t="shared" si="185"/>
        <v>0</v>
      </c>
      <c r="CG158" s="170">
        <f t="shared" si="216"/>
        <v>0</v>
      </c>
      <c r="CH158" s="90">
        <f t="shared" si="186"/>
        <v>0</v>
      </c>
      <c r="CI158" s="171">
        <f t="shared" si="187"/>
        <v>0</v>
      </c>
      <c r="CJ158" s="170">
        <f t="shared" si="217"/>
        <v>0</v>
      </c>
      <c r="CK158" s="90">
        <f t="shared" si="188"/>
        <v>0</v>
      </c>
      <c r="CL158" s="171">
        <f t="shared" si="189"/>
        <v>0</v>
      </c>
      <c r="CM158" s="170">
        <f t="shared" si="218"/>
        <v>0</v>
      </c>
      <c r="CN158" s="90">
        <f t="shared" si="190"/>
        <v>0</v>
      </c>
      <c r="CO158" s="171">
        <f t="shared" si="191"/>
        <v>0</v>
      </c>
      <c r="CP158" s="170">
        <f t="shared" si="219"/>
        <v>0</v>
      </c>
      <c r="CQ158" s="90">
        <f t="shared" si="192"/>
        <v>0</v>
      </c>
      <c r="CR158" s="171">
        <f t="shared" si="193"/>
        <v>0</v>
      </c>
      <c r="CS158" s="170">
        <f t="shared" si="220"/>
        <v>0</v>
      </c>
      <c r="CT158" s="90">
        <f t="shared" si="194"/>
        <v>0</v>
      </c>
      <c r="CU158" s="171">
        <f t="shared" si="195"/>
        <v>0</v>
      </c>
      <c r="CV158" s="170">
        <f t="shared" si="221"/>
        <v>0</v>
      </c>
      <c r="CW158" s="90">
        <f t="shared" si="196"/>
        <v>0</v>
      </c>
      <c r="CX158" s="171">
        <f t="shared" si="197"/>
        <v>0</v>
      </c>
      <c r="CY158" s="170">
        <f t="shared" si="222"/>
        <v>0</v>
      </c>
      <c r="CZ158" s="168">
        <f t="shared" si="223"/>
        <v>0</v>
      </c>
      <c r="DA158" s="172">
        <f t="shared" si="225"/>
        <v>0</v>
      </c>
      <c r="DB158" s="173">
        <f t="shared" si="226"/>
        <v>0</v>
      </c>
      <c r="DC158" s="172">
        <f t="shared" si="227"/>
        <v>0</v>
      </c>
      <c r="DD158" s="172">
        <f t="shared" si="227"/>
        <v>0</v>
      </c>
      <c r="DE158" s="172">
        <f t="shared" si="227"/>
        <v>0</v>
      </c>
      <c r="DF158" s="172">
        <f t="shared" si="228"/>
        <v>0</v>
      </c>
      <c r="DG158" s="1"/>
      <c r="DH158" s="1"/>
      <c r="DI158" s="3"/>
      <c r="DJ158" s="8"/>
      <c r="DK158" s="8"/>
      <c r="DL158" s="8"/>
      <c r="DM158" s="8"/>
      <c r="DN158" s="8"/>
      <c r="DO158" s="8"/>
      <c r="DP158" s="8"/>
      <c r="DQ158" s="3"/>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row>
    <row r="159" spans="1:155" s="565" customFormat="1" ht="15" hidden="1" customHeight="1">
      <c r="A159" s="197"/>
      <c r="B159" s="3"/>
      <c r="C159" s="3"/>
      <c r="D159" s="3"/>
      <c r="E159" s="3"/>
      <c r="F159" s="3"/>
      <c r="G159" s="3"/>
      <c r="H159" s="3"/>
      <c r="I159" s="27"/>
      <c r="J159" s="27"/>
      <c r="K159" s="186"/>
      <c r="L159" s="186"/>
      <c r="M159" s="70"/>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70"/>
      <c r="BE159" s="165" t="s">
        <v>15</v>
      </c>
      <c r="BF159" s="23">
        <v>21</v>
      </c>
      <c r="BG159" s="23">
        <v>20</v>
      </c>
      <c r="BH159" s="23">
        <v>4</v>
      </c>
      <c r="BI159" s="90" t="b">
        <f t="shared" si="224"/>
        <v>1</v>
      </c>
      <c r="BJ159" s="46" t="b">
        <f t="shared" si="172"/>
        <v>0</v>
      </c>
      <c r="BK159" s="166">
        <f t="shared" si="173"/>
        <v>0</v>
      </c>
      <c r="BL159" s="175">
        <f>IF(SUM(BL$140:BL158,BK159)&gt;$BN$4,0,BK159)</f>
        <v>0</v>
      </c>
      <c r="BM159" s="23">
        <f t="shared" si="209"/>
        <v>0</v>
      </c>
      <c r="BN159" s="90">
        <f t="shared" si="210"/>
        <v>0</v>
      </c>
      <c r="BO159" s="24">
        <f t="shared" si="229"/>
        <v>0</v>
      </c>
      <c r="BP159" s="168">
        <f t="shared" si="174"/>
        <v>0</v>
      </c>
      <c r="BQ159" s="171">
        <f t="shared" si="175"/>
        <v>0</v>
      </c>
      <c r="BR159" s="170">
        <f t="shared" si="211"/>
        <v>0</v>
      </c>
      <c r="BS159" s="168">
        <f t="shared" si="176"/>
        <v>0</v>
      </c>
      <c r="BT159" s="171">
        <f t="shared" si="177"/>
        <v>0</v>
      </c>
      <c r="BU159" s="170">
        <f t="shared" si="212"/>
        <v>0</v>
      </c>
      <c r="BV159" s="168">
        <f t="shared" si="178"/>
        <v>0</v>
      </c>
      <c r="BW159" s="171">
        <f t="shared" si="179"/>
        <v>0</v>
      </c>
      <c r="BX159" s="170">
        <f t="shared" si="213"/>
        <v>0</v>
      </c>
      <c r="BY159" s="168">
        <f t="shared" si="180"/>
        <v>0</v>
      </c>
      <c r="BZ159" s="171">
        <f t="shared" si="181"/>
        <v>0</v>
      </c>
      <c r="CA159" s="170">
        <f t="shared" si="214"/>
        <v>0</v>
      </c>
      <c r="CB159" s="90">
        <f t="shared" si="182"/>
        <v>0</v>
      </c>
      <c r="CC159" s="171">
        <f t="shared" si="183"/>
        <v>0</v>
      </c>
      <c r="CD159" s="170">
        <f t="shared" si="215"/>
        <v>0</v>
      </c>
      <c r="CE159" s="90">
        <f t="shared" si="184"/>
        <v>0</v>
      </c>
      <c r="CF159" s="171">
        <f t="shared" si="185"/>
        <v>0</v>
      </c>
      <c r="CG159" s="170">
        <f t="shared" si="216"/>
        <v>0</v>
      </c>
      <c r="CH159" s="90">
        <f t="shared" si="186"/>
        <v>0</v>
      </c>
      <c r="CI159" s="171">
        <f t="shared" si="187"/>
        <v>0</v>
      </c>
      <c r="CJ159" s="170">
        <f t="shared" si="217"/>
        <v>0</v>
      </c>
      <c r="CK159" s="90">
        <f t="shared" si="188"/>
        <v>0</v>
      </c>
      <c r="CL159" s="171">
        <f t="shared" si="189"/>
        <v>0</v>
      </c>
      <c r="CM159" s="170">
        <f t="shared" si="218"/>
        <v>0</v>
      </c>
      <c r="CN159" s="90">
        <f t="shared" si="190"/>
        <v>0</v>
      </c>
      <c r="CO159" s="171">
        <f t="shared" si="191"/>
        <v>0</v>
      </c>
      <c r="CP159" s="170">
        <f t="shared" si="219"/>
        <v>0</v>
      </c>
      <c r="CQ159" s="90">
        <f t="shared" si="192"/>
        <v>0</v>
      </c>
      <c r="CR159" s="171">
        <f t="shared" si="193"/>
        <v>0</v>
      </c>
      <c r="CS159" s="170">
        <f t="shared" si="220"/>
        <v>0</v>
      </c>
      <c r="CT159" s="90">
        <f t="shared" si="194"/>
        <v>0</v>
      </c>
      <c r="CU159" s="171">
        <f t="shared" si="195"/>
        <v>0</v>
      </c>
      <c r="CV159" s="170">
        <f t="shared" si="221"/>
        <v>0</v>
      </c>
      <c r="CW159" s="90">
        <f t="shared" si="196"/>
        <v>0</v>
      </c>
      <c r="CX159" s="171">
        <f t="shared" si="197"/>
        <v>0</v>
      </c>
      <c r="CY159" s="170">
        <f t="shared" si="222"/>
        <v>0</v>
      </c>
      <c r="CZ159" s="168">
        <f t="shared" si="223"/>
        <v>0</v>
      </c>
      <c r="DA159" s="172">
        <f t="shared" si="225"/>
        <v>0</v>
      </c>
      <c r="DB159" s="173">
        <f t="shared" si="226"/>
        <v>0</v>
      </c>
      <c r="DC159" s="172">
        <f t="shared" si="227"/>
        <v>0</v>
      </c>
      <c r="DD159" s="172">
        <f t="shared" si="227"/>
        <v>0</v>
      </c>
      <c r="DE159" s="172">
        <f t="shared" si="227"/>
        <v>0</v>
      </c>
      <c r="DF159" s="172">
        <f t="shared" si="228"/>
        <v>0</v>
      </c>
      <c r="DG159" s="1"/>
      <c r="DH159" s="1"/>
      <c r="DI159" s="3"/>
      <c r="DJ159" s="8"/>
      <c r="DK159" s="8"/>
      <c r="DL159" s="8"/>
      <c r="DM159" s="8"/>
      <c r="DN159" s="8"/>
      <c r="DO159" s="8"/>
      <c r="DP159" s="8"/>
      <c r="DQ159" s="3"/>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row>
    <row r="160" spans="1:155" s="565" customFormat="1" hidden="1">
      <c r="A160" s="197"/>
      <c r="B160" s="70"/>
      <c r="C160" s="631" t="s">
        <v>310</v>
      </c>
      <c r="D160" s="631"/>
      <c r="E160" s="3"/>
      <c r="F160" s="3"/>
      <c r="G160" s="3"/>
      <c r="H160" s="3"/>
      <c r="I160" s="27"/>
      <c r="J160" s="27"/>
      <c r="K160" s="186"/>
      <c r="L160" s="186"/>
      <c r="M160" s="70"/>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70"/>
      <c r="BE160" s="165" t="s">
        <v>15</v>
      </c>
      <c r="BF160" s="23">
        <v>21</v>
      </c>
      <c r="BG160" s="23">
        <v>21</v>
      </c>
      <c r="BH160" s="23">
        <v>5</v>
      </c>
      <c r="BI160" s="90" t="b">
        <f t="shared" si="224"/>
        <v>1</v>
      </c>
      <c r="BJ160" s="46" t="b">
        <f t="shared" si="172"/>
        <v>0</v>
      </c>
      <c r="BK160" s="166">
        <f t="shared" si="173"/>
        <v>0</v>
      </c>
      <c r="BL160" s="175">
        <f>IF(SUM(BL$140:BL159,BK160)&gt;$BN$4,0,BK160)</f>
        <v>0</v>
      </c>
      <c r="BM160" s="23">
        <f t="shared" si="209"/>
        <v>0</v>
      </c>
      <c r="BN160" s="90">
        <f t="shared" si="210"/>
        <v>0</v>
      </c>
      <c r="BO160" s="24">
        <f t="shared" si="229"/>
        <v>0</v>
      </c>
      <c r="BP160" s="168">
        <f t="shared" si="174"/>
        <v>0</v>
      </c>
      <c r="BQ160" s="171">
        <f t="shared" si="175"/>
        <v>0</v>
      </c>
      <c r="BR160" s="170">
        <f t="shared" si="211"/>
        <v>0</v>
      </c>
      <c r="BS160" s="168">
        <f t="shared" si="176"/>
        <v>0</v>
      </c>
      <c r="BT160" s="171">
        <f t="shared" si="177"/>
        <v>0</v>
      </c>
      <c r="BU160" s="170">
        <f t="shared" si="212"/>
        <v>0</v>
      </c>
      <c r="BV160" s="168">
        <f t="shared" si="178"/>
        <v>0</v>
      </c>
      <c r="BW160" s="171">
        <f t="shared" si="179"/>
        <v>0</v>
      </c>
      <c r="BX160" s="170">
        <f t="shared" si="213"/>
        <v>0</v>
      </c>
      <c r="BY160" s="168">
        <f t="shared" si="180"/>
        <v>0</v>
      </c>
      <c r="BZ160" s="171">
        <f t="shared" si="181"/>
        <v>0</v>
      </c>
      <c r="CA160" s="170">
        <f t="shared" si="214"/>
        <v>0</v>
      </c>
      <c r="CB160" s="90">
        <f t="shared" si="182"/>
        <v>0</v>
      </c>
      <c r="CC160" s="171">
        <f t="shared" si="183"/>
        <v>0</v>
      </c>
      <c r="CD160" s="170">
        <f t="shared" si="215"/>
        <v>0</v>
      </c>
      <c r="CE160" s="90">
        <f t="shared" si="184"/>
        <v>0</v>
      </c>
      <c r="CF160" s="171">
        <f t="shared" si="185"/>
        <v>0</v>
      </c>
      <c r="CG160" s="170">
        <f t="shared" si="216"/>
        <v>0</v>
      </c>
      <c r="CH160" s="90">
        <f t="shared" si="186"/>
        <v>0</v>
      </c>
      <c r="CI160" s="171">
        <f t="shared" si="187"/>
        <v>0</v>
      </c>
      <c r="CJ160" s="170">
        <f t="shared" si="217"/>
        <v>0</v>
      </c>
      <c r="CK160" s="90">
        <f t="shared" si="188"/>
        <v>0</v>
      </c>
      <c r="CL160" s="171">
        <f t="shared" si="189"/>
        <v>0</v>
      </c>
      <c r="CM160" s="170">
        <f t="shared" si="218"/>
        <v>0</v>
      </c>
      <c r="CN160" s="90">
        <f t="shared" si="190"/>
        <v>0</v>
      </c>
      <c r="CO160" s="171">
        <f t="shared" si="191"/>
        <v>0</v>
      </c>
      <c r="CP160" s="170">
        <f t="shared" si="219"/>
        <v>0</v>
      </c>
      <c r="CQ160" s="90">
        <f t="shared" si="192"/>
        <v>0</v>
      </c>
      <c r="CR160" s="171">
        <f t="shared" si="193"/>
        <v>0</v>
      </c>
      <c r="CS160" s="170">
        <f t="shared" si="220"/>
        <v>0</v>
      </c>
      <c r="CT160" s="90">
        <f t="shared" si="194"/>
        <v>0</v>
      </c>
      <c r="CU160" s="171">
        <f t="shared" si="195"/>
        <v>0</v>
      </c>
      <c r="CV160" s="170">
        <f t="shared" si="221"/>
        <v>0</v>
      </c>
      <c r="CW160" s="90">
        <f t="shared" si="196"/>
        <v>0</v>
      </c>
      <c r="CX160" s="171">
        <f t="shared" si="197"/>
        <v>0</v>
      </c>
      <c r="CY160" s="170">
        <f t="shared" si="222"/>
        <v>0</v>
      </c>
      <c r="CZ160" s="168">
        <f t="shared" si="223"/>
        <v>0</v>
      </c>
      <c r="DA160" s="172">
        <f t="shared" si="225"/>
        <v>0</v>
      </c>
      <c r="DB160" s="173">
        <f t="shared" si="226"/>
        <v>0</v>
      </c>
      <c r="DC160" s="172">
        <f t="shared" si="227"/>
        <v>0</v>
      </c>
      <c r="DD160" s="172">
        <f t="shared" si="227"/>
        <v>0</v>
      </c>
      <c r="DE160" s="172">
        <f t="shared" si="227"/>
        <v>0</v>
      </c>
      <c r="DF160" s="172">
        <f t="shared" si="228"/>
        <v>0</v>
      </c>
      <c r="DG160" s="1"/>
      <c r="DH160" s="1"/>
      <c r="DI160" s="3"/>
      <c r="DJ160" s="8"/>
      <c r="DK160" s="8"/>
      <c r="DL160" s="8"/>
      <c r="DM160" s="8"/>
      <c r="DN160" s="8"/>
      <c r="DO160" s="8"/>
      <c r="DP160" s="8"/>
      <c r="DQ160" s="3"/>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row>
    <row r="161" spans="1:155" s="565" customFormat="1" hidden="1">
      <c r="A161" s="197"/>
      <c r="B161" s="3"/>
      <c r="C161" s="631"/>
      <c r="D161" s="631"/>
      <c r="E161" s="3"/>
      <c r="F161" s="3"/>
      <c r="G161" s="3"/>
      <c r="H161" s="3"/>
      <c r="I161" s="27"/>
      <c r="J161" s="27"/>
      <c r="K161" s="186"/>
      <c r="L161" s="186"/>
      <c r="M161" s="70"/>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70"/>
      <c r="BE161" s="165" t="s">
        <v>15</v>
      </c>
      <c r="BF161" s="23">
        <v>21</v>
      </c>
      <c r="BG161" s="23">
        <v>22</v>
      </c>
      <c r="BH161" s="23">
        <v>6</v>
      </c>
      <c r="BI161" s="90" t="b">
        <f t="shared" si="224"/>
        <v>0</v>
      </c>
      <c r="BJ161" s="46" t="b">
        <f t="shared" si="172"/>
        <v>0</v>
      </c>
      <c r="BK161" s="166">
        <f t="shared" si="173"/>
        <v>0</v>
      </c>
      <c r="BL161" s="175">
        <f>IF(SUM(BL$140:BL160,BK161)&gt;$BN$4,0,BK161)</f>
        <v>0</v>
      </c>
      <c r="BM161" s="23">
        <f t="shared" si="209"/>
        <v>0</v>
      </c>
      <c r="BN161" s="90">
        <f t="shared" si="210"/>
        <v>0</v>
      </c>
      <c r="BO161" s="24">
        <f t="shared" si="229"/>
        <v>0</v>
      </c>
      <c r="BP161" s="168">
        <f t="shared" si="174"/>
        <v>0</v>
      </c>
      <c r="BQ161" s="171">
        <f t="shared" si="175"/>
        <v>0</v>
      </c>
      <c r="BR161" s="170">
        <f t="shared" si="211"/>
        <v>0</v>
      </c>
      <c r="BS161" s="168">
        <f t="shared" si="176"/>
        <v>0</v>
      </c>
      <c r="BT161" s="171">
        <f t="shared" si="177"/>
        <v>0</v>
      </c>
      <c r="BU161" s="170">
        <f t="shared" si="212"/>
        <v>0</v>
      </c>
      <c r="BV161" s="168">
        <f t="shared" si="178"/>
        <v>0</v>
      </c>
      <c r="BW161" s="171">
        <f t="shared" si="179"/>
        <v>0</v>
      </c>
      <c r="BX161" s="170">
        <f t="shared" si="213"/>
        <v>0</v>
      </c>
      <c r="BY161" s="168">
        <f t="shared" si="180"/>
        <v>0</v>
      </c>
      <c r="BZ161" s="171">
        <f t="shared" si="181"/>
        <v>0</v>
      </c>
      <c r="CA161" s="170">
        <f t="shared" si="214"/>
        <v>0</v>
      </c>
      <c r="CB161" s="90">
        <f t="shared" si="182"/>
        <v>0</v>
      </c>
      <c r="CC161" s="171">
        <f t="shared" si="183"/>
        <v>0</v>
      </c>
      <c r="CD161" s="170">
        <f t="shared" si="215"/>
        <v>0</v>
      </c>
      <c r="CE161" s="90">
        <f t="shared" si="184"/>
        <v>0</v>
      </c>
      <c r="CF161" s="171">
        <f t="shared" si="185"/>
        <v>0</v>
      </c>
      <c r="CG161" s="170">
        <f t="shared" si="216"/>
        <v>0</v>
      </c>
      <c r="CH161" s="90">
        <f t="shared" si="186"/>
        <v>0</v>
      </c>
      <c r="CI161" s="171">
        <f t="shared" si="187"/>
        <v>0</v>
      </c>
      <c r="CJ161" s="170">
        <f t="shared" si="217"/>
        <v>0</v>
      </c>
      <c r="CK161" s="90">
        <f t="shared" si="188"/>
        <v>0</v>
      </c>
      <c r="CL161" s="171">
        <f t="shared" si="189"/>
        <v>0</v>
      </c>
      <c r="CM161" s="170">
        <f t="shared" si="218"/>
        <v>0</v>
      </c>
      <c r="CN161" s="90">
        <f t="shared" si="190"/>
        <v>0</v>
      </c>
      <c r="CO161" s="171">
        <f t="shared" si="191"/>
        <v>0</v>
      </c>
      <c r="CP161" s="170">
        <f t="shared" si="219"/>
        <v>0</v>
      </c>
      <c r="CQ161" s="90">
        <f t="shared" si="192"/>
        <v>0</v>
      </c>
      <c r="CR161" s="171">
        <f t="shared" si="193"/>
        <v>0</v>
      </c>
      <c r="CS161" s="170">
        <f t="shared" si="220"/>
        <v>0</v>
      </c>
      <c r="CT161" s="90">
        <f t="shared" si="194"/>
        <v>0</v>
      </c>
      <c r="CU161" s="171">
        <f t="shared" si="195"/>
        <v>0</v>
      </c>
      <c r="CV161" s="170">
        <f t="shared" si="221"/>
        <v>0</v>
      </c>
      <c r="CW161" s="90">
        <f t="shared" si="196"/>
        <v>0</v>
      </c>
      <c r="CX161" s="171">
        <f t="shared" si="197"/>
        <v>0</v>
      </c>
      <c r="CY161" s="170">
        <f t="shared" si="222"/>
        <v>0</v>
      </c>
      <c r="CZ161" s="168">
        <f t="shared" si="223"/>
        <v>0</v>
      </c>
      <c r="DA161" s="172">
        <f t="shared" si="225"/>
        <v>0</v>
      </c>
      <c r="DB161" s="173">
        <f t="shared" si="226"/>
        <v>0</v>
      </c>
      <c r="DC161" s="172">
        <f t="shared" si="227"/>
        <v>0</v>
      </c>
      <c r="DD161" s="172">
        <f t="shared" si="227"/>
        <v>0</v>
      </c>
      <c r="DE161" s="172">
        <f t="shared" si="227"/>
        <v>0</v>
      </c>
      <c r="DF161" s="172">
        <f t="shared" si="228"/>
        <v>0</v>
      </c>
      <c r="DG161" s="1"/>
      <c r="DH161" s="1"/>
      <c r="DI161" s="3"/>
      <c r="DJ161" s="8"/>
      <c r="DK161" s="8"/>
      <c r="DL161" s="8"/>
      <c r="DM161" s="8"/>
      <c r="DN161" s="8"/>
      <c r="DO161" s="8"/>
      <c r="DP161" s="8"/>
      <c r="DQ161" s="3"/>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row>
    <row r="162" spans="1:155" s="565" customFormat="1" hidden="1">
      <c r="A162" s="197"/>
      <c r="B162" s="194" t="s">
        <v>168</v>
      </c>
      <c r="C162" s="697"/>
      <c r="D162" s="698"/>
      <c r="E162" s="3"/>
      <c r="F162" s="3"/>
      <c r="G162" s="3"/>
      <c r="H162" s="3"/>
      <c r="I162" s="27"/>
      <c r="J162" s="27"/>
      <c r="K162" s="186"/>
      <c r="L162" s="186"/>
      <c r="M162" s="186"/>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70"/>
      <c r="BE162" s="165" t="s">
        <v>15</v>
      </c>
      <c r="BF162" s="23">
        <v>21</v>
      </c>
      <c r="BG162" s="23">
        <v>23</v>
      </c>
      <c r="BH162" s="23">
        <v>7</v>
      </c>
      <c r="BI162" s="90" t="b">
        <f t="shared" si="224"/>
        <v>0</v>
      </c>
      <c r="BJ162" s="46" t="b">
        <f t="shared" si="172"/>
        <v>0</v>
      </c>
      <c r="BK162" s="166">
        <f t="shared" si="173"/>
        <v>0</v>
      </c>
      <c r="BL162" s="175">
        <f>IF(SUM(BL$140:BL161,BK162)&gt;$BN$4,0,BK162)</f>
        <v>0</v>
      </c>
      <c r="BM162" s="23">
        <f t="shared" si="209"/>
        <v>0</v>
      </c>
      <c r="BN162" s="90">
        <f t="shared" si="210"/>
        <v>0</v>
      </c>
      <c r="BO162" s="24">
        <f t="shared" si="229"/>
        <v>0</v>
      </c>
      <c r="BP162" s="168">
        <f t="shared" si="174"/>
        <v>0</v>
      </c>
      <c r="BQ162" s="171">
        <f t="shared" si="175"/>
        <v>0</v>
      </c>
      <c r="BR162" s="170">
        <f t="shared" si="211"/>
        <v>0</v>
      </c>
      <c r="BS162" s="168">
        <f t="shared" si="176"/>
        <v>0</v>
      </c>
      <c r="BT162" s="171">
        <f t="shared" si="177"/>
        <v>0</v>
      </c>
      <c r="BU162" s="170">
        <f t="shared" si="212"/>
        <v>0</v>
      </c>
      <c r="BV162" s="168">
        <f t="shared" si="178"/>
        <v>0</v>
      </c>
      <c r="BW162" s="171">
        <f t="shared" si="179"/>
        <v>0</v>
      </c>
      <c r="BX162" s="170">
        <f t="shared" si="213"/>
        <v>0</v>
      </c>
      <c r="BY162" s="168">
        <f t="shared" si="180"/>
        <v>0</v>
      </c>
      <c r="BZ162" s="171">
        <f t="shared" si="181"/>
        <v>0</v>
      </c>
      <c r="CA162" s="170">
        <f t="shared" si="214"/>
        <v>0</v>
      </c>
      <c r="CB162" s="90">
        <f t="shared" si="182"/>
        <v>0</v>
      </c>
      <c r="CC162" s="171">
        <f t="shared" si="183"/>
        <v>0</v>
      </c>
      <c r="CD162" s="170">
        <f t="shared" si="215"/>
        <v>0</v>
      </c>
      <c r="CE162" s="90">
        <f t="shared" si="184"/>
        <v>0</v>
      </c>
      <c r="CF162" s="171">
        <f t="shared" si="185"/>
        <v>0</v>
      </c>
      <c r="CG162" s="170">
        <f t="shared" si="216"/>
        <v>0</v>
      </c>
      <c r="CH162" s="90">
        <f t="shared" si="186"/>
        <v>0</v>
      </c>
      <c r="CI162" s="171">
        <f t="shared" si="187"/>
        <v>0</v>
      </c>
      <c r="CJ162" s="170">
        <f t="shared" si="217"/>
        <v>0</v>
      </c>
      <c r="CK162" s="90">
        <f t="shared" si="188"/>
        <v>0</v>
      </c>
      <c r="CL162" s="171">
        <f t="shared" si="189"/>
        <v>0</v>
      </c>
      <c r="CM162" s="170">
        <f t="shared" si="218"/>
        <v>0</v>
      </c>
      <c r="CN162" s="90">
        <f t="shared" si="190"/>
        <v>0</v>
      </c>
      <c r="CO162" s="171">
        <f t="shared" si="191"/>
        <v>0</v>
      </c>
      <c r="CP162" s="170">
        <f t="shared" si="219"/>
        <v>0</v>
      </c>
      <c r="CQ162" s="90">
        <f t="shared" si="192"/>
        <v>0</v>
      </c>
      <c r="CR162" s="171">
        <f t="shared" si="193"/>
        <v>0</v>
      </c>
      <c r="CS162" s="170">
        <f t="shared" si="220"/>
        <v>0</v>
      </c>
      <c r="CT162" s="90">
        <f t="shared" si="194"/>
        <v>0</v>
      </c>
      <c r="CU162" s="171">
        <f t="shared" si="195"/>
        <v>0</v>
      </c>
      <c r="CV162" s="170">
        <f t="shared" si="221"/>
        <v>0</v>
      </c>
      <c r="CW162" s="90">
        <f t="shared" si="196"/>
        <v>0</v>
      </c>
      <c r="CX162" s="171">
        <f t="shared" si="197"/>
        <v>0</v>
      </c>
      <c r="CY162" s="170">
        <f t="shared" si="222"/>
        <v>0</v>
      </c>
      <c r="CZ162" s="168">
        <f t="shared" si="223"/>
        <v>0</v>
      </c>
      <c r="DA162" s="172">
        <f t="shared" si="225"/>
        <v>0</v>
      </c>
      <c r="DB162" s="173">
        <f t="shared" si="226"/>
        <v>0</v>
      </c>
      <c r="DC162" s="172">
        <f t="shared" si="227"/>
        <v>0</v>
      </c>
      <c r="DD162" s="172">
        <f t="shared" si="227"/>
        <v>0</v>
      </c>
      <c r="DE162" s="172">
        <f t="shared" si="227"/>
        <v>0</v>
      </c>
      <c r="DF162" s="172">
        <f t="shared" si="228"/>
        <v>0</v>
      </c>
      <c r="DG162" s="1"/>
      <c r="DH162" s="1"/>
      <c r="DI162" s="3"/>
      <c r="DJ162" s="8"/>
      <c r="DK162" s="8"/>
      <c r="DL162" s="8"/>
      <c r="DM162" s="8"/>
      <c r="DN162" s="8"/>
      <c r="DO162" s="8"/>
      <c r="DP162" s="8"/>
      <c r="DQ162" s="3"/>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row>
    <row r="163" spans="1:155" s="565" customFormat="1" hidden="1">
      <c r="A163" s="181"/>
      <c r="B163" s="194" t="s">
        <v>172</v>
      </c>
      <c r="C163" s="697"/>
      <c r="D163" s="698"/>
      <c r="E163" s="3"/>
      <c r="F163" s="3"/>
      <c r="G163" s="3"/>
      <c r="H163" s="3"/>
      <c r="I163" s="27"/>
      <c r="J163" s="27"/>
      <c r="K163" s="186"/>
      <c r="L163" s="186"/>
      <c r="M163" s="186"/>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70"/>
      <c r="BE163" s="165" t="s">
        <v>15</v>
      </c>
      <c r="BF163" s="23">
        <v>21</v>
      </c>
      <c r="BG163" s="23">
        <v>24</v>
      </c>
      <c r="BH163" s="23">
        <v>1</v>
      </c>
      <c r="BI163" s="90" t="b">
        <f t="shared" si="224"/>
        <v>1</v>
      </c>
      <c r="BJ163" s="46" t="b">
        <f t="shared" si="172"/>
        <v>0</v>
      </c>
      <c r="BK163" s="166">
        <f t="shared" si="173"/>
        <v>0</v>
      </c>
      <c r="BL163" s="175">
        <f>IF(SUM(BL$140:BL162,BK163)&gt;$BN$4,0,BK163)</f>
        <v>0</v>
      </c>
      <c r="BM163" s="23">
        <f t="shared" si="209"/>
        <v>0</v>
      </c>
      <c r="BN163" s="90">
        <f t="shared" si="210"/>
        <v>0</v>
      </c>
      <c r="BO163" s="24">
        <f t="shared" si="229"/>
        <v>0</v>
      </c>
      <c r="BP163" s="168">
        <f t="shared" si="174"/>
        <v>0</v>
      </c>
      <c r="BQ163" s="171">
        <f t="shared" si="175"/>
        <v>0</v>
      </c>
      <c r="BR163" s="170">
        <f t="shared" si="211"/>
        <v>0</v>
      </c>
      <c r="BS163" s="168">
        <f t="shared" si="176"/>
        <v>0</v>
      </c>
      <c r="BT163" s="171">
        <f t="shared" si="177"/>
        <v>0</v>
      </c>
      <c r="BU163" s="170">
        <f t="shared" si="212"/>
        <v>0</v>
      </c>
      <c r="BV163" s="168">
        <f t="shared" si="178"/>
        <v>0</v>
      </c>
      <c r="BW163" s="171">
        <f t="shared" si="179"/>
        <v>0</v>
      </c>
      <c r="BX163" s="170">
        <f t="shared" si="213"/>
        <v>0</v>
      </c>
      <c r="BY163" s="168">
        <f t="shared" si="180"/>
        <v>0</v>
      </c>
      <c r="BZ163" s="171">
        <f t="shared" si="181"/>
        <v>0</v>
      </c>
      <c r="CA163" s="170">
        <f t="shared" si="214"/>
        <v>0</v>
      </c>
      <c r="CB163" s="90">
        <f t="shared" si="182"/>
        <v>0</v>
      </c>
      <c r="CC163" s="171">
        <f t="shared" si="183"/>
        <v>0</v>
      </c>
      <c r="CD163" s="170">
        <f t="shared" si="215"/>
        <v>0</v>
      </c>
      <c r="CE163" s="90">
        <f t="shared" si="184"/>
        <v>0</v>
      </c>
      <c r="CF163" s="171">
        <f t="shared" si="185"/>
        <v>0</v>
      </c>
      <c r="CG163" s="170">
        <f t="shared" si="216"/>
        <v>0</v>
      </c>
      <c r="CH163" s="90">
        <f t="shared" si="186"/>
        <v>0</v>
      </c>
      <c r="CI163" s="171">
        <f t="shared" si="187"/>
        <v>0</v>
      </c>
      <c r="CJ163" s="170">
        <f t="shared" si="217"/>
        <v>0</v>
      </c>
      <c r="CK163" s="90">
        <f t="shared" si="188"/>
        <v>0</v>
      </c>
      <c r="CL163" s="171">
        <f t="shared" si="189"/>
        <v>0</v>
      </c>
      <c r="CM163" s="170">
        <f t="shared" si="218"/>
        <v>0</v>
      </c>
      <c r="CN163" s="90">
        <f t="shared" si="190"/>
        <v>0</v>
      </c>
      <c r="CO163" s="171">
        <f t="shared" si="191"/>
        <v>0</v>
      </c>
      <c r="CP163" s="170">
        <f t="shared" si="219"/>
        <v>0</v>
      </c>
      <c r="CQ163" s="90">
        <f t="shared" si="192"/>
        <v>0</v>
      </c>
      <c r="CR163" s="171">
        <f t="shared" si="193"/>
        <v>0</v>
      </c>
      <c r="CS163" s="170">
        <f t="shared" si="220"/>
        <v>0</v>
      </c>
      <c r="CT163" s="90">
        <f t="shared" si="194"/>
        <v>0</v>
      </c>
      <c r="CU163" s="171">
        <f t="shared" si="195"/>
        <v>0</v>
      </c>
      <c r="CV163" s="170">
        <f t="shared" si="221"/>
        <v>0</v>
      </c>
      <c r="CW163" s="90">
        <f t="shared" si="196"/>
        <v>0</v>
      </c>
      <c r="CX163" s="171">
        <f t="shared" si="197"/>
        <v>0</v>
      </c>
      <c r="CY163" s="170">
        <f t="shared" si="222"/>
        <v>0</v>
      </c>
      <c r="CZ163" s="168">
        <f t="shared" si="223"/>
        <v>0</v>
      </c>
      <c r="DA163" s="172">
        <f t="shared" si="225"/>
        <v>0</v>
      </c>
      <c r="DB163" s="173">
        <f t="shared" si="226"/>
        <v>0</v>
      </c>
      <c r="DC163" s="172">
        <f t="shared" si="227"/>
        <v>0</v>
      </c>
      <c r="DD163" s="172">
        <f t="shared" si="227"/>
        <v>0</v>
      </c>
      <c r="DE163" s="172">
        <f t="shared" si="227"/>
        <v>0</v>
      </c>
      <c r="DF163" s="172">
        <f t="shared" si="228"/>
        <v>0</v>
      </c>
      <c r="DG163" s="1"/>
      <c r="DH163" s="1"/>
      <c r="DI163" s="3"/>
      <c r="DJ163" s="8"/>
      <c r="DK163" s="8"/>
      <c r="DL163" s="8"/>
      <c r="DM163" s="8"/>
      <c r="DN163" s="8"/>
      <c r="DO163" s="8"/>
      <c r="DP163" s="8"/>
      <c r="DQ163" s="3"/>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row>
    <row r="164" spans="1:155" s="565" customFormat="1" ht="12" hidden="1">
      <c r="A164" s="181"/>
      <c r="B164" s="194" t="s">
        <v>177</v>
      </c>
      <c r="C164" s="697"/>
      <c r="D164" s="698"/>
      <c r="E164" s="70"/>
      <c r="F164" s="70"/>
      <c r="G164" s="70"/>
      <c r="H164" s="70"/>
      <c r="I164" s="70"/>
      <c r="J164" s="70"/>
      <c r="K164" s="186"/>
      <c r="L164" s="186"/>
      <c r="M164" s="186"/>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70"/>
      <c r="BE164" s="165" t="s">
        <v>15</v>
      </c>
      <c r="BF164" s="23">
        <v>21</v>
      </c>
      <c r="BG164" s="23">
        <v>25</v>
      </c>
      <c r="BH164" s="23">
        <v>2</v>
      </c>
      <c r="BI164" s="90" t="b">
        <f t="shared" si="224"/>
        <v>1</v>
      </c>
      <c r="BJ164" s="46" t="b">
        <f t="shared" si="172"/>
        <v>0</v>
      </c>
      <c r="BK164" s="166">
        <f t="shared" si="173"/>
        <v>0</v>
      </c>
      <c r="BL164" s="175">
        <f>IF(SUM(BL$140:BL163,BK164)&gt;$BN$4,0,BK164)</f>
        <v>0</v>
      </c>
      <c r="BM164" s="23">
        <f t="shared" si="209"/>
        <v>0</v>
      </c>
      <c r="BN164" s="90">
        <f t="shared" si="210"/>
        <v>0</v>
      </c>
      <c r="BO164" s="24">
        <f t="shared" si="229"/>
        <v>0</v>
      </c>
      <c r="BP164" s="168">
        <f t="shared" si="174"/>
        <v>0</v>
      </c>
      <c r="BQ164" s="171">
        <f t="shared" si="175"/>
        <v>0</v>
      </c>
      <c r="BR164" s="170">
        <f t="shared" si="211"/>
        <v>0</v>
      </c>
      <c r="BS164" s="168">
        <f t="shared" si="176"/>
        <v>0</v>
      </c>
      <c r="BT164" s="171">
        <f t="shared" si="177"/>
        <v>0</v>
      </c>
      <c r="BU164" s="170">
        <f t="shared" si="212"/>
        <v>0</v>
      </c>
      <c r="BV164" s="168">
        <f t="shared" si="178"/>
        <v>0</v>
      </c>
      <c r="BW164" s="171">
        <f t="shared" si="179"/>
        <v>0</v>
      </c>
      <c r="BX164" s="170">
        <f t="shared" si="213"/>
        <v>0</v>
      </c>
      <c r="BY164" s="168">
        <f t="shared" si="180"/>
        <v>0</v>
      </c>
      <c r="BZ164" s="171">
        <f t="shared" si="181"/>
        <v>0</v>
      </c>
      <c r="CA164" s="170">
        <f t="shared" si="214"/>
        <v>0</v>
      </c>
      <c r="CB164" s="90">
        <f t="shared" si="182"/>
        <v>0</v>
      </c>
      <c r="CC164" s="171">
        <f t="shared" si="183"/>
        <v>0</v>
      </c>
      <c r="CD164" s="170">
        <f t="shared" si="215"/>
        <v>0</v>
      </c>
      <c r="CE164" s="90">
        <f t="shared" si="184"/>
        <v>0</v>
      </c>
      <c r="CF164" s="171">
        <f t="shared" si="185"/>
        <v>0</v>
      </c>
      <c r="CG164" s="170">
        <f t="shared" si="216"/>
        <v>0</v>
      </c>
      <c r="CH164" s="90">
        <f t="shared" si="186"/>
        <v>0</v>
      </c>
      <c r="CI164" s="171">
        <f t="shared" si="187"/>
        <v>0</v>
      </c>
      <c r="CJ164" s="170">
        <f t="shared" si="217"/>
        <v>0</v>
      </c>
      <c r="CK164" s="90">
        <f t="shared" si="188"/>
        <v>0</v>
      </c>
      <c r="CL164" s="171">
        <f t="shared" si="189"/>
        <v>0</v>
      </c>
      <c r="CM164" s="170">
        <f t="shared" si="218"/>
        <v>0</v>
      </c>
      <c r="CN164" s="90">
        <f t="shared" si="190"/>
        <v>0</v>
      </c>
      <c r="CO164" s="171">
        <f t="shared" si="191"/>
        <v>0</v>
      </c>
      <c r="CP164" s="170">
        <f t="shared" si="219"/>
        <v>0</v>
      </c>
      <c r="CQ164" s="90">
        <f t="shared" si="192"/>
        <v>0</v>
      </c>
      <c r="CR164" s="171">
        <f t="shared" si="193"/>
        <v>0</v>
      </c>
      <c r="CS164" s="170">
        <f t="shared" si="220"/>
        <v>0</v>
      </c>
      <c r="CT164" s="90">
        <f t="shared" si="194"/>
        <v>0</v>
      </c>
      <c r="CU164" s="171">
        <f t="shared" si="195"/>
        <v>0</v>
      </c>
      <c r="CV164" s="170">
        <f t="shared" si="221"/>
        <v>0</v>
      </c>
      <c r="CW164" s="90">
        <f t="shared" si="196"/>
        <v>0</v>
      </c>
      <c r="CX164" s="171">
        <f t="shared" si="197"/>
        <v>0</v>
      </c>
      <c r="CY164" s="170">
        <f t="shared" si="222"/>
        <v>0</v>
      </c>
      <c r="CZ164" s="168">
        <f t="shared" si="223"/>
        <v>0</v>
      </c>
      <c r="DA164" s="172">
        <f t="shared" si="225"/>
        <v>0</v>
      </c>
      <c r="DB164" s="173">
        <f t="shared" si="226"/>
        <v>0</v>
      </c>
      <c r="DC164" s="172">
        <f t="shared" si="227"/>
        <v>0</v>
      </c>
      <c r="DD164" s="172">
        <f t="shared" si="227"/>
        <v>0</v>
      </c>
      <c r="DE164" s="172">
        <f t="shared" si="227"/>
        <v>0</v>
      </c>
      <c r="DF164" s="172">
        <f t="shared" si="228"/>
        <v>0</v>
      </c>
      <c r="DG164" s="1"/>
      <c r="DH164" s="1"/>
      <c r="DI164" s="3"/>
      <c r="DJ164" s="8"/>
      <c r="DK164" s="8"/>
      <c r="DL164" s="8"/>
      <c r="DM164" s="8"/>
      <c r="DN164" s="8"/>
      <c r="DO164" s="8"/>
      <c r="DP164" s="8"/>
      <c r="DQ164" s="3"/>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row>
    <row r="165" spans="1:155" s="565" customFormat="1" ht="12" hidden="1">
      <c r="A165" s="181"/>
      <c r="B165" s="194" t="s">
        <v>180</v>
      </c>
      <c r="C165" s="697"/>
      <c r="D165" s="698"/>
      <c r="E165" s="3"/>
      <c r="F165" s="3"/>
      <c r="G165" s="70"/>
      <c r="H165" s="70"/>
      <c r="I165" s="70"/>
      <c r="J165" s="70"/>
      <c r="K165" s="186"/>
      <c r="L165" s="186"/>
      <c r="M165" s="186"/>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70"/>
      <c r="BE165" s="165" t="s">
        <v>15</v>
      </c>
      <c r="BF165" s="23">
        <v>21</v>
      </c>
      <c r="BG165" s="23">
        <v>26</v>
      </c>
      <c r="BH165" s="23">
        <v>3</v>
      </c>
      <c r="BI165" s="90" t="b">
        <f t="shared" si="224"/>
        <v>1</v>
      </c>
      <c r="BJ165" s="46" t="b">
        <f t="shared" si="172"/>
        <v>0</v>
      </c>
      <c r="BK165" s="166">
        <f t="shared" si="173"/>
        <v>0</v>
      </c>
      <c r="BL165" s="175">
        <f>IF(SUM(BL$140:BL164,BK165)&gt;$BN$4,0,BK165)</f>
        <v>0</v>
      </c>
      <c r="BM165" s="23">
        <f t="shared" si="209"/>
        <v>0</v>
      </c>
      <c r="BN165" s="90">
        <f t="shared" si="210"/>
        <v>0</v>
      </c>
      <c r="BO165" s="24">
        <f t="shared" si="229"/>
        <v>0</v>
      </c>
      <c r="BP165" s="168">
        <f t="shared" si="174"/>
        <v>0</v>
      </c>
      <c r="BQ165" s="171">
        <f t="shared" si="175"/>
        <v>0</v>
      </c>
      <c r="BR165" s="170">
        <f t="shared" si="211"/>
        <v>0</v>
      </c>
      <c r="BS165" s="168">
        <f t="shared" si="176"/>
        <v>0</v>
      </c>
      <c r="BT165" s="171">
        <f t="shared" si="177"/>
        <v>0</v>
      </c>
      <c r="BU165" s="170">
        <f t="shared" si="212"/>
        <v>0</v>
      </c>
      <c r="BV165" s="168">
        <f t="shared" si="178"/>
        <v>0</v>
      </c>
      <c r="BW165" s="171">
        <f t="shared" si="179"/>
        <v>0</v>
      </c>
      <c r="BX165" s="170">
        <f t="shared" si="213"/>
        <v>0</v>
      </c>
      <c r="BY165" s="168">
        <f t="shared" si="180"/>
        <v>0</v>
      </c>
      <c r="BZ165" s="171">
        <f t="shared" si="181"/>
        <v>0</v>
      </c>
      <c r="CA165" s="170">
        <f t="shared" si="214"/>
        <v>0</v>
      </c>
      <c r="CB165" s="90">
        <f t="shared" si="182"/>
        <v>0</v>
      </c>
      <c r="CC165" s="171">
        <f t="shared" si="183"/>
        <v>0</v>
      </c>
      <c r="CD165" s="170">
        <f t="shared" si="215"/>
        <v>0</v>
      </c>
      <c r="CE165" s="90">
        <f t="shared" si="184"/>
        <v>0</v>
      </c>
      <c r="CF165" s="171">
        <f t="shared" si="185"/>
        <v>0</v>
      </c>
      <c r="CG165" s="170">
        <f t="shared" si="216"/>
        <v>0</v>
      </c>
      <c r="CH165" s="90">
        <f t="shared" si="186"/>
        <v>0</v>
      </c>
      <c r="CI165" s="171">
        <f t="shared" si="187"/>
        <v>0</v>
      </c>
      <c r="CJ165" s="170">
        <f t="shared" si="217"/>
        <v>0</v>
      </c>
      <c r="CK165" s="90">
        <f t="shared" si="188"/>
        <v>0</v>
      </c>
      <c r="CL165" s="171">
        <f t="shared" si="189"/>
        <v>0</v>
      </c>
      <c r="CM165" s="170">
        <f t="shared" si="218"/>
        <v>0</v>
      </c>
      <c r="CN165" s="90">
        <f t="shared" si="190"/>
        <v>0</v>
      </c>
      <c r="CO165" s="171">
        <f t="shared" si="191"/>
        <v>0</v>
      </c>
      <c r="CP165" s="170">
        <f t="shared" si="219"/>
        <v>0</v>
      </c>
      <c r="CQ165" s="90">
        <f t="shared" si="192"/>
        <v>0</v>
      </c>
      <c r="CR165" s="171">
        <f t="shared" si="193"/>
        <v>0</v>
      </c>
      <c r="CS165" s="170">
        <f t="shared" si="220"/>
        <v>0</v>
      </c>
      <c r="CT165" s="90">
        <f t="shared" si="194"/>
        <v>0</v>
      </c>
      <c r="CU165" s="171">
        <f t="shared" si="195"/>
        <v>0</v>
      </c>
      <c r="CV165" s="170">
        <f t="shared" si="221"/>
        <v>0</v>
      </c>
      <c r="CW165" s="90">
        <f t="shared" si="196"/>
        <v>0</v>
      </c>
      <c r="CX165" s="171">
        <f t="shared" si="197"/>
        <v>0</v>
      </c>
      <c r="CY165" s="170">
        <f t="shared" si="222"/>
        <v>0</v>
      </c>
      <c r="CZ165" s="168">
        <f t="shared" si="223"/>
        <v>0</v>
      </c>
      <c r="DA165" s="172">
        <f t="shared" si="225"/>
        <v>0</v>
      </c>
      <c r="DB165" s="173">
        <f t="shared" si="226"/>
        <v>0</v>
      </c>
      <c r="DC165" s="172">
        <f t="shared" ref="DC165:DE180" si="230">IF(DC164+$DB165&lt;0,0,IF(DC164+$DB165&gt;$F$405,$F$405,DC164+$DB165))</f>
        <v>0</v>
      </c>
      <c r="DD165" s="172">
        <f t="shared" si="230"/>
        <v>0</v>
      </c>
      <c r="DE165" s="172">
        <f t="shared" si="230"/>
        <v>0</v>
      </c>
      <c r="DF165" s="172">
        <f t="shared" si="228"/>
        <v>0</v>
      </c>
      <c r="DG165" s="1"/>
      <c r="DH165" s="1"/>
      <c r="DI165" s="3"/>
      <c r="DJ165" s="8"/>
      <c r="DK165" s="8"/>
      <c r="DL165" s="8"/>
      <c r="DM165" s="8"/>
      <c r="DN165" s="8"/>
      <c r="DO165" s="8"/>
      <c r="DP165" s="8"/>
      <c r="DQ165" s="3"/>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row>
    <row r="166" spans="1:155" s="565" customFormat="1" ht="12" hidden="1">
      <c r="A166" s="181"/>
      <c r="B166" s="194" t="s">
        <v>15</v>
      </c>
      <c r="C166" s="697"/>
      <c r="D166" s="698"/>
      <c r="E166" s="70"/>
      <c r="F166" s="70"/>
      <c r="G166" s="70"/>
      <c r="H166" s="70"/>
      <c r="I166" s="70"/>
      <c r="J166" s="70"/>
      <c r="K166" s="186"/>
      <c r="L166" s="186"/>
      <c r="M166" s="186"/>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70"/>
      <c r="BE166" s="165" t="s">
        <v>15</v>
      </c>
      <c r="BF166" s="23">
        <v>21</v>
      </c>
      <c r="BG166" s="23">
        <v>27</v>
      </c>
      <c r="BH166" s="23">
        <v>4</v>
      </c>
      <c r="BI166" s="90" t="b">
        <f t="shared" si="224"/>
        <v>1</v>
      </c>
      <c r="BJ166" s="46" t="b">
        <f t="shared" si="172"/>
        <v>0</v>
      </c>
      <c r="BK166" s="166">
        <f t="shared" si="173"/>
        <v>0</v>
      </c>
      <c r="BL166" s="175">
        <f>IF(SUM(BL$140:BL165,BK166)&gt;$BN$4,0,BK166)</f>
        <v>0</v>
      </c>
      <c r="BM166" s="23">
        <f t="shared" si="209"/>
        <v>0</v>
      </c>
      <c r="BN166" s="90">
        <f t="shared" si="210"/>
        <v>0</v>
      </c>
      <c r="BO166" s="24">
        <f t="shared" si="229"/>
        <v>0</v>
      </c>
      <c r="BP166" s="168">
        <f t="shared" si="174"/>
        <v>0</v>
      </c>
      <c r="BQ166" s="171">
        <f t="shared" si="175"/>
        <v>0</v>
      </c>
      <c r="BR166" s="170">
        <f t="shared" si="211"/>
        <v>0</v>
      </c>
      <c r="BS166" s="168">
        <f t="shared" si="176"/>
        <v>0</v>
      </c>
      <c r="BT166" s="171">
        <f t="shared" si="177"/>
        <v>0</v>
      </c>
      <c r="BU166" s="170">
        <f t="shared" si="212"/>
        <v>0</v>
      </c>
      <c r="BV166" s="168">
        <f t="shared" si="178"/>
        <v>0</v>
      </c>
      <c r="BW166" s="171">
        <f t="shared" si="179"/>
        <v>0</v>
      </c>
      <c r="BX166" s="170">
        <f t="shared" si="213"/>
        <v>0</v>
      </c>
      <c r="BY166" s="168">
        <f t="shared" si="180"/>
        <v>0</v>
      </c>
      <c r="BZ166" s="171">
        <f t="shared" si="181"/>
        <v>0</v>
      </c>
      <c r="CA166" s="170">
        <f t="shared" si="214"/>
        <v>0</v>
      </c>
      <c r="CB166" s="90">
        <f t="shared" si="182"/>
        <v>0</v>
      </c>
      <c r="CC166" s="171">
        <f t="shared" si="183"/>
        <v>0</v>
      </c>
      <c r="CD166" s="170">
        <f t="shared" si="215"/>
        <v>0</v>
      </c>
      <c r="CE166" s="90">
        <f t="shared" si="184"/>
        <v>0</v>
      </c>
      <c r="CF166" s="171">
        <f t="shared" si="185"/>
        <v>0</v>
      </c>
      <c r="CG166" s="170">
        <f t="shared" si="216"/>
        <v>0</v>
      </c>
      <c r="CH166" s="90">
        <f t="shared" si="186"/>
        <v>0</v>
      </c>
      <c r="CI166" s="171">
        <f t="shared" si="187"/>
        <v>0</v>
      </c>
      <c r="CJ166" s="170">
        <f t="shared" si="217"/>
        <v>0</v>
      </c>
      <c r="CK166" s="90">
        <f t="shared" si="188"/>
        <v>0</v>
      </c>
      <c r="CL166" s="171">
        <f t="shared" si="189"/>
        <v>0</v>
      </c>
      <c r="CM166" s="170">
        <f t="shared" si="218"/>
        <v>0</v>
      </c>
      <c r="CN166" s="90">
        <f t="shared" si="190"/>
        <v>0</v>
      </c>
      <c r="CO166" s="171">
        <f t="shared" si="191"/>
        <v>0</v>
      </c>
      <c r="CP166" s="170">
        <f t="shared" si="219"/>
        <v>0</v>
      </c>
      <c r="CQ166" s="90">
        <f t="shared" si="192"/>
        <v>0</v>
      </c>
      <c r="CR166" s="171">
        <f t="shared" si="193"/>
        <v>0</v>
      </c>
      <c r="CS166" s="170">
        <f t="shared" si="220"/>
        <v>0</v>
      </c>
      <c r="CT166" s="90">
        <f t="shared" si="194"/>
        <v>0</v>
      </c>
      <c r="CU166" s="171">
        <f t="shared" si="195"/>
        <v>0</v>
      </c>
      <c r="CV166" s="170">
        <f t="shared" si="221"/>
        <v>0</v>
      </c>
      <c r="CW166" s="90">
        <f t="shared" si="196"/>
        <v>0</v>
      </c>
      <c r="CX166" s="171">
        <f t="shared" si="197"/>
        <v>0</v>
      </c>
      <c r="CY166" s="170">
        <f t="shared" si="222"/>
        <v>0</v>
      </c>
      <c r="CZ166" s="168">
        <f t="shared" si="223"/>
        <v>0</v>
      </c>
      <c r="DA166" s="172">
        <f t="shared" si="225"/>
        <v>0</v>
      </c>
      <c r="DB166" s="173">
        <f t="shared" si="226"/>
        <v>0</v>
      </c>
      <c r="DC166" s="172">
        <f t="shared" si="230"/>
        <v>0</v>
      </c>
      <c r="DD166" s="172">
        <f t="shared" si="230"/>
        <v>0</v>
      </c>
      <c r="DE166" s="172">
        <f t="shared" si="230"/>
        <v>0</v>
      </c>
      <c r="DF166" s="172">
        <f>IF(DA166-(DE165+CZ166)&lt;0,0,DA166-(DE165+CZ166))</f>
        <v>0</v>
      </c>
      <c r="DG166" s="1"/>
      <c r="DH166" s="1"/>
      <c r="DI166" s="3"/>
      <c r="DJ166" s="8"/>
      <c r="DK166" s="8"/>
      <c r="DL166" s="8"/>
      <c r="DM166" s="8"/>
      <c r="DN166" s="8"/>
      <c r="DO166" s="8"/>
      <c r="DP166" s="8"/>
      <c r="DQ166" s="3"/>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row>
    <row r="167" spans="1:155" s="565" customFormat="1" ht="15" hidden="1" customHeight="1">
      <c r="A167" s="181"/>
      <c r="B167" s="194" t="s">
        <v>185</v>
      </c>
      <c r="C167" s="697"/>
      <c r="D167" s="698"/>
      <c r="E167" s="70"/>
      <c r="F167" s="70"/>
      <c r="G167" s="70"/>
      <c r="H167" s="70"/>
      <c r="I167" s="70"/>
      <c r="J167" s="70"/>
      <c r="K167" s="186"/>
      <c r="L167" s="186"/>
      <c r="M167" s="186"/>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70"/>
      <c r="BE167" s="165" t="s">
        <v>15</v>
      </c>
      <c r="BF167" s="23">
        <v>21</v>
      </c>
      <c r="BG167" s="23">
        <v>28</v>
      </c>
      <c r="BH167" s="23">
        <v>5</v>
      </c>
      <c r="BI167" s="90" t="b">
        <f t="shared" si="224"/>
        <v>1</v>
      </c>
      <c r="BJ167" s="46" t="b">
        <f t="shared" si="172"/>
        <v>0</v>
      </c>
      <c r="BK167" s="166">
        <f t="shared" si="173"/>
        <v>0</v>
      </c>
      <c r="BL167" s="175">
        <f>IF(SUM(BL$140:BL166,BK167)&gt;$BN$4,0,BK167)</f>
        <v>0</v>
      </c>
      <c r="BM167" s="23">
        <f t="shared" si="209"/>
        <v>0</v>
      </c>
      <c r="BN167" s="90">
        <f t="shared" si="210"/>
        <v>0</v>
      </c>
      <c r="BO167" s="24">
        <f t="shared" si="229"/>
        <v>0</v>
      </c>
      <c r="BP167" s="168">
        <f t="shared" si="174"/>
        <v>0</v>
      </c>
      <c r="BQ167" s="171">
        <f t="shared" si="175"/>
        <v>0</v>
      </c>
      <c r="BR167" s="170">
        <f t="shared" si="211"/>
        <v>0</v>
      </c>
      <c r="BS167" s="168">
        <f t="shared" si="176"/>
        <v>0</v>
      </c>
      <c r="BT167" s="171">
        <f t="shared" si="177"/>
        <v>0</v>
      </c>
      <c r="BU167" s="170">
        <f t="shared" si="212"/>
        <v>0</v>
      </c>
      <c r="BV167" s="168">
        <f t="shared" si="178"/>
        <v>0</v>
      </c>
      <c r="BW167" s="171">
        <f t="shared" si="179"/>
        <v>0</v>
      </c>
      <c r="BX167" s="170">
        <f t="shared" si="213"/>
        <v>0</v>
      </c>
      <c r="BY167" s="168">
        <f t="shared" si="180"/>
        <v>0</v>
      </c>
      <c r="BZ167" s="171">
        <f t="shared" si="181"/>
        <v>0</v>
      </c>
      <c r="CA167" s="170">
        <f t="shared" si="214"/>
        <v>0</v>
      </c>
      <c r="CB167" s="90">
        <f t="shared" si="182"/>
        <v>0</v>
      </c>
      <c r="CC167" s="171">
        <f t="shared" si="183"/>
        <v>0</v>
      </c>
      <c r="CD167" s="170">
        <f t="shared" si="215"/>
        <v>0</v>
      </c>
      <c r="CE167" s="90">
        <f t="shared" si="184"/>
        <v>0</v>
      </c>
      <c r="CF167" s="171">
        <f t="shared" si="185"/>
        <v>0</v>
      </c>
      <c r="CG167" s="170">
        <f t="shared" si="216"/>
        <v>0</v>
      </c>
      <c r="CH167" s="90">
        <f t="shared" si="186"/>
        <v>0</v>
      </c>
      <c r="CI167" s="171">
        <f t="shared" si="187"/>
        <v>0</v>
      </c>
      <c r="CJ167" s="170">
        <f t="shared" si="217"/>
        <v>0</v>
      </c>
      <c r="CK167" s="90">
        <f t="shared" si="188"/>
        <v>0</v>
      </c>
      <c r="CL167" s="171">
        <f t="shared" si="189"/>
        <v>0</v>
      </c>
      <c r="CM167" s="170">
        <f t="shared" si="218"/>
        <v>0</v>
      </c>
      <c r="CN167" s="90">
        <f t="shared" si="190"/>
        <v>0</v>
      </c>
      <c r="CO167" s="171">
        <f t="shared" si="191"/>
        <v>0</v>
      </c>
      <c r="CP167" s="170">
        <f t="shared" si="219"/>
        <v>0</v>
      </c>
      <c r="CQ167" s="90">
        <f t="shared" si="192"/>
        <v>0</v>
      </c>
      <c r="CR167" s="171">
        <f t="shared" si="193"/>
        <v>0</v>
      </c>
      <c r="CS167" s="170">
        <f t="shared" si="220"/>
        <v>0</v>
      </c>
      <c r="CT167" s="90">
        <f t="shared" si="194"/>
        <v>0</v>
      </c>
      <c r="CU167" s="171">
        <f t="shared" si="195"/>
        <v>0</v>
      </c>
      <c r="CV167" s="170">
        <f t="shared" si="221"/>
        <v>0</v>
      </c>
      <c r="CW167" s="90">
        <f t="shared" si="196"/>
        <v>0</v>
      </c>
      <c r="CX167" s="171">
        <f t="shared" si="197"/>
        <v>0</v>
      </c>
      <c r="CY167" s="170">
        <f t="shared" si="222"/>
        <v>0</v>
      </c>
      <c r="CZ167" s="168">
        <f t="shared" si="223"/>
        <v>0</v>
      </c>
      <c r="DA167" s="172">
        <f t="shared" si="225"/>
        <v>0</v>
      </c>
      <c r="DB167" s="173">
        <f t="shared" si="226"/>
        <v>0</v>
      </c>
      <c r="DC167" s="172">
        <f t="shared" si="230"/>
        <v>0</v>
      </c>
      <c r="DD167" s="172">
        <f t="shared" si="230"/>
        <v>0</v>
      </c>
      <c r="DE167" s="172">
        <f t="shared" si="230"/>
        <v>0</v>
      </c>
      <c r="DF167" s="172">
        <f t="shared" si="228"/>
        <v>0</v>
      </c>
      <c r="DG167" s="1"/>
      <c r="DH167" s="1"/>
      <c r="DI167" s="3"/>
      <c r="DJ167" s="8"/>
      <c r="DK167" s="8"/>
      <c r="DL167" s="8"/>
      <c r="DM167" s="8"/>
      <c r="DN167" s="8"/>
      <c r="DO167" s="8"/>
      <c r="DP167" s="8"/>
      <c r="DQ167" s="3"/>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row>
    <row r="168" spans="1:155" s="565" customFormat="1" ht="15" hidden="1" customHeight="1">
      <c r="A168" s="181"/>
      <c r="B168" s="194" t="s">
        <v>186</v>
      </c>
      <c r="C168" s="697"/>
      <c r="D168" s="698"/>
      <c r="E168" s="70"/>
      <c r="F168" s="70"/>
      <c r="G168" s="70"/>
      <c r="H168" s="70"/>
      <c r="I168" s="70"/>
      <c r="J168" s="70"/>
      <c r="K168" s="186"/>
      <c r="L168" s="186"/>
      <c r="M168" s="186"/>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70"/>
      <c r="BE168" s="165" t="s">
        <v>15</v>
      </c>
      <c r="BF168" s="23">
        <v>21</v>
      </c>
      <c r="BG168" s="23">
        <v>29</v>
      </c>
      <c r="BH168" s="23">
        <v>6</v>
      </c>
      <c r="BI168" s="90" t="b">
        <f t="shared" si="224"/>
        <v>0</v>
      </c>
      <c r="BJ168" s="46" t="b">
        <f t="shared" si="172"/>
        <v>0</v>
      </c>
      <c r="BK168" s="166">
        <f t="shared" si="173"/>
        <v>0</v>
      </c>
      <c r="BL168" s="175">
        <f>IF(SUM(BL$140:BL167,BK168)&gt;$BN$4,0,BK168)</f>
        <v>0</v>
      </c>
      <c r="BM168" s="23">
        <f t="shared" si="209"/>
        <v>0</v>
      </c>
      <c r="BN168" s="90">
        <f t="shared" si="210"/>
        <v>0</v>
      </c>
      <c r="BO168" s="24">
        <f t="shared" si="229"/>
        <v>0</v>
      </c>
      <c r="BP168" s="168">
        <f t="shared" si="174"/>
        <v>0</v>
      </c>
      <c r="BQ168" s="171">
        <f t="shared" si="175"/>
        <v>0</v>
      </c>
      <c r="BR168" s="170">
        <f t="shared" si="211"/>
        <v>0</v>
      </c>
      <c r="BS168" s="168">
        <f t="shared" si="176"/>
        <v>0</v>
      </c>
      <c r="BT168" s="171">
        <f t="shared" si="177"/>
        <v>0</v>
      </c>
      <c r="BU168" s="170">
        <f t="shared" si="212"/>
        <v>0</v>
      </c>
      <c r="BV168" s="168">
        <f t="shared" si="178"/>
        <v>0</v>
      </c>
      <c r="BW168" s="171">
        <f t="shared" si="179"/>
        <v>0</v>
      </c>
      <c r="BX168" s="170">
        <f t="shared" si="213"/>
        <v>0</v>
      </c>
      <c r="BY168" s="168">
        <f t="shared" si="180"/>
        <v>0</v>
      </c>
      <c r="BZ168" s="171">
        <f t="shared" si="181"/>
        <v>0</v>
      </c>
      <c r="CA168" s="170">
        <f t="shared" si="214"/>
        <v>0</v>
      </c>
      <c r="CB168" s="90">
        <f t="shared" si="182"/>
        <v>0</v>
      </c>
      <c r="CC168" s="171">
        <f t="shared" si="183"/>
        <v>0</v>
      </c>
      <c r="CD168" s="170">
        <f t="shared" si="215"/>
        <v>0</v>
      </c>
      <c r="CE168" s="90">
        <f t="shared" si="184"/>
        <v>0</v>
      </c>
      <c r="CF168" s="171">
        <f t="shared" si="185"/>
        <v>0</v>
      </c>
      <c r="CG168" s="170">
        <f t="shared" si="216"/>
        <v>0</v>
      </c>
      <c r="CH168" s="90">
        <f t="shared" si="186"/>
        <v>0</v>
      </c>
      <c r="CI168" s="171">
        <f t="shared" si="187"/>
        <v>0</v>
      </c>
      <c r="CJ168" s="170">
        <f t="shared" si="217"/>
        <v>0</v>
      </c>
      <c r="CK168" s="90">
        <f t="shared" si="188"/>
        <v>0</v>
      </c>
      <c r="CL168" s="171">
        <f t="shared" si="189"/>
        <v>0</v>
      </c>
      <c r="CM168" s="170">
        <f t="shared" si="218"/>
        <v>0</v>
      </c>
      <c r="CN168" s="90">
        <f t="shared" si="190"/>
        <v>0</v>
      </c>
      <c r="CO168" s="171">
        <f t="shared" si="191"/>
        <v>0</v>
      </c>
      <c r="CP168" s="170">
        <f t="shared" si="219"/>
        <v>0</v>
      </c>
      <c r="CQ168" s="90">
        <f t="shared" si="192"/>
        <v>0</v>
      </c>
      <c r="CR168" s="171">
        <f t="shared" si="193"/>
        <v>0</v>
      </c>
      <c r="CS168" s="170">
        <f t="shared" si="220"/>
        <v>0</v>
      </c>
      <c r="CT168" s="90">
        <f t="shared" si="194"/>
        <v>0</v>
      </c>
      <c r="CU168" s="171">
        <f t="shared" si="195"/>
        <v>0</v>
      </c>
      <c r="CV168" s="170">
        <f t="shared" si="221"/>
        <v>0</v>
      </c>
      <c r="CW168" s="90">
        <f t="shared" si="196"/>
        <v>0</v>
      </c>
      <c r="CX168" s="171">
        <f t="shared" si="197"/>
        <v>0</v>
      </c>
      <c r="CY168" s="170">
        <f t="shared" si="222"/>
        <v>0</v>
      </c>
      <c r="CZ168" s="168">
        <f t="shared" si="223"/>
        <v>0</v>
      </c>
      <c r="DA168" s="172">
        <f t="shared" si="225"/>
        <v>0</v>
      </c>
      <c r="DB168" s="173">
        <f t="shared" si="226"/>
        <v>0</v>
      </c>
      <c r="DC168" s="172">
        <f t="shared" si="230"/>
        <v>0</v>
      </c>
      <c r="DD168" s="172">
        <f t="shared" si="230"/>
        <v>0</v>
      </c>
      <c r="DE168" s="172">
        <f t="shared" si="230"/>
        <v>0</v>
      </c>
      <c r="DF168" s="172">
        <f t="shared" si="228"/>
        <v>0</v>
      </c>
      <c r="DG168" s="1"/>
      <c r="DH168" s="1"/>
      <c r="DI168" s="3"/>
      <c r="DJ168" s="8"/>
      <c r="DK168" s="8"/>
      <c r="DL168" s="8"/>
      <c r="DM168" s="8"/>
      <c r="DN168" s="8"/>
      <c r="DO168" s="8"/>
      <c r="DP168" s="8"/>
      <c r="DQ168" s="3"/>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row>
    <row r="169" spans="1:155" s="565" customFormat="1" ht="15" hidden="1" customHeight="1">
      <c r="A169" s="181"/>
      <c r="B169" s="194" t="s">
        <v>187</v>
      </c>
      <c r="C169" s="697"/>
      <c r="D169" s="698"/>
      <c r="E169" s="70"/>
      <c r="F169" s="70"/>
      <c r="G169" s="70"/>
      <c r="H169" s="70"/>
      <c r="I169" s="70"/>
      <c r="J169" s="70"/>
      <c r="K169" s="186"/>
      <c r="L169" s="186"/>
      <c r="M169" s="186"/>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276"/>
      <c r="BE169" s="165" t="s">
        <v>15</v>
      </c>
      <c r="BF169" s="23">
        <v>21</v>
      </c>
      <c r="BG169" s="23">
        <v>30</v>
      </c>
      <c r="BH169" s="23">
        <v>7</v>
      </c>
      <c r="BI169" s="90" t="b">
        <f t="shared" si="224"/>
        <v>0</v>
      </c>
      <c r="BJ169" s="46" t="b">
        <f t="shared" si="172"/>
        <v>0</v>
      </c>
      <c r="BK169" s="166">
        <f t="shared" si="173"/>
        <v>0</v>
      </c>
      <c r="BL169" s="175">
        <f>IF(SUM(BL$140:BL168,BK169)&gt;$BN$4,0,BK169)</f>
        <v>0</v>
      </c>
      <c r="BM169" s="23">
        <f t="shared" si="209"/>
        <v>0</v>
      </c>
      <c r="BN169" s="90">
        <f t="shared" si="210"/>
        <v>0</v>
      </c>
      <c r="BO169" s="24">
        <f t="shared" si="229"/>
        <v>0</v>
      </c>
      <c r="BP169" s="168">
        <f t="shared" si="174"/>
        <v>0</v>
      </c>
      <c r="BQ169" s="171">
        <f t="shared" si="175"/>
        <v>0</v>
      </c>
      <c r="BR169" s="170">
        <f t="shared" si="211"/>
        <v>0</v>
      </c>
      <c r="BS169" s="168">
        <f t="shared" si="176"/>
        <v>0</v>
      </c>
      <c r="BT169" s="171">
        <f t="shared" si="177"/>
        <v>0</v>
      </c>
      <c r="BU169" s="170">
        <f t="shared" si="212"/>
        <v>0</v>
      </c>
      <c r="BV169" s="168">
        <f t="shared" si="178"/>
        <v>0</v>
      </c>
      <c r="BW169" s="171">
        <f t="shared" si="179"/>
        <v>0</v>
      </c>
      <c r="BX169" s="170">
        <f t="shared" si="213"/>
        <v>0</v>
      </c>
      <c r="BY169" s="168">
        <f t="shared" si="180"/>
        <v>0</v>
      </c>
      <c r="BZ169" s="171">
        <f t="shared" si="181"/>
        <v>0</v>
      </c>
      <c r="CA169" s="170">
        <f t="shared" si="214"/>
        <v>0</v>
      </c>
      <c r="CB169" s="90">
        <f t="shared" si="182"/>
        <v>0</v>
      </c>
      <c r="CC169" s="171">
        <f t="shared" si="183"/>
        <v>0</v>
      </c>
      <c r="CD169" s="170">
        <f t="shared" si="215"/>
        <v>0</v>
      </c>
      <c r="CE169" s="90">
        <f t="shared" si="184"/>
        <v>0</v>
      </c>
      <c r="CF169" s="171">
        <f t="shared" si="185"/>
        <v>0</v>
      </c>
      <c r="CG169" s="170">
        <f t="shared" si="216"/>
        <v>0</v>
      </c>
      <c r="CH169" s="90">
        <f t="shared" si="186"/>
        <v>0</v>
      </c>
      <c r="CI169" s="171">
        <f t="shared" si="187"/>
        <v>0</v>
      </c>
      <c r="CJ169" s="170">
        <f t="shared" si="217"/>
        <v>0</v>
      </c>
      <c r="CK169" s="90">
        <f t="shared" si="188"/>
        <v>0</v>
      </c>
      <c r="CL169" s="171">
        <f t="shared" si="189"/>
        <v>0</v>
      </c>
      <c r="CM169" s="170">
        <f t="shared" si="218"/>
        <v>0</v>
      </c>
      <c r="CN169" s="90">
        <f t="shared" si="190"/>
        <v>0</v>
      </c>
      <c r="CO169" s="171">
        <f t="shared" si="191"/>
        <v>0</v>
      </c>
      <c r="CP169" s="170">
        <f t="shared" si="219"/>
        <v>0</v>
      </c>
      <c r="CQ169" s="90">
        <f t="shared" si="192"/>
        <v>0</v>
      </c>
      <c r="CR169" s="171">
        <f t="shared" si="193"/>
        <v>0</v>
      </c>
      <c r="CS169" s="170">
        <f t="shared" si="220"/>
        <v>0</v>
      </c>
      <c r="CT169" s="90">
        <f t="shared" si="194"/>
        <v>0</v>
      </c>
      <c r="CU169" s="171">
        <f t="shared" si="195"/>
        <v>0</v>
      </c>
      <c r="CV169" s="170">
        <f t="shared" si="221"/>
        <v>0</v>
      </c>
      <c r="CW169" s="90">
        <f t="shared" si="196"/>
        <v>0</v>
      </c>
      <c r="CX169" s="171">
        <f t="shared" si="197"/>
        <v>0</v>
      </c>
      <c r="CY169" s="170">
        <f t="shared" si="222"/>
        <v>0</v>
      </c>
      <c r="CZ169" s="168">
        <f t="shared" si="223"/>
        <v>0</v>
      </c>
      <c r="DA169" s="172">
        <f t="shared" si="225"/>
        <v>0</v>
      </c>
      <c r="DB169" s="173">
        <f t="shared" si="226"/>
        <v>0</v>
      </c>
      <c r="DC169" s="172">
        <f t="shared" si="230"/>
        <v>0</v>
      </c>
      <c r="DD169" s="172">
        <f t="shared" si="230"/>
        <v>0</v>
      </c>
      <c r="DE169" s="172">
        <f t="shared" si="230"/>
        <v>0</v>
      </c>
      <c r="DF169" s="172">
        <f t="shared" si="228"/>
        <v>0</v>
      </c>
      <c r="DG169" s="1"/>
      <c r="DH169" s="1"/>
      <c r="DI169" s="3"/>
      <c r="DJ169" s="8"/>
      <c r="DK169" s="8"/>
      <c r="DL169" s="8"/>
      <c r="DM169" s="8"/>
      <c r="DN169" s="8"/>
      <c r="DO169" s="8"/>
      <c r="DP169" s="8"/>
      <c r="DQ169" s="3"/>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row>
    <row r="170" spans="1:155" s="565" customFormat="1" ht="15" hidden="1" customHeight="1">
      <c r="A170" s="221"/>
      <c r="B170" s="194" t="s">
        <v>188</v>
      </c>
      <c r="C170" s="697"/>
      <c r="D170" s="698"/>
      <c r="E170" s="70"/>
      <c r="F170" s="70"/>
      <c r="G170" s="70"/>
      <c r="H170" s="70"/>
      <c r="I170" s="70"/>
      <c r="J170" s="70"/>
      <c r="K170" s="186"/>
      <c r="L170" s="186"/>
      <c r="M170" s="186"/>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70"/>
      <c r="BE170" s="165" t="s">
        <v>15</v>
      </c>
      <c r="BF170" s="23">
        <v>21</v>
      </c>
      <c r="BG170" s="23">
        <v>31</v>
      </c>
      <c r="BH170" s="23">
        <v>1</v>
      </c>
      <c r="BI170" s="90" t="b">
        <f t="shared" si="224"/>
        <v>1</v>
      </c>
      <c r="BJ170" s="46" t="b">
        <f t="shared" si="172"/>
        <v>0</v>
      </c>
      <c r="BK170" s="166">
        <f t="shared" si="173"/>
        <v>0</v>
      </c>
      <c r="BL170" s="167">
        <f>$BN$4-SUM(BL140:BL169)</f>
        <v>6.5</v>
      </c>
      <c r="BM170" s="23">
        <f t="shared" si="209"/>
        <v>0</v>
      </c>
      <c r="BN170" s="90">
        <f t="shared" si="210"/>
        <v>0</v>
      </c>
      <c r="BO170" s="24">
        <f t="shared" si="229"/>
        <v>0</v>
      </c>
      <c r="BP170" s="168">
        <f t="shared" si="174"/>
        <v>0</v>
      </c>
      <c r="BQ170" s="171">
        <f t="shared" si="175"/>
        <v>0</v>
      </c>
      <c r="BR170" s="170">
        <f t="shared" si="211"/>
        <v>0</v>
      </c>
      <c r="BS170" s="168">
        <f t="shared" si="176"/>
        <v>0</v>
      </c>
      <c r="BT170" s="171">
        <f t="shared" si="177"/>
        <v>0</v>
      </c>
      <c r="BU170" s="170">
        <f t="shared" si="212"/>
        <v>0</v>
      </c>
      <c r="BV170" s="168">
        <f t="shared" si="178"/>
        <v>0</v>
      </c>
      <c r="BW170" s="171">
        <f t="shared" si="179"/>
        <v>0</v>
      </c>
      <c r="BX170" s="170">
        <f t="shared" si="213"/>
        <v>0</v>
      </c>
      <c r="BY170" s="168">
        <f t="shared" si="180"/>
        <v>0</v>
      </c>
      <c r="BZ170" s="171">
        <f t="shared" si="181"/>
        <v>0</v>
      </c>
      <c r="CA170" s="170">
        <f t="shared" si="214"/>
        <v>0</v>
      </c>
      <c r="CB170" s="90">
        <f t="shared" si="182"/>
        <v>0</v>
      </c>
      <c r="CC170" s="171">
        <f t="shared" si="183"/>
        <v>0</v>
      </c>
      <c r="CD170" s="170">
        <f t="shared" si="215"/>
        <v>0</v>
      </c>
      <c r="CE170" s="90">
        <f t="shared" si="184"/>
        <v>0</v>
      </c>
      <c r="CF170" s="171">
        <f t="shared" si="185"/>
        <v>0</v>
      </c>
      <c r="CG170" s="170">
        <f t="shared" si="216"/>
        <v>0</v>
      </c>
      <c r="CH170" s="90">
        <f t="shared" si="186"/>
        <v>0</v>
      </c>
      <c r="CI170" s="171">
        <f t="shared" si="187"/>
        <v>0</v>
      </c>
      <c r="CJ170" s="170">
        <f t="shared" si="217"/>
        <v>0</v>
      </c>
      <c r="CK170" s="90">
        <f t="shared" si="188"/>
        <v>0</v>
      </c>
      <c r="CL170" s="171">
        <f t="shared" si="189"/>
        <v>0</v>
      </c>
      <c r="CM170" s="170">
        <f t="shared" si="218"/>
        <v>0</v>
      </c>
      <c r="CN170" s="90">
        <f t="shared" si="190"/>
        <v>0</v>
      </c>
      <c r="CO170" s="171">
        <f t="shared" si="191"/>
        <v>0</v>
      </c>
      <c r="CP170" s="170">
        <f t="shared" si="219"/>
        <v>0</v>
      </c>
      <c r="CQ170" s="90">
        <f t="shared" si="192"/>
        <v>0</v>
      </c>
      <c r="CR170" s="171">
        <f t="shared" si="193"/>
        <v>0</v>
      </c>
      <c r="CS170" s="170">
        <f t="shared" si="220"/>
        <v>0</v>
      </c>
      <c r="CT170" s="90">
        <f t="shared" si="194"/>
        <v>0</v>
      </c>
      <c r="CU170" s="171">
        <f t="shared" si="195"/>
        <v>0</v>
      </c>
      <c r="CV170" s="170">
        <f t="shared" si="221"/>
        <v>0</v>
      </c>
      <c r="CW170" s="90">
        <f t="shared" si="196"/>
        <v>0</v>
      </c>
      <c r="CX170" s="171">
        <f t="shared" si="197"/>
        <v>0</v>
      </c>
      <c r="CY170" s="170">
        <f t="shared" si="222"/>
        <v>0</v>
      </c>
      <c r="CZ170" s="168">
        <f t="shared" si="223"/>
        <v>0</v>
      </c>
      <c r="DA170" s="172">
        <f t="shared" si="225"/>
        <v>0</v>
      </c>
      <c r="DB170" s="173">
        <f t="shared" si="226"/>
        <v>0</v>
      </c>
      <c r="DC170" s="172">
        <f t="shared" si="230"/>
        <v>0</v>
      </c>
      <c r="DD170" s="172">
        <f t="shared" si="230"/>
        <v>0</v>
      </c>
      <c r="DE170" s="172">
        <f t="shared" si="230"/>
        <v>0</v>
      </c>
      <c r="DF170" s="172">
        <f t="shared" si="228"/>
        <v>0</v>
      </c>
      <c r="DG170" s="1"/>
      <c r="DH170" s="1"/>
      <c r="DI170" s="3"/>
      <c r="DJ170" s="8"/>
      <c r="DK170" s="8"/>
      <c r="DL170" s="8"/>
      <c r="DM170" s="8"/>
      <c r="DN170" s="8"/>
      <c r="DO170" s="8"/>
      <c r="DP170" s="8"/>
      <c r="DQ170" s="3"/>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row>
    <row r="171" spans="1:155" s="565" customFormat="1" ht="15" hidden="1" customHeight="1">
      <c r="A171" s="181"/>
      <c r="B171" s="194" t="s">
        <v>189</v>
      </c>
      <c r="C171" s="697"/>
      <c r="D171" s="698"/>
      <c r="E171" s="70"/>
      <c r="F171" s="70"/>
      <c r="G171" s="70"/>
      <c r="H171" s="70"/>
      <c r="I171" s="70"/>
      <c r="J171" s="70"/>
      <c r="K171" s="186"/>
      <c r="L171" s="186"/>
      <c r="M171" s="186"/>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27"/>
      <c r="BE171" s="165" t="s">
        <v>16</v>
      </c>
      <c r="BF171" s="23">
        <v>22</v>
      </c>
      <c r="BG171" s="23">
        <v>1</v>
      </c>
      <c r="BH171" s="23">
        <v>2</v>
      </c>
      <c r="BI171" s="90" t="b">
        <f t="shared" si="224"/>
        <v>1</v>
      </c>
      <c r="BJ171" s="46" t="b">
        <f t="shared" ref="BJ171:BJ200" si="231">MOD(BG171,$BO$7)=0</f>
        <v>0</v>
      </c>
      <c r="BK171" s="166">
        <f t="shared" ref="BK171:BK200" si="232">IF(BJ171,BO$8,0)</f>
        <v>0</v>
      </c>
      <c r="BL171" s="167">
        <f>BK171</f>
        <v>0</v>
      </c>
      <c r="BM171" s="23">
        <f t="shared" si="209"/>
        <v>0</v>
      </c>
      <c r="BN171" s="90">
        <f t="shared" si="210"/>
        <v>0</v>
      </c>
      <c r="BO171" s="24">
        <f t="shared" si="229"/>
        <v>0</v>
      </c>
      <c r="BP171" s="168">
        <f t="shared" ref="BP171:BP200" si="233">$Q$339/$BF$171*BR$16*$BI171</f>
        <v>0</v>
      </c>
      <c r="BQ171" s="171">
        <f t="shared" ref="BQ171:BQ200" si="234">AQ$374/$BF171*$BI171</f>
        <v>0</v>
      </c>
      <c r="BR171" s="170">
        <f t="shared" si="211"/>
        <v>0</v>
      </c>
      <c r="BS171" s="168">
        <f t="shared" ref="BS171:BS200" si="235">$R$339/$BF171*BU$16*$BI171</f>
        <v>0</v>
      </c>
      <c r="BT171" s="171">
        <f t="shared" ref="BT171:BT200" si="236">AR$374/$BF171*$BI171</f>
        <v>0</v>
      </c>
      <c r="BU171" s="170">
        <f t="shared" si="212"/>
        <v>0</v>
      </c>
      <c r="BV171" s="168">
        <f t="shared" ref="BV171:BV200" si="237">$S$339/$BF171*BX$16*$BI171</f>
        <v>0</v>
      </c>
      <c r="BW171" s="171">
        <f t="shared" ref="BW171:BW200" si="238">AS$374/$BF171*$BI171</f>
        <v>0</v>
      </c>
      <c r="BX171" s="170">
        <f t="shared" si="213"/>
        <v>0</v>
      </c>
      <c r="BY171" s="168">
        <f t="shared" ref="BY171:BY200" si="239">$T$339/$BF171*CA$16*$BI171</f>
        <v>0</v>
      </c>
      <c r="BZ171" s="171">
        <f t="shared" ref="BZ171:BZ200" si="240">AT$374/$BF171*$BI171</f>
        <v>0</v>
      </c>
      <c r="CA171" s="170">
        <f t="shared" si="214"/>
        <v>0</v>
      </c>
      <c r="CB171" s="90">
        <f t="shared" ref="CB171:CB200" si="241">$W$339/BF171*BI171*$C$419</f>
        <v>0</v>
      </c>
      <c r="CC171" s="171">
        <f t="shared" ref="CC171:CC200" si="242">AU$374/$BF171*$BI171</f>
        <v>0</v>
      </c>
      <c r="CD171" s="170">
        <f t="shared" si="215"/>
        <v>0</v>
      </c>
      <c r="CE171" s="90">
        <f t="shared" ref="CE171:CE200" si="243">$X$339/BF171*BI171*$C$420</f>
        <v>0</v>
      </c>
      <c r="CF171" s="171">
        <f t="shared" ref="CF171:CF200" si="244">AV$374/$BF171*$BI171</f>
        <v>0</v>
      </c>
      <c r="CG171" s="170">
        <f t="shared" si="216"/>
        <v>0</v>
      </c>
      <c r="CH171" s="90">
        <f t="shared" ref="CH171:CH200" si="245">$Y$339/BF171*BI171*$C$421</f>
        <v>0</v>
      </c>
      <c r="CI171" s="171">
        <f t="shared" ref="CI171:CI200" si="246">AW$374/$BF171*$BI171</f>
        <v>0</v>
      </c>
      <c r="CJ171" s="170">
        <f t="shared" si="217"/>
        <v>0</v>
      </c>
      <c r="CK171" s="90">
        <f t="shared" ref="CK171:CK200" si="247">$Z$339/BF171*BI171*$CM$16</f>
        <v>0</v>
      </c>
      <c r="CL171" s="171">
        <f t="shared" ref="CL171:CL200" si="248">AX$374/$BF171*$BI171</f>
        <v>0</v>
      </c>
      <c r="CM171" s="170">
        <f t="shared" si="218"/>
        <v>0</v>
      </c>
      <c r="CN171" s="90">
        <f t="shared" ref="CN171:CN200" si="249">$AA$339/BF171*BI171*$CP$16</f>
        <v>0</v>
      </c>
      <c r="CO171" s="171">
        <f t="shared" ref="CO171:CO200" si="250">$AY$374/$BF171*$BI171</f>
        <v>0</v>
      </c>
      <c r="CP171" s="170">
        <f t="shared" si="219"/>
        <v>0</v>
      </c>
      <c r="CQ171" s="90">
        <f t="shared" ref="CQ171:CQ200" si="251">$AB$339/BF171*BI171*$CS$16</f>
        <v>0</v>
      </c>
      <c r="CR171" s="171">
        <f t="shared" ref="CR171:CR200" si="252">AZ$374/$BF171*$BI171</f>
        <v>0</v>
      </c>
      <c r="CS171" s="170">
        <f t="shared" si="220"/>
        <v>0</v>
      </c>
      <c r="CT171" s="90">
        <f t="shared" ref="CT171:CT200" si="253">$AC$339/BF171*BI171*$CV$16</f>
        <v>0</v>
      </c>
      <c r="CU171" s="171">
        <f t="shared" ref="CU171:CU200" si="254">BA$374/$BF171*$BI171</f>
        <v>0</v>
      </c>
      <c r="CV171" s="170">
        <f t="shared" si="221"/>
        <v>0</v>
      </c>
      <c r="CW171" s="90">
        <f t="shared" ref="CW171:CW200" si="255">$AD$339/BF171*BI171*$CY$16</f>
        <v>0</v>
      </c>
      <c r="CX171" s="171">
        <f t="shared" ref="CX171:CX200" si="256">BB$374/$BF171*$BI171</f>
        <v>0</v>
      </c>
      <c r="CY171" s="170">
        <f t="shared" si="222"/>
        <v>0</v>
      </c>
      <c r="CZ171" s="168">
        <f t="shared" si="223"/>
        <v>0</v>
      </c>
      <c r="DA171" s="172">
        <f t="shared" si="225"/>
        <v>0</v>
      </c>
      <c r="DB171" s="173">
        <f t="shared" si="226"/>
        <v>0</v>
      </c>
      <c r="DC171" s="172">
        <f t="shared" si="230"/>
        <v>0</v>
      </c>
      <c r="DD171" s="172">
        <f t="shared" si="230"/>
        <v>0</v>
      </c>
      <c r="DE171" s="172">
        <f t="shared" si="230"/>
        <v>0</v>
      </c>
      <c r="DF171" s="172">
        <f>IF(DA171-(DE170+CZ171)&lt;0,0,DA171-(DE170+CZ171))</f>
        <v>0</v>
      </c>
      <c r="DG171" s="136"/>
      <c r="DH171" s="136"/>
      <c r="DI171" s="3"/>
      <c r="DJ171" s="8"/>
      <c r="DK171" s="8"/>
      <c r="DL171" s="8"/>
      <c r="DM171" s="8"/>
      <c r="DN171" s="8"/>
      <c r="DO171" s="8"/>
      <c r="DP171" s="8"/>
      <c r="DQ171" s="3"/>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row>
    <row r="172" spans="1:155" s="566" customFormat="1" ht="15" hidden="1" customHeight="1">
      <c r="A172" s="181"/>
      <c r="B172" s="194" t="s">
        <v>190</v>
      </c>
      <c r="C172" s="697"/>
      <c r="D172" s="698"/>
      <c r="E172" s="70"/>
      <c r="F172" s="70"/>
      <c r="G172" s="70"/>
      <c r="H172" s="70"/>
      <c r="I172" s="70"/>
      <c r="J172" s="70"/>
      <c r="K172" s="186"/>
      <c r="L172" s="186"/>
      <c r="M172" s="186"/>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80"/>
      <c r="BE172" s="165" t="s">
        <v>16</v>
      </c>
      <c r="BF172" s="23">
        <v>22</v>
      </c>
      <c r="BG172" s="23">
        <v>2</v>
      </c>
      <c r="BH172" s="23">
        <v>3</v>
      </c>
      <c r="BI172" s="90" t="b">
        <f t="shared" si="224"/>
        <v>1</v>
      </c>
      <c r="BJ172" s="46" t="b">
        <f t="shared" si="231"/>
        <v>0</v>
      </c>
      <c r="BK172" s="166">
        <f t="shared" si="232"/>
        <v>0</v>
      </c>
      <c r="BL172" s="175">
        <f>IF(SUM(BL$171:BL171,BK172)&gt;$BO$4,0,BK172)</f>
        <v>0</v>
      </c>
      <c r="BM172" s="23">
        <f t="shared" si="209"/>
        <v>0</v>
      </c>
      <c r="BN172" s="90">
        <f t="shared" si="210"/>
        <v>0</v>
      </c>
      <c r="BO172" s="24">
        <f t="shared" si="229"/>
        <v>0</v>
      </c>
      <c r="BP172" s="168">
        <f t="shared" si="233"/>
        <v>0</v>
      </c>
      <c r="BQ172" s="171">
        <f t="shared" si="234"/>
        <v>0</v>
      </c>
      <c r="BR172" s="170">
        <f t="shared" si="211"/>
        <v>0</v>
      </c>
      <c r="BS172" s="168">
        <f t="shared" si="235"/>
        <v>0</v>
      </c>
      <c r="BT172" s="171">
        <f t="shared" si="236"/>
        <v>0</v>
      </c>
      <c r="BU172" s="170">
        <f t="shared" si="212"/>
        <v>0</v>
      </c>
      <c r="BV172" s="168">
        <f t="shared" si="237"/>
        <v>0</v>
      </c>
      <c r="BW172" s="171">
        <f t="shared" si="238"/>
        <v>0</v>
      </c>
      <c r="BX172" s="170">
        <f t="shared" si="213"/>
        <v>0</v>
      </c>
      <c r="BY172" s="168">
        <f t="shared" si="239"/>
        <v>0</v>
      </c>
      <c r="BZ172" s="171">
        <f t="shared" si="240"/>
        <v>0</v>
      </c>
      <c r="CA172" s="170">
        <f t="shared" si="214"/>
        <v>0</v>
      </c>
      <c r="CB172" s="90">
        <f t="shared" si="241"/>
        <v>0</v>
      </c>
      <c r="CC172" s="171">
        <f t="shared" si="242"/>
        <v>0</v>
      </c>
      <c r="CD172" s="170">
        <f t="shared" si="215"/>
        <v>0</v>
      </c>
      <c r="CE172" s="90">
        <f t="shared" si="243"/>
        <v>0</v>
      </c>
      <c r="CF172" s="171">
        <f t="shared" si="244"/>
        <v>0</v>
      </c>
      <c r="CG172" s="170">
        <f t="shared" si="216"/>
        <v>0</v>
      </c>
      <c r="CH172" s="90">
        <f t="shared" si="245"/>
        <v>0</v>
      </c>
      <c r="CI172" s="171">
        <f t="shared" si="246"/>
        <v>0</v>
      </c>
      <c r="CJ172" s="170">
        <f t="shared" si="217"/>
        <v>0</v>
      </c>
      <c r="CK172" s="90">
        <f t="shared" si="247"/>
        <v>0</v>
      </c>
      <c r="CL172" s="171">
        <f t="shared" si="248"/>
        <v>0</v>
      </c>
      <c r="CM172" s="170">
        <f t="shared" si="218"/>
        <v>0</v>
      </c>
      <c r="CN172" s="90">
        <f t="shared" si="249"/>
        <v>0</v>
      </c>
      <c r="CO172" s="171">
        <f t="shared" si="250"/>
        <v>0</v>
      </c>
      <c r="CP172" s="170">
        <f t="shared" si="219"/>
        <v>0</v>
      </c>
      <c r="CQ172" s="90">
        <f t="shared" si="251"/>
        <v>0</v>
      </c>
      <c r="CR172" s="171">
        <f t="shared" si="252"/>
        <v>0</v>
      </c>
      <c r="CS172" s="170">
        <f t="shared" si="220"/>
        <v>0</v>
      </c>
      <c r="CT172" s="90">
        <f t="shared" si="253"/>
        <v>0</v>
      </c>
      <c r="CU172" s="171">
        <f t="shared" si="254"/>
        <v>0</v>
      </c>
      <c r="CV172" s="170">
        <f t="shared" si="221"/>
        <v>0</v>
      </c>
      <c r="CW172" s="90">
        <f t="shared" si="255"/>
        <v>0</v>
      </c>
      <c r="CX172" s="171">
        <f t="shared" si="256"/>
        <v>0</v>
      </c>
      <c r="CY172" s="170">
        <f t="shared" si="222"/>
        <v>0</v>
      </c>
      <c r="CZ172" s="168">
        <f t="shared" si="223"/>
        <v>0</v>
      </c>
      <c r="DA172" s="172">
        <f t="shared" si="225"/>
        <v>0</v>
      </c>
      <c r="DB172" s="173">
        <f t="shared" si="226"/>
        <v>0</v>
      </c>
      <c r="DC172" s="172">
        <f t="shared" si="230"/>
        <v>0</v>
      </c>
      <c r="DD172" s="172">
        <f t="shared" si="230"/>
        <v>0</v>
      </c>
      <c r="DE172" s="172">
        <f t="shared" si="230"/>
        <v>0</v>
      </c>
      <c r="DF172" s="172">
        <f t="shared" si="228"/>
        <v>0</v>
      </c>
      <c r="DG172" s="136"/>
      <c r="DH172" s="136"/>
      <c r="DI172" s="3"/>
      <c r="DJ172" s="8"/>
      <c r="DK172" s="8"/>
      <c r="DL172" s="8"/>
      <c r="DM172" s="8"/>
      <c r="DN172" s="8"/>
      <c r="DO172" s="8"/>
      <c r="DP172" s="8"/>
      <c r="DQ172" s="3"/>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row>
    <row r="173" spans="1:155" s="566" customFormat="1" ht="15" hidden="1" customHeight="1">
      <c r="A173" s="181"/>
      <c r="B173" s="194" t="s">
        <v>191</v>
      </c>
      <c r="C173" s="697"/>
      <c r="D173" s="698"/>
      <c r="E173" s="70"/>
      <c r="F173" s="70"/>
      <c r="G173" s="70"/>
      <c r="H173" s="70"/>
      <c r="I173" s="70"/>
      <c r="J173" s="70"/>
      <c r="K173" s="186"/>
      <c r="L173" s="186"/>
      <c r="M173" s="186"/>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80"/>
      <c r="BE173" s="165" t="s">
        <v>16</v>
      </c>
      <c r="BF173" s="23">
        <v>22</v>
      </c>
      <c r="BG173" s="23">
        <v>3</v>
      </c>
      <c r="BH173" s="23">
        <v>4</v>
      </c>
      <c r="BI173" s="90" t="b">
        <f t="shared" si="224"/>
        <v>1</v>
      </c>
      <c r="BJ173" s="46" t="b">
        <f t="shared" si="231"/>
        <v>0</v>
      </c>
      <c r="BK173" s="166">
        <f t="shared" si="232"/>
        <v>0</v>
      </c>
      <c r="BL173" s="175">
        <f>IF(SUM(BL$171:BL172,BK173)&gt;$BO$4,0,BK173)</f>
        <v>0</v>
      </c>
      <c r="BM173" s="23">
        <f t="shared" si="209"/>
        <v>0</v>
      </c>
      <c r="BN173" s="90">
        <f t="shared" si="210"/>
        <v>0</v>
      </c>
      <c r="BO173" s="24">
        <f t="shared" si="229"/>
        <v>0</v>
      </c>
      <c r="BP173" s="168">
        <f t="shared" si="233"/>
        <v>0</v>
      </c>
      <c r="BQ173" s="171">
        <f t="shared" si="234"/>
        <v>0</v>
      </c>
      <c r="BR173" s="170">
        <f t="shared" si="211"/>
        <v>0</v>
      </c>
      <c r="BS173" s="168">
        <f t="shared" si="235"/>
        <v>0</v>
      </c>
      <c r="BT173" s="171">
        <f t="shared" si="236"/>
        <v>0</v>
      </c>
      <c r="BU173" s="170">
        <f t="shared" si="212"/>
        <v>0</v>
      </c>
      <c r="BV173" s="168">
        <f t="shared" si="237"/>
        <v>0</v>
      </c>
      <c r="BW173" s="171">
        <f t="shared" si="238"/>
        <v>0</v>
      </c>
      <c r="BX173" s="170">
        <f t="shared" si="213"/>
        <v>0</v>
      </c>
      <c r="BY173" s="168">
        <f t="shared" si="239"/>
        <v>0</v>
      </c>
      <c r="BZ173" s="171">
        <f t="shared" si="240"/>
        <v>0</v>
      </c>
      <c r="CA173" s="170">
        <f t="shared" si="214"/>
        <v>0</v>
      </c>
      <c r="CB173" s="90">
        <f t="shared" si="241"/>
        <v>0</v>
      </c>
      <c r="CC173" s="171">
        <f t="shared" si="242"/>
        <v>0</v>
      </c>
      <c r="CD173" s="170">
        <f t="shared" si="215"/>
        <v>0</v>
      </c>
      <c r="CE173" s="90">
        <f t="shared" si="243"/>
        <v>0</v>
      </c>
      <c r="CF173" s="171">
        <f t="shared" si="244"/>
        <v>0</v>
      </c>
      <c r="CG173" s="170">
        <f t="shared" si="216"/>
        <v>0</v>
      </c>
      <c r="CH173" s="90">
        <f t="shared" si="245"/>
        <v>0</v>
      </c>
      <c r="CI173" s="171">
        <f t="shared" si="246"/>
        <v>0</v>
      </c>
      <c r="CJ173" s="170">
        <f t="shared" si="217"/>
        <v>0</v>
      </c>
      <c r="CK173" s="90">
        <f t="shared" si="247"/>
        <v>0</v>
      </c>
      <c r="CL173" s="171">
        <f t="shared" si="248"/>
        <v>0</v>
      </c>
      <c r="CM173" s="170">
        <f t="shared" si="218"/>
        <v>0</v>
      </c>
      <c r="CN173" s="90">
        <f t="shared" si="249"/>
        <v>0</v>
      </c>
      <c r="CO173" s="171">
        <f t="shared" si="250"/>
        <v>0</v>
      </c>
      <c r="CP173" s="170">
        <f t="shared" si="219"/>
        <v>0</v>
      </c>
      <c r="CQ173" s="90">
        <f t="shared" si="251"/>
        <v>0</v>
      </c>
      <c r="CR173" s="171">
        <f t="shared" si="252"/>
        <v>0</v>
      </c>
      <c r="CS173" s="170">
        <f t="shared" si="220"/>
        <v>0</v>
      </c>
      <c r="CT173" s="90">
        <f t="shared" si="253"/>
        <v>0</v>
      </c>
      <c r="CU173" s="171">
        <f t="shared" si="254"/>
        <v>0</v>
      </c>
      <c r="CV173" s="170">
        <f t="shared" si="221"/>
        <v>0</v>
      </c>
      <c r="CW173" s="90">
        <f t="shared" si="255"/>
        <v>0</v>
      </c>
      <c r="CX173" s="171">
        <f t="shared" si="256"/>
        <v>0</v>
      </c>
      <c r="CY173" s="170">
        <f t="shared" si="222"/>
        <v>0</v>
      </c>
      <c r="CZ173" s="168">
        <f t="shared" si="223"/>
        <v>0</v>
      </c>
      <c r="DA173" s="172">
        <f t="shared" si="225"/>
        <v>0</v>
      </c>
      <c r="DB173" s="173">
        <f t="shared" si="226"/>
        <v>0</v>
      </c>
      <c r="DC173" s="172">
        <f t="shared" si="230"/>
        <v>0</v>
      </c>
      <c r="DD173" s="172">
        <f t="shared" si="230"/>
        <v>0</v>
      </c>
      <c r="DE173" s="172">
        <f t="shared" si="230"/>
        <v>0</v>
      </c>
      <c r="DF173" s="172">
        <f t="shared" si="228"/>
        <v>0</v>
      </c>
      <c r="DG173" s="136"/>
      <c r="DH173" s="136"/>
      <c r="DI173" s="3"/>
      <c r="DJ173" s="8"/>
      <c r="DK173" s="8"/>
      <c r="DL173" s="8"/>
      <c r="DM173" s="8"/>
      <c r="DN173" s="8"/>
      <c r="DO173" s="8"/>
      <c r="DP173" s="8"/>
      <c r="DQ173" s="3"/>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row>
    <row r="174" spans="1:155" s="566" customFormat="1" ht="15" hidden="1" customHeight="1">
      <c r="A174" s="197"/>
      <c r="B174" s="70"/>
      <c r="C174" s="694">
        <f>SUM(C162:C173)*O138</f>
        <v>0</v>
      </c>
      <c r="D174" s="695"/>
      <c r="E174" s="70"/>
      <c r="F174" s="70"/>
      <c r="G174" s="70"/>
      <c r="H174" s="70"/>
      <c r="I174" s="70"/>
      <c r="J174" s="70"/>
      <c r="K174" s="186"/>
      <c r="L174" s="186"/>
      <c r="M174" s="186"/>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80"/>
      <c r="BE174" s="165" t="s">
        <v>16</v>
      </c>
      <c r="BF174" s="23">
        <v>22</v>
      </c>
      <c r="BG174" s="23">
        <v>4</v>
      </c>
      <c r="BH174" s="23">
        <v>5</v>
      </c>
      <c r="BI174" s="90" t="b">
        <f t="shared" si="224"/>
        <v>1</v>
      </c>
      <c r="BJ174" s="46" t="b">
        <f t="shared" si="231"/>
        <v>0</v>
      </c>
      <c r="BK174" s="166">
        <f t="shared" si="232"/>
        <v>0</v>
      </c>
      <c r="BL174" s="175">
        <f>IF(SUM(BL$171:BL173,BK174)&gt;$BO$4,0,BK174)</f>
        <v>0</v>
      </c>
      <c r="BM174" s="23">
        <f t="shared" si="209"/>
        <v>0</v>
      </c>
      <c r="BN174" s="90">
        <f t="shared" si="210"/>
        <v>0</v>
      </c>
      <c r="BO174" s="24">
        <f t="shared" si="229"/>
        <v>0</v>
      </c>
      <c r="BP174" s="168">
        <f t="shared" si="233"/>
        <v>0</v>
      </c>
      <c r="BQ174" s="171">
        <f t="shared" si="234"/>
        <v>0</v>
      </c>
      <c r="BR174" s="170">
        <f t="shared" si="211"/>
        <v>0</v>
      </c>
      <c r="BS174" s="168">
        <f t="shared" si="235"/>
        <v>0</v>
      </c>
      <c r="BT174" s="171">
        <f t="shared" si="236"/>
        <v>0</v>
      </c>
      <c r="BU174" s="170">
        <f t="shared" si="212"/>
        <v>0</v>
      </c>
      <c r="BV174" s="168">
        <f t="shared" si="237"/>
        <v>0</v>
      </c>
      <c r="BW174" s="171">
        <f t="shared" si="238"/>
        <v>0</v>
      </c>
      <c r="BX174" s="170">
        <f t="shared" si="213"/>
        <v>0</v>
      </c>
      <c r="BY174" s="168">
        <f t="shared" si="239"/>
        <v>0</v>
      </c>
      <c r="BZ174" s="171">
        <f t="shared" si="240"/>
        <v>0</v>
      </c>
      <c r="CA174" s="170">
        <f t="shared" si="214"/>
        <v>0</v>
      </c>
      <c r="CB174" s="90">
        <f t="shared" si="241"/>
        <v>0</v>
      </c>
      <c r="CC174" s="171">
        <f t="shared" si="242"/>
        <v>0</v>
      </c>
      <c r="CD174" s="170">
        <f t="shared" si="215"/>
        <v>0</v>
      </c>
      <c r="CE174" s="90">
        <f t="shared" si="243"/>
        <v>0</v>
      </c>
      <c r="CF174" s="171">
        <f t="shared" si="244"/>
        <v>0</v>
      </c>
      <c r="CG174" s="170">
        <f t="shared" si="216"/>
        <v>0</v>
      </c>
      <c r="CH174" s="90">
        <f t="shared" si="245"/>
        <v>0</v>
      </c>
      <c r="CI174" s="171">
        <f t="shared" si="246"/>
        <v>0</v>
      </c>
      <c r="CJ174" s="170">
        <f t="shared" si="217"/>
        <v>0</v>
      </c>
      <c r="CK174" s="90">
        <f t="shared" si="247"/>
        <v>0</v>
      </c>
      <c r="CL174" s="171">
        <f t="shared" si="248"/>
        <v>0</v>
      </c>
      <c r="CM174" s="170">
        <f t="shared" si="218"/>
        <v>0</v>
      </c>
      <c r="CN174" s="90">
        <f t="shared" si="249"/>
        <v>0</v>
      </c>
      <c r="CO174" s="171">
        <f t="shared" si="250"/>
        <v>0</v>
      </c>
      <c r="CP174" s="170">
        <f t="shared" si="219"/>
        <v>0</v>
      </c>
      <c r="CQ174" s="90">
        <f t="shared" si="251"/>
        <v>0</v>
      </c>
      <c r="CR174" s="171">
        <f t="shared" si="252"/>
        <v>0</v>
      </c>
      <c r="CS174" s="170">
        <f t="shared" si="220"/>
        <v>0</v>
      </c>
      <c r="CT174" s="90">
        <f t="shared" si="253"/>
        <v>0</v>
      </c>
      <c r="CU174" s="171">
        <f t="shared" si="254"/>
        <v>0</v>
      </c>
      <c r="CV174" s="170">
        <f t="shared" si="221"/>
        <v>0</v>
      </c>
      <c r="CW174" s="90">
        <f t="shared" si="255"/>
        <v>0</v>
      </c>
      <c r="CX174" s="171">
        <f t="shared" si="256"/>
        <v>0</v>
      </c>
      <c r="CY174" s="170">
        <f t="shared" si="222"/>
        <v>0</v>
      </c>
      <c r="CZ174" s="168">
        <f t="shared" si="223"/>
        <v>0</v>
      </c>
      <c r="DA174" s="172">
        <f t="shared" si="225"/>
        <v>0</v>
      </c>
      <c r="DB174" s="173">
        <f t="shared" si="226"/>
        <v>0</v>
      </c>
      <c r="DC174" s="172">
        <f t="shared" si="230"/>
        <v>0</v>
      </c>
      <c r="DD174" s="172">
        <f t="shared" si="230"/>
        <v>0</v>
      </c>
      <c r="DE174" s="172">
        <f t="shared" si="230"/>
        <v>0</v>
      </c>
      <c r="DF174" s="172">
        <f t="shared" si="228"/>
        <v>0</v>
      </c>
      <c r="DG174" s="136"/>
      <c r="DH174" s="136"/>
      <c r="DI174" s="3"/>
      <c r="DJ174" s="8"/>
      <c r="DK174" s="8"/>
      <c r="DL174" s="8"/>
      <c r="DM174" s="8"/>
      <c r="DN174" s="8"/>
      <c r="DO174" s="8"/>
      <c r="DP174" s="8"/>
      <c r="DQ174" s="3"/>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row>
    <row r="175" spans="1:155" s="566" customFormat="1" ht="15" customHeight="1">
      <c r="A175" s="197"/>
      <c r="B175" s="70"/>
      <c r="C175" s="70"/>
      <c r="D175" s="70"/>
      <c r="E175" s="70"/>
      <c r="F175" s="70"/>
      <c r="G175" s="70"/>
      <c r="H175" s="70"/>
      <c r="I175" s="70"/>
      <c r="J175" s="70"/>
      <c r="K175" s="186"/>
      <c r="L175" s="186"/>
      <c r="M175" s="186"/>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80"/>
      <c r="BE175" s="165" t="s">
        <v>16</v>
      </c>
      <c r="BF175" s="23">
        <v>22</v>
      </c>
      <c r="BG175" s="23">
        <v>5</v>
      </c>
      <c r="BH175" s="23">
        <v>6</v>
      </c>
      <c r="BI175" s="90" t="b">
        <f t="shared" si="224"/>
        <v>0</v>
      </c>
      <c r="BJ175" s="46" t="b">
        <f t="shared" si="231"/>
        <v>0</v>
      </c>
      <c r="BK175" s="166">
        <f t="shared" si="232"/>
        <v>0</v>
      </c>
      <c r="BL175" s="175">
        <f>IF(SUM(BL$171:BL174,BK175)&gt;$BO$4,0,BK175)</f>
        <v>0</v>
      </c>
      <c r="BM175" s="23">
        <f t="shared" si="209"/>
        <v>0</v>
      </c>
      <c r="BN175" s="90">
        <f t="shared" si="210"/>
        <v>0</v>
      </c>
      <c r="BO175" s="24">
        <f t="shared" si="229"/>
        <v>0</v>
      </c>
      <c r="BP175" s="168">
        <f t="shared" si="233"/>
        <v>0</v>
      </c>
      <c r="BQ175" s="171">
        <f t="shared" si="234"/>
        <v>0</v>
      </c>
      <c r="BR175" s="170">
        <f t="shared" si="211"/>
        <v>0</v>
      </c>
      <c r="BS175" s="168">
        <f t="shared" si="235"/>
        <v>0</v>
      </c>
      <c r="BT175" s="171">
        <f t="shared" si="236"/>
        <v>0</v>
      </c>
      <c r="BU175" s="170">
        <f t="shared" si="212"/>
        <v>0</v>
      </c>
      <c r="BV175" s="168">
        <f t="shared" si="237"/>
        <v>0</v>
      </c>
      <c r="BW175" s="171">
        <f t="shared" si="238"/>
        <v>0</v>
      </c>
      <c r="BX175" s="170">
        <f t="shared" si="213"/>
        <v>0</v>
      </c>
      <c r="BY175" s="168">
        <f t="shared" si="239"/>
        <v>0</v>
      </c>
      <c r="BZ175" s="171">
        <f t="shared" si="240"/>
        <v>0</v>
      </c>
      <c r="CA175" s="170">
        <f t="shared" si="214"/>
        <v>0</v>
      </c>
      <c r="CB175" s="90">
        <f t="shared" si="241"/>
        <v>0</v>
      </c>
      <c r="CC175" s="171">
        <f t="shared" si="242"/>
        <v>0</v>
      </c>
      <c r="CD175" s="170">
        <f t="shared" si="215"/>
        <v>0</v>
      </c>
      <c r="CE175" s="90">
        <f t="shared" si="243"/>
        <v>0</v>
      </c>
      <c r="CF175" s="171">
        <f t="shared" si="244"/>
        <v>0</v>
      </c>
      <c r="CG175" s="170">
        <f t="shared" si="216"/>
        <v>0</v>
      </c>
      <c r="CH175" s="90">
        <f t="shared" si="245"/>
        <v>0</v>
      </c>
      <c r="CI175" s="171">
        <f t="shared" si="246"/>
        <v>0</v>
      </c>
      <c r="CJ175" s="170">
        <f t="shared" si="217"/>
        <v>0</v>
      </c>
      <c r="CK175" s="90">
        <f t="shared" si="247"/>
        <v>0</v>
      </c>
      <c r="CL175" s="171">
        <f t="shared" si="248"/>
        <v>0</v>
      </c>
      <c r="CM175" s="170">
        <f t="shared" si="218"/>
        <v>0</v>
      </c>
      <c r="CN175" s="90">
        <f t="shared" si="249"/>
        <v>0</v>
      </c>
      <c r="CO175" s="171">
        <f t="shared" si="250"/>
        <v>0</v>
      </c>
      <c r="CP175" s="170">
        <f t="shared" si="219"/>
        <v>0</v>
      </c>
      <c r="CQ175" s="90">
        <f t="shared" si="251"/>
        <v>0</v>
      </c>
      <c r="CR175" s="171">
        <f t="shared" si="252"/>
        <v>0</v>
      </c>
      <c r="CS175" s="170">
        <f t="shared" si="220"/>
        <v>0</v>
      </c>
      <c r="CT175" s="90">
        <f t="shared" si="253"/>
        <v>0</v>
      </c>
      <c r="CU175" s="171">
        <f t="shared" si="254"/>
        <v>0</v>
      </c>
      <c r="CV175" s="170">
        <f t="shared" si="221"/>
        <v>0</v>
      </c>
      <c r="CW175" s="90">
        <f t="shared" si="255"/>
        <v>0</v>
      </c>
      <c r="CX175" s="171">
        <f t="shared" si="256"/>
        <v>0</v>
      </c>
      <c r="CY175" s="170">
        <f t="shared" si="222"/>
        <v>0</v>
      </c>
      <c r="CZ175" s="168">
        <f t="shared" si="223"/>
        <v>0</v>
      </c>
      <c r="DA175" s="172">
        <f t="shared" si="225"/>
        <v>0</v>
      </c>
      <c r="DB175" s="173">
        <f t="shared" si="226"/>
        <v>0</v>
      </c>
      <c r="DC175" s="172">
        <f t="shared" si="230"/>
        <v>0</v>
      </c>
      <c r="DD175" s="172">
        <f t="shared" si="230"/>
        <v>0</v>
      </c>
      <c r="DE175" s="172">
        <f t="shared" si="230"/>
        <v>0</v>
      </c>
      <c r="DF175" s="172">
        <f t="shared" si="228"/>
        <v>0</v>
      </c>
      <c r="DG175" s="136"/>
      <c r="DH175" s="136"/>
      <c r="DI175" s="3"/>
      <c r="DJ175" s="8"/>
      <c r="DK175" s="8"/>
      <c r="DL175" s="8"/>
      <c r="DM175" s="8"/>
      <c r="DN175" s="8"/>
      <c r="DO175" s="8"/>
      <c r="DP175" s="8"/>
      <c r="DQ175" s="3"/>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row>
    <row r="176" spans="1:155" s="566" customFormat="1" ht="15" customHeight="1">
      <c r="A176" s="197"/>
      <c r="B176" s="272" t="s">
        <v>311</v>
      </c>
      <c r="C176" s="222"/>
      <c r="D176" s="222"/>
      <c r="E176" s="222"/>
      <c r="F176" s="222"/>
      <c r="G176" s="222"/>
      <c r="H176" s="222"/>
      <c r="I176" s="221"/>
      <c r="J176" s="276"/>
      <c r="K176" s="276"/>
      <c r="L176" s="276"/>
      <c r="M176" s="276"/>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80"/>
      <c r="BE176" s="165" t="s">
        <v>16</v>
      </c>
      <c r="BF176" s="23">
        <v>22</v>
      </c>
      <c r="BG176" s="23">
        <v>6</v>
      </c>
      <c r="BH176" s="23">
        <v>7</v>
      </c>
      <c r="BI176" s="90" t="b">
        <f t="shared" si="224"/>
        <v>0</v>
      </c>
      <c r="BJ176" s="46" t="b">
        <f t="shared" si="231"/>
        <v>0</v>
      </c>
      <c r="BK176" s="166">
        <f t="shared" si="232"/>
        <v>0</v>
      </c>
      <c r="BL176" s="175">
        <f>IF(SUM(BL$171:BL175,BK176)&gt;$BO$4,0,BK176)</f>
        <v>0</v>
      </c>
      <c r="BM176" s="23">
        <f t="shared" si="209"/>
        <v>0</v>
      </c>
      <c r="BN176" s="90">
        <f t="shared" si="210"/>
        <v>0</v>
      </c>
      <c r="BO176" s="24">
        <f t="shared" si="229"/>
        <v>0</v>
      </c>
      <c r="BP176" s="168">
        <f t="shared" si="233"/>
        <v>0</v>
      </c>
      <c r="BQ176" s="171">
        <f t="shared" si="234"/>
        <v>0</v>
      </c>
      <c r="BR176" s="170">
        <f t="shared" si="211"/>
        <v>0</v>
      </c>
      <c r="BS176" s="168">
        <f t="shared" si="235"/>
        <v>0</v>
      </c>
      <c r="BT176" s="171">
        <f t="shared" si="236"/>
        <v>0</v>
      </c>
      <c r="BU176" s="170">
        <f t="shared" si="212"/>
        <v>0</v>
      </c>
      <c r="BV176" s="168">
        <f t="shared" si="237"/>
        <v>0</v>
      </c>
      <c r="BW176" s="171">
        <f t="shared" si="238"/>
        <v>0</v>
      </c>
      <c r="BX176" s="170">
        <f t="shared" si="213"/>
        <v>0</v>
      </c>
      <c r="BY176" s="168">
        <f t="shared" si="239"/>
        <v>0</v>
      </c>
      <c r="BZ176" s="171">
        <f t="shared" si="240"/>
        <v>0</v>
      </c>
      <c r="CA176" s="170">
        <f t="shared" si="214"/>
        <v>0</v>
      </c>
      <c r="CB176" s="90">
        <f t="shared" si="241"/>
        <v>0</v>
      </c>
      <c r="CC176" s="171">
        <f t="shared" si="242"/>
        <v>0</v>
      </c>
      <c r="CD176" s="170">
        <f t="shared" si="215"/>
        <v>0</v>
      </c>
      <c r="CE176" s="90">
        <f t="shared" si="243"/>
        <v>0</v>
      </c>
      <c r="CF176" s="171">
        <f t="shared" si="244"/>
        <v>0</v>
      </c>
      <c r="CG176" s="170">
        <f t="shared" si="216"/>
        <v>0</v>
      </c>
      <c r="CH176" s="90">
        <f t="shared" si="245"/>
        <v>0</v>
      </c>
      <c r="CI176" s="171">
        <f t="shared" si="246"/>
        <v>0</v>
      </c>
      <c r="CJ176" s="170">
        <f t="shared" si="217"/>
        <v>0</v>
      </c>
      <c r="CK176" s="90">
        <f t="shared" si="247"/>
        <v>0</v>
      </c>
      <c r="CL176" s="171">
        <f t="shared" si="248"/>
        <v>0</v>
      </c>
      <c r="CM176" s="170">
        <f t="shared" si="218"/>
        <v>0</v>
      </c>
      <c r="CN176" s="90">
        <f t="shared" si="249"/>
        <v>0</v>
      </c>
      <c r="CO176" s="171">
        <f t="shared" si="250"/>
        <v>0</v>
      </c>
      <c r="CP176" s="170">
        <f t="shared" si="219"/>
        <v>0</v>
      </c>
      <c r="CQ176" s="90">
        <f t="shared" si="251"/>
        <v>0</v>
      </c>
      <c r="CR176" s="171">
        <f t="shared" si="252"/>
        <v>0</v>
      </c>
      <c r="CS176" s="170">
        <f t="shared" si="220"/>
        <v>0</v>
      </c>
      <c r="CT176" s="90">
        <f t="shared" si="253"/>
        <v>0</v>
      </c>
      <c r="CU176" s="171">
        <f t="shared" si="254"/>
        <v>0</v>
      </c>
      <c r="CV176" s="170">
        <f t="shared" si="221"/>
        <v>0</v>
      </c>
      <c r="CW176" s="90">
        <f t="shared" si="255"/>
        <v>0</v>
      </c>
      <c r="CX176" s="171">
        <f t="shared" si="256"/>
        <v>0</v>
      </c>
      <c r="CY176" s="170">
        <f t="shared" si="222"/>
        <v>0</v>
      </c>
      <c r="CZ176" s="168">
        <f t="shared" si="223"/>
        <v>0</v>
      </c>
      <c r="DA176" s="172">
        <f t="shared" si="225"/>
        <v>0</v>
      </c>
      <c r="DB176" s="173">
        <f t="shared" si="226"/>
        <v>0</v>
      </c>
      <c r="DC176" s="172">
        <f t="shared" si="230"/>
        <v>0</v>
      </c>
      <c r="DD176" s="172">
        <f t="shared" si="230"/>
        <v>0</v>
      </c>
      <c r="DE176" s="172">
        <f t="shared" si="230"/>
        <v>0</v>
      </c>
      <c r="DF176" s="172">
        <f t="shared" si="228"/>
        <v>0</v>
      </c>
      <c r="DG176" s="136"/>
      <c r="DH176" s="136"/>
      <c r="DI176" s="3"/>
      <c r="DJ176" s="8"/>
      <c r="DK176" s="8"/>
      <c r="DL176" s="8"/>
      <c r="DM176" s="8"/>
      <c r="DN176" s="8"/>
      <c r="DO176" s="8"/>
      <c r="DP176" s="8"/>
      <c r="DQ176" s="3"/>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row>
    <row r="177" spans="1:155" s="566" customFormat="1" ht="15" customHeight="1">
      <c r="A177" s="197"/>
      <c r="B177" s="70"/>
      <c r="C177" s="70"/>
      <c r="D177" s="70"/>
      <c r="E177" s="70"/>
      <c r="F177" s="70"/>
      <c r="G177" s="70"/>
      <c r="H177" s="70"/>
      <c r="I177" s="70"/>
      <c r="J177" s="70"/>
      <c r="K177" s="70"/>
      <c r="L177" s="70"/>
      <c r="M177" s="70"/>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80"/>
      <c r="BE177" s="165" t="s">
        <v>16</v>
      </c>
      <c r="BF177" s="23">
        <v>22</v>
      </c>
      <c r="BG177" s="23">
        <v>7</v>
      </c>
      <c r="BH177" s="23">
        <v>1</v>
      </c>
      <c r="BI177" s="90" t="b">
        <f t="shared" si="224"/>
        <v>1</v>
      </c>
      <c r="BJ177" s="46" t="b">
        <f t="shared" si="231"/>
        <v>0</v>
      </c>
      <c r="BK177" s="166">
        <f t="shared" si="232"/>
        <v>0</v>
      </c>
      <c r="BL177" s="175">
        <f>IF(SUM(BL$171:BL176,BK177)&gt;$BO$4,0,BK177)</f>
        <v>0</v>
      </c>
      <c r="BM177" s="23">
        <f t="shared" si="209"/>
        <v>0</v>
      </c>
      <c r="BN177" s="90">
        <f t="shared" si="210"/>
        <v>0</v>
      </c>
      <c r="BO177" s="24">
        <f t="shared" si="229"/>
        <v>0</v>
      </c>
      <c r="BP177" s="168">
        <f t="shared" si="233"/>
        <v>0</v>
      </c>
      <c r="BQ177" s="171">
        <f t="shared" si="234"/>
        <v>0</v>
      </c>
      <c r="BR177" s="170">
        <f t="shared" si="211"/>
        <v>0</v>
      </c>
      <c r="BS177" s="168">
        <f t="shared" si="235"/>
        <v>0</v>
      </c>
      <c r="BT177" s="171">
        <f t="shared" si="236"/>
        <v>0</v>
      </c>
      <c r="BU177" s="170">
        <f t="shared" si="212"/>
        <v>0</v>
      </c>
      <c r="BV177" s="168">
        <f t="shared" si="237"/>
        <v>0</v>
      </c>
      <c r="BW177" s="171">
        <f t="shared" si="238"/>
        <v>0</v>
      </c>
      <c r="BX177" s="170">
        <f t="shared" si="213"/>
        <v>0</v>
      </c>
      <c r="BY177" s="168">
        <f t="shared" si="239"/>
        <v>0</v>
      </c>
      <c r="BZ177" s="171">
        <f t="shared" si="240"/>
        <v>0</v>
      </c>
      <c r="CA177" s="170">
        <f t="shared" si="214"/>
        <v>0</v>
      </c>
      <c r="CB177" s="90">
        <f t="shared" si="241"/>
        <v>0</v>
      </c>
      <c r="CC177" s="171">
        <f t="shared" si="242"/>
        <v>0</v>
      </c>
      <c r="CD177" s="170">
        <f t="shared" si="215"/>
        <v>0</v>
      </c>
      <c r="CE177" s="90">
        <f t="shared" si="243"/>
        <v>0</v>
      </c>
      <c r="CF177" s="171">
        <f t="shared" si="244"/>
        <v>0</v>
      </c>
      <c r="CG177" s="170">
        <f t="shared" si="216"/>
        <v>0</v>
      </c>
      <c r="CH177" s="90">
        <f t="shared" si="245"/>
        <v>0</v>
      </c>
      <c r="CI177" s="171">
        <f t="shared" si="246"/>
        <v>0</v>
      </c>
      <c r="CJ177" s="170">
        <f t="shared" si="217"/>
        <v>0</v>
      </c>
      <c r="CK177" s="90">
        <f t="shared" si="247"/>
        <v>0</v>
      </c>
      <c r="CL177" s="171">
        <f t="shared" si="248"/>
        <v>0</v>
      </c>
      <c r="CM177" s="170">
        <f t="shared" si="218"/>
        <v>0</v>
      </c>
      <c r="CN177" s="90">
        <f t="shared" si="249"/>
        <v>0</v>
      </c>
      <c r="CO177" s="171">
        <f t="shared" si="250"/>
        <v>0</v>
      </c>
      <c r="CP177" s="170">
        <f t="shared" si="219"/>
        <v>0</v>
      </c>
      <c r="CQ177" s="90">
        <f t="shared" si="251"/>
        <v>0</v>
      </c>
      <c r="CR177" s="171">
        <f t="shared" si="252"/>
        <v>0</v>
      </c>
      <c r="CS177" s="170">
        <f t="shared" si="220"/>
        <v>0</v>
      </c>
      <c r="CT177" s="90">
        <f t="shared" si="253"/>
        <v>0</v>
      </c>
      <c r="CU177" s="171">
        <f t="shared" si="254"/>
        <v>0</v>
      </c>
      <c r="CV177" s="170">
        <f t="shared" si="221"/>
        <v>0</v>
      </c>
      <c r="CW177" s="90">
        <f t="shared" si="255"/>
        <v>0</v>
      </c>
      <c r="CX177" s="171">
        <f t="shared" si="256"/>
        <v>0</v>
      </c>
      <c r="CY177" s="170">
        <f t="shared" si="222"/>
        <v>0</v>
      </c>
      <c r="CZ177" s="168">
        <f t="shared" si="223"/>
        <v>0</v>
      </c>
      <c r="DA177" s="172">
        <f t="shared" si="225"/>
        <v>0</v>
      </c>
      <c r="DB177" s="173">
        <f t="shared" si="226"/>
        <v>0</v>
      </c>
      <c r="DC177" s="172">
        <f t="shared" si="230"/>
        <v>0</v>
      </c>
      <c r="DD177" s="172">
        <f t="shared" si="230"/>
        <v>0</v>
      </c>
      <c r="DE177" s="172">
        <f t="shared" si="230"/>
        <v>0</v>
      </c>
      <c r="DF177" s="172">
        <f t="shared" si="228"/>
        <v>0</v>
      </c>
      <c r="DG177" s="136"/>
      <c r="DH177" s="136"/>
      <c r="DI177" s="3"/>
      <c r="DJ177" s="8"/>
      <c r="DK177" s="8"/>
      <c r="DL177" s="8"/>
      <c r="DM177" s="8"/>
      <c r="DN177" s="8"/>
      <c r="DO177" s="8"/>
      <c r="DP177" s="8"/>
      <c r="DQ177" s="3"/>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row>
    <row r="178" spans="1:155" s="566" customFormat="1" ht="15" customHeight="1">
      <c r="A178" s="197"/>
      <c r="B178" s="70"/>
      <c r="C178" s="70"/>
      <c r="D178" s="273" t="str">
        <f>I142</f>
        <v>Notional Building</v>
      </c>
      <c r="E178" s="70"/>
      <c r="F178" s="70"/>
      <c r="G178" s="70"/>
      <c r="H178" s="70"/>
      <c r="I178" s="70"/>
      <c r="J178" s="70"/>
      <c r="K178" s="70"/>
      <c r="L178" s="70"/>
      <c r="M178" s="70"/>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80"/>
      <c r="BE178" s="165" t="s">
        <v>16</v>
      </c>
      <c r="BF178" s="23">
        <v>22</v>
      </c>
      <c r="BG178" s="23">
        <v>8</v>
      </c>
      <c r="BH178" s="23">
        <v>2</v>
      </c>
      <c r="BI178" s="90" t="b">
        <f t="shared" si="224"/>
        <v>1</v>
      </c>
      <c r="BJ178" s="46" t="b">
        <f t="shared" si="231"/>
        <v>0</v>
      </c>
      <c r="BK178" s="166">
        <f t="shared" si="232"/>
        <v>0</v>
      </c>
      <c r="BL178" s="175">
        <f>IF(SUM(BL$171:BL177,BK178)&gt;$BO$4,0,BK178)</f>
        <v>0</v>
      </c>
      <c r="BM178" s="23">
        <f t="shared" si="209"/>
        <v>0</v>
      </c>
      <c r="BN178" s="90">
        <f t="shared" si="210"/>
        <v>0</v>
      </c>
      <c r="BO178" s="24">
        <f t="shared" si="229"/>
        <v>0</v>
      </c>
      <c r="BP178" s="168">
        <f t="shared" si="233"/>
        <v>0</v>
      </c>
      <c r="BQ178" s="171">
        <f t="shared" si="234"/>
        <v>0</v>
      </c>
      <c r="BR178" s="170">
        <f t="shared" si="211"/>
        <v>0</v>
      </c>
      <c r="BS178" s="168">
        <f t="shared" si="235"/>
        <v>0</v>
      </c>
      <c r="BT178" s="171">
        <f t="shared" si="236"/>
        <v>0</v>
      </c>
      <c r="BU178" s="170">
        <f t="shared" si="212"/>
        <v>0</v>
      </c>
      <c r="BV178" s="168">
        <f t="shared" si="237"/>
        <v>0</v>
      </c>
      <c r="BW178" s="171">
        <f t="shared" si="238"/>
        <v>0</v>
      </c>
      <c r="BX178" s="170">
        <f t="shared" si="213"/>
        <v>0</v>
      </c>
      <c r="BY178" s="168">
        <f t="shared" si="239"/>
        <v>0</v>
      </c>
      <c r="BZ178" s="171">
        <f t="shared" si="240"/>
        <v>0</v>
      </c>
      <c r="CA178" s="170">
        <f t="shared" si="214"/>
        <v>0</v>
      </c>
      <c r="CB178" s="90">
        <f t="shared" si="241"/>
        <v>0</v>
      </c>
      <c r="CC178" s="171">
        <f t="shared" si="242"/>
        <v>0</v>
      </c>
      <c r="CD178" s="170">
        <f t="shared" si="215"/>
        <v>0</v>
      </c>
      <c r="CE178" s="90">
        <f t="shared" si="243"/>
        <v>0</v>
      </c>
      <c r="CF178" s="171">
        <f t="shared" si="244"/>
        <v>0</v>
      </c>
      <c r="CG178" s="170">
        <f t="shared" si="216"/>
        <v>0</v>
      </c>
      <c r="CH178" s="90">
        <f t="shared" si="245"/>
        <v>0</v>
      </c>
      <c r="CI178" s="171">
        <f t="shared" si="246"/>
        <v>0</v>
      </c>
      <c r="CJ178" s="170">
        <f t="shared" si="217"/>
        <v>0</v>
      </c>
      <c r="CK178" s="90">
        <f t="shared" si="247"/>
        <v>0</v>
      </c>
      <c r="CL178" s="171">
        <f t="shared" si="248"/>
        <v>0</v>
      </c>
      <c r="CM178" s="170">
        <f t="shared" si="218"/>
        <v>0</v>
      </c>
      <c r="CN178" s="90">
        <f t="shared" si="249"/>
        <v>0</v>
      </c>
      <c r="CO178" s="171">
        <f t="shared" si="250"/>
        <v>0</v>
      </c>
      <c r="CP178" s="170">
        <f t="shared" si="219"/>
        <v>0</v>
      </c>
      <c r="CQ178" s="90">
        <f t="shared" si="251"/>
        <v>0</v>
      </c>
      <c r="CR178" s="171">
        <f t="shared" si="252"/>
        <v>0</v>
      </c>
      <c r="CS178" s="170">
        <f t="shared" si="220"/>
        <v>0</v>
      </c>
      <c r="CT178" s="90">
        <f t="shared" si="253"/>
        <v>0</v>
      </c>
      <c r="CU178" s="171">
        <f t="shared" si="254"/>
        <v>0</v>
      </c>
      <c r="CV178" s="170">
        <f t="shared" si="221"/>
        <v>0</v>
      </c>
      <c r="CW178" s="90">
        <f t="shared" si="255"/>
        <v>0</v>
      </c>
      <c r="CX178" s="171">
        <f t="shared" si="256"/>
        <v>0</v>
      </c>
      <c r="CY178" s="170">
        <f t="shared" si="222"/>
        <v>0</v>
      </c>
      <c r="CZ178" s="168">
        <f t="shared" si="223"/>
        <v>0</v>
      </c>
      <c r="DA178" s="172">
        <f t="shared" si="225"/>
        <v>0</v>
      </c>
      <c r="DB178" s="173">
        <f t="shared" si="226"/>
        <v>0</v>
      </c>
      <c r="DC178" s="172">
        <f t="shared" si="230"/>
        <v>0</v>
      </c>
      <c r="DD178" s="172">
        <f t="shared" si="230"/>
        <v>0</v>
      </c>
      <c r="DE178" s="172">
        <f t="shared" si="230"/>
        <v>0</v>
      </c>
      <c r="DF178" s="172">
        <f t="shared" si="228"/>
        <v>0</v>
      </c>
      <c r="DG178" s="136"/>
      <c r="DH178" s="136"/>
      <c r="DI178" s="3"/>
      <c r="DJ178" s="8"/>
      <c r="DK178" s="8"/>
      <c r="DL178" s="8"/>
      <c r="DM178" s="8"/>
      <c r="DN178" s="8"/>
      <c r="DO178" s="8"/>
      <c r="DP178" s="8"/>
      <c r="DQ178" s="3"/>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row>
    <row r="179" spans="1:155" s="566" customFormat="1" ht="15" customHeight="1">
      <c r="A179" s="197"/>
      <c r="B179" s="70"/>
      <c r="C179" s="70"/>
      <c r="D179" s="322" t="s">
        <v>312</v>
      </c>
      <c r="E179" s="70"/>
      <c r="F179" s="70"/>
      <c r="G179" s="70"/>
      <c r="H179" s="70"/>
      <c r="I179" s="70"/>
      <c r="J179" s="70"/>
      <c r="K179" s="70"/>
      <c r="L179" s="70"/>
      <c r="M179" s="70"/>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80"/>
      <c r="BE179" s="165" t="s">
        <v>16</v>
      </c>
      <c r="BF179" s="23">
        <v>22</v>
      </c>
      <c r="BG179" s="23">
        <v>9</v>
      </c>
      <c r="BH179" s="23">
        <v>3</v>
      </c>
      <c r="BI179" s="90" t="b">
        <f t="shared" si="224"/>
        <v>1</v>
      </c>
      <c r="BJ179" s="46" t="b">
        <f t="shared" si="231"/>
        <v>0</v>
      </c>
      <c r="BK179" s="166">
        <f t="shared" si="232"/>
        <v>0</v>
      </c>
      <c r="BL179" s="175">
        <f>IF(SUM(BL$171:BL178,BK179)&gt;$BO$4,0,BK179)</f>
        <v>0</v>
      </c>
      <c r="BM179" s="23">
        <f t="shared" si="209"/>
        <v>0</v>
      </c>
      <c r="BN179" s="90">
        <f t="shared" si="210"/>
        <v>0</v>
      </c>
      <c r="BO179" s="24">
        <f t="shared" si="229"/>
        <v>0</v>
      </c>
      <c r="BP179" s="168">
        <f t="shared" si="233"/>
        <v>0</v>
      </c>
      <c r="BQ179" s="171">
        <f t="shared" si="234"/>
        <v>0</v>
      </c>
      <c r="BR179" s="170">
        <f t="shared" si="211"/>
        <v>0</v>
      </c>
      <c r="BS179" s="168">
        <f t="shared" si="235"/>
        <v>0</v>
      </c>
      <c r="BT179" s="171">
        <f t="shared" si="236"/>
        <v>0</v>
      </c>
      <c r="BU179" s="170">
        <f t="shared" si="212"/>
        <v>0</v>
      </c>
      <c r="BV179" s="168">
        <f t="shared" si="237"/>
        <v>0</v>
      </c>
      <c r="BW179" s="171">
        <f t="shared" si="238"/>
        <v>0</v>
      </c>
      <c r="BX179" s="170">
        <f t="shared" si="213"/>
        <v>0</v>
      </c>
      <c r="BY179" s="168">
        <f t="shared" si="239"/>
        <v>0</v>
      </c>
      <c r="BZ179" s="171">
        <f t="shared" si="240"/>
        <v>0</v>
      </c>
      <c r="CA179" s="170">
        <f t="shared" si="214"/>
        <v>0</v>
      </c>
      <c r="CB179" s="90">
        <f t="shared" si="241"/>
        <v>0</v>
      </c>
      <c r="CC179" s="171">
        <f t="shared" si="242"/>
        <v>0</v>
      </c>
      <c r="CD179" s="170">
        <f t="shared" si="215"/>
        <v>0</v>
      </c>
      <c r="CE179" s="90">
        <f t="shared" si="243"/>
        <v>0</v>
      </c>
      <c r="CF179" s="171">
        <f t="shared" si="244"/>
        <v>0</v>
      </c>
      <c r="CG179" s="170">
        <f t="shared" si="216"/>
        <v>0</v>
      </c>
      <c r="CH179" s="90">
        <f t="shared" si="245"/>
        <v>0</v>
      </c>
      <c r="CI179" s="171">
        <f t="shared" si="246"/>
        <v>0</v>
      </c>
      <c r="CJ179" s="170">
        <f t="shared" si="217"/>
        <v>0</v>
      </c>
      <c r="CK179" s="90">
        <f t="shared" si="247"/>
        <v>0</v>
      </c>
      <c r="CL179" s="171">
        <f t="shared" si="248"/>
        <v>0</v>
      </c>
      <c r="CM179" s="170">
        <f t="shared" si="218"/>
        <v>0</v>
      </c>
      <c r="CN179" s="90">
        <f t="shared" si="249"/>
        <v>0</v>
      </c>
      <c r="CO179" s="171">
        <f t="shared" si="250"/>
        <v>0</v>
      </c>
      <c r="CP179" s="170">
        <f t="shared" si="219"/>
        <v>0</v>
      </c>
      <c r="CQ179" s="90">
        <f t="shared" si="251"/>
        <v>0</v>
      </c>
      <c r="CR179" s="171">
        <f t="shared" si="252"/>
        <v>0</v>
      </c>
      <c r="CS179" s="170">
        <f t="shared" si="220"/>
        <v>0</v>
      </c>
      <c r="CT179" s="90">
        <f t="shared" si="253"/>
        <v>0</v>
      </c>
      <c r="CU179" s="171">
        <f t="shared" si="254"/>
        <v>0</v>
      </c>
      <c r="CV179" s="170">
        <f t="shared" si="221"/>
        <v>0</v>
      </c>
      <c r="CW179" s="90">
        <f t="shared" si="255"/>
        <v>0</v>
      </c>
      <c r="CX179" s="171">
        <f t="shared" si="256"/>
        <v>0</v>
      </c>
      <c r="CY179" s="170">
        <f t="shared" si="222"/>
        <v>0</v>
      </c>
      <c r="CZ179" s="168">
        <f t="shared" si="223"/>
        <v>0</v>
      </c>
      <c r="DA179" s="172">
        <f t="shared" si="225"/>
        <v>0</v>
      </c>
      <c r="DB179" s="173">
        <f t="shared" si="226"/>
        <v>0</v>
      </c>
      <c r="DC179" s="172">
        <f t="shared" si="230"/>
        <v>0</v>
      </c>
      <c r="DD179" s="172">
        <f t="shared" si="230"/>
        <v>0</v>
      </c>
      <c r="DE179" s="172">
        <f t="shared" si="230"/>
        <v>0</v>
      </c>
      <c r="DF179" s="172">
        <f t="shared" si="228"/>
        <v>0</v>
      </c>
      <c r="DG179" s="136"/>
      <c r="DH179" s="136"/>
      <c r="DI179" s="3"/>
      <c r="DJ179" s="8"/>
      <c r="DK179" s="8"/>
      <c r="DL179" s="8"/>
      <c r="DM179" s="8"/>
      <c r="DN179" s="8"/>
      <c r="DO179" s="8"/>
      <c r="DP179" s="8"/>
      <c r="DQ179" s="3"/>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row>
    <row r="180" spans="1:155" s="566" customFormat="1" ht="15.75" customHeight="1">
      <c r="A180" s="197"/>
      <c r="B180" s="323" t="s">
        <v>168</v>
      </c>
      <c r="C180" s="194"/>
      <c r="D180" s="324">
        <f t="shared" ref="D180:D191" si="257">J144</f>
        <v>0</v>
      </c>
      <c r="E180" s="70"/>
      <c r="F180" s="70"/>
      <c r="G180" s="70"/>
      <c r="H180" s="70"/>
      <c r="I180" s="70"/>
      <c r="J180" s="70"/>
      <c r="K180" s="70"/>
      <c r="L180" s="70"/>
      <c r="M180" s="70"/>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70"/>
      <c r="BE180" s="165" t="s">
        <v>16</v>
      </c>
      <c r="BF180" s="23">
        <v>22</v>
      </c>
      <c r="BG180" s="23">
        <v>10</v>
      </c>
      <c r="BH180" s="23">
        <v>4</v>
      </c>
      <c r="BI180" s="90" t="b">
        <f t="shared" si="224"/>
        <v>1</v>
      </c>
      <c r="BJ180" s="46" t="b">
        <f t="shared" si="231"/>
        <v>0</v>
      </c>
      <c r="BK180" s="166">
        <f t="shared" si="232"/>
        <v>0</v>
      </c>
      <c r="BL180" s="175">
        <f>IF(SUM(BL$171:BL179,BK180)&gt;$BO$4,0,BK180)</f>
        <v>0</v>
      </c>
      <c r="BM180" s="23">
        <f t="shared" si="209"/>
        <v>0</v>
      </c>
      <c r="BN180" s="90">
        <f t="shared" si="210"/>
        <v>0</v>
      </c>
      <c r="BO180" s="24">
        <f t="shared" si="229"/>
        <v>0</v>
      </c>
      <c r="BP180" s="168">
        <f t="shared" si="233"/>
        <v>0</v>
      </c>
      <c r="BQ180" s="171">
        <f t="shared" si="234"/>
        <v>0</v>
      </c>
      <c r="BR180" s="170">
        <f t="shared" si="211"/>
        <v>0</v>
      </c>
      <c r="BS180" s="168">
        <f t="shared" si="235"/>
        <v>0</v>
      </c>
      <c r="BT180" s="171">
        <f t="shared" si="236"/>
        <v>0</v>
      </c>
      <c r="BU180" s="170">
        <f t="shared" si="212"/>
        <v>0</v>
      </c>
      <c r="BV180" s="168">
        <f t="shared" si="237"/>
        <v>0</v>
      </c>
      <c r="BW180" s="171">
        <f t="shared" si="238"/>
        <v>0</v>
      </c>
      <c r="BX180" s="170">
        <f t="shared" si="213"/>
        <v>0</v>
      </c>
      <c r="BY180" s="168">
        <f t="shared" si="239"/>
        <v>0</v>
      </c>
      <c r="BZ180" s="171">
        <f t="shared" si="240"/>
        <v>0</v>
      </c>
      <c r="CA180" s="170">
        <f t="shared" si="214"/>
        <v>0</v>
      </c>
      <c r="CB180" s="90">
        <f t="shared" si="241"/>
        <v>0</v>
      </c>
      <c r="CC180" s="171">
        <f t="shared" si="242"/>
        <v>0</v>
      </c>
      <c r="CD180" s="170">
        <f t="shared" si="215"/>
        <v>0</v>
      </c>
      <c r="CE180" s="90">
        <f t="shared" si="243"/>
        <v>0</v>
      </c>
      <c r="CF180" s="171">
        <f t="shared" si="244"/>
        <v>0</v>
      </c>
      <c r="CG180" s="170">
        <f t="shared" si="216"/>
        <v>0</v>
      </c>
      <c r="CH180" s="90">
        <f t="shared" si="245"/>
        <v>0</v>
      </c>
      <c r="CI180" s="171">
        <f t="shared" si="246"/>
        <v>0</v>
      </c>
      <c r="CJ180" s="170">
        <f t="shared" si="217"/>
        <v>0</v>
      </c>
      <c r="CK180" s="90">
        <f t="shared" si="247"/>
        <v>0</v>
      </c>
      <c r="CL180" s="171">
        <f t="shared" si="248"/>
        <v>0</v>
      </c>
      <c r="CM180" s="170">
        <f t="shared" si="218"/>
        <v>0</v>
      </c>
      <c r="CN180" s="90">
        <f t="shared" si="249"/>
        <v>0</v>
      </c>
      <c r="CO180" s="171">
        <f t="shared" si="250"/>
        <v>0</v>
      </c>
      <c r="CP180" s="170">
        <f t="shared" si="219"/>
        <v>0</v>
      </c>
      <c r="CQ180" s="90">
        <f t="shared" si="251"/>
        <v>0</v>
      </c>
      <c r="CR180" s="171">
        <f t="shared" si="252"/>
        <v>0</v>
      </c>
      <c r="CS180" s="170">
        <f t="shared" si="220"/>
        <v>0</v>
      </c>
      <c r="CT180" s="90">
        <f t="shared" si="253"/>
        <v>0</v>
      </c>
      <c r="CU180" s="171">
        <f t="shared" si="254"/>
        <v>0</v>
      </c>
      <c r="CV180" s="170">
        <f t="shared" si="221"/>
        <v>0</v>
      </c>
      <c r="CW180" s="90">
        <f t="shared" si="255"/>
        <v>0</v>
      </c>
      <c r="CX180" s="171">
        <f t="shared" si="256"/>
        <v>0</v>
      </c>
      <c r="CY180" s="170">
        <f t="shared" si="222"/>
        <v>0</v>
      </c>
      <c r="CZ180" s="168">
        <f t="shared" si="223"/>
        <v>0</v>
      </c>
      <c r="DA180" s="172">
        <f t="shared" si="225"/>
        <v>0</v>
      </c>
      <c r="DB180" s="173">
        <f t="shared" si="226"/>
        <v>0</v>
      </c>
      <c r="DC180" s="172">
        <f t="shared" si="230"/>
        <v>0</v>
      </c>
      <c r="DD180" s="172">
        <f t="shared" si="230"/>
        <v>0</v>
      </c>
      <c r="DE180" s="172">
        <f t="shared" si="230"/>
        <v>0</v>
      </c>
      <c r="DF180" s="172">
        <f t="shared" si="228"/>
        <v>0</v>
      </c>
      <c r="DG180" s="136"/>
      <c r="DH180" s="136"/>
      <c r="DI180" s="3"/>
      <c r="DJ180" s="8"/>
      <c r="DK180" s="8"/>
      <c r="DL180" s="8"/>
      <c r="DM180" s="8"/>
      <c r="DN180" s="8"/>
      <c r="DO180" s="8"/>
      <c r="DP180" s="8"/>
      <c r="DQ180" s="3"/>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row>
    <row r="181" spans="1:155" s="566" customFormat="1" ht="15.75" customHeight="1">
      <c r="A181" s="197"/>
      <c r="B181" s="323" t="s">
        <v>172</v>
      </c>
      <c r="C181" s="194"/>
      <c r="D181" s="324">
        <f t="shared" si="257"/>
        <v>0</v>
      </c>
      <c r="E181" s="70"/>
      <c r="F181" s="70"/>
      <c r="G181" s="70"/>
      <c r="H181" s="70"/>
      <c r="I181" s="70"/>
      <c r="J181" s="70"/>
      <c r="K181" s="70"/>
      <c r="L181" s="70"/>
      <c r="M181" s="70"/>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3"/>
      <c r="BE181" s="165" t="s">
        <v>16</v>
      </c>
      <c r="BF181" s="23">
        <v>22</v>
      </c>
      <c r="BG181" s="23">
        <v>11</v>
      </c>
      <c r="BH181" s="23">
        <v>5</v>
      </c>
      <c r="BI181" s="90" t="b">
        <f t="shared" si="224"/>
        <v>1</v>
      </c>
      <c r="BJ181" s="46" t="b">
        <f t="shared" si="231"/>
        <v>0</v>
      </c>
      <c r="BK181" s="166">
        <f t="shared" si="232"/>
        <v>0</v>
      </c>
      <c r="BL181" s="175">
        <f>IF(SUM(BL$171:BL180,BK181)&gt;$BO$4,0,BK181)</f>
        <v>0</v>
      </c>
      <c r="BM181" s="23">
        <f t="shared" si="209"/>
        <v>0</v>
      </c>
      <c r="BN181" s="90">
        <f t="shared" si="210"/>
        <v>0</v>
      </c>
      <c r="BO181" s="24">
        <f t="shared" si="229"/>
        <v>0</v>
      </c>
      <c r="BP181" s="168">
        <f t="shared" si="233"/>
        <v>0</v>
      </c>
      <c r="BQ181" s="171">
        <f t="shared" si="234"/>
        <v>0</v>
      </c>
      <c r="BR181" s="170">
        <f t="shared" si="211"/>
        <v>0</v>
      </c>
      <c r="BS181" s="168">
        <f t="shared" si="235"/>
        <v>0</v>
      </c>
      <c r="BT181" s="171">
        <f t="shared" si="236"/>
        <v>0</v>
      </c>
      <c r="BU181" s="170">
        <f t="shared" si="212"/>
        <v>0</v>
      </c>
      <c r="BV181" s="168">
        <f t="shared" si="237"/>
        <v>0</v>
      </c>
      <c r="BW181" s="171">
        <f t="shared" si="238"/>
        <v>0</v>
      </c>
      <c r="BX181" s="170">
        <f t="shared" si="213"/>
        <v>0</v>
      </c>
      <c r="BY181" s="168">
        <f t="shared" si="239"/>
        <v>0</v>
      </c>
      <c r="BZ181" s="171">
        <f t="shared" si="240"/>
        <v>0</v>
      </c>
      <c r="CA181" s="170">
        <f t="shared" si="214"/>
        <v>0</v>
      </c>
      <c r="CB181" s="90">
        <f t="shared" si="241"/>
        <v>0</v>
      </c>
      <c r="CC181" s="171">
        <f t="shared" si="242"/>
        <v>0</v>
      </c>
      <c r="CD181" s="170">
        <f t="shared" si="215"/>
        <v>0</v>
      </c>
      <c r="CE181" s="90">
        <f t="shared" si="243"/>
        <v>0</v>
      </c>
      <c r="CF181" s="171">
        <f t="shared" si="244"/>
        <v>0</v>
      </c>
      <c r="CG181" s="170">
        <f t="shared" si="216"/>
        <v>0</v>
      </c>
      <c r="CH181" s="90">
        <f t="shared" si="245"/>
        <v>0</v>
      </c>
      <c r="CI181" s="171">
        <f t="shared" si="246"/>
        <v>0</v>
      </c>
      <c r="CJ181" s="170">
        <f t="shared" si="217"/>
        <v>0</v>
      </c>
      <c r="CK181" s="90">
        <f t="shared" si="247"/>
        <v>0</v>
      </c>
      <c r="CL181" s="171">
        <f t="shared" si="248"/>
        <v>0</v>
      </c>
      <c r="CM181" s="170">
        <f t="shared" si="218"/>
        <v>0</v>
      </c>
      <c r="CN181" s="90">
        <f t="shared" si="249"/>
        <v>0</v>
      </c>
      <c r="CO181" s="171">
        <f t="shared" si="250"/>
        <v>0</v>
      </c>
      <c r="CP181" s="170">
        <f t="shared" si="219"/>
        <v>0</v>
      </c>
      <c r="CQ181" s="90">
        <f t="shared" si="251"/>
        <v>0</v>
      </c>
      <c r="CR181" s="171">
        <f t="shared" si="252"/>
        <v>0</v>
      </c>
      <c r="CS181" s="170">
        <f t="shared" si="220"/>
        <v>0</v>
      </c>
      <c r="CT181" s="90">
        <f t="shared" si="253"/>
        <v>0</v>
      </c>
      <c r="CU181" s="171">
        <f t="shared" si="254"/>
        <v>0</v>
      </c>
      <c r="CV181" s="170">
        <f t="shared" si="221"/>
        <v>0</v>
      </c>
      <c r="CW181" s="90">
        <f t="shared" si="255"/>
        <v>0</v>
      </c>
      <c r="CX181" s="171">
        <f t="shared" si="256"/>
        <v>0</v>
      </c>
      <c r="CY181" s="170">
        <f t="shared" si="222"/>
        <v>0</v>
      </c>
      <c r="CZ181" s="168">
        <f t="shared" si="223"/>
        <v>0</v>
      </c>
      <c r="DA181" s="172">
        <f t="shared" si="225"/>
        <v>0</v>
      </c>
      <c r="DB181" s="173">
        <f t="shared" si="226"/>
        <v>0</v>
      </c>
      <c r="DC181" s="172">
        <f t="shared" ref="DC181:DE196" si="258">IF(DC180+$DB181&lt;0,0,IF(DC180+$DB181&gt;$F$405,$F$405,DC180+$DB181))</f>
        <v>0</v>
      </c>
      <c r="DD181" s="172">
        <f t="shared" si="258"/>
        <v>0</v>
      </c>
      <c r="DE181" s="172">
        <f t="shared" si="258"/>
        <v>0</v>
      </c>
      <c r="DF181" s="172">
        <f t="shared" si="228"/>
        <v>0</v>
      </c>
      <c r="DG181" s="136"/>
      <c r="DH181" s="136"/>
      <c r="DI181" s="3"/>
      <c r="DJ181" s="8"/>
      <c r="DK181" s="8"/>
      <c r="DL181" s="8"/>
      <c r="DM181" s="8"/>
      <c r="DN181" s="8"/>
      <c r="DO181" s="8"/>
      <c r="DP181" s="8"/>
      <c r="DQ181" s="3"/>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row>
    <row r="182" spans="1:155" s="566" customFormat="1" ht="15.75" customHeight="1">
      <c r="A182" s="197"/>
      <c r="B182" s="323" t="s">
        <v>177</v>
      </c>
      <c r="C182" s="194"/>
      <c r="D182" s="324">
        <f t="shared" si="257"/>
        <v>0</v>
      </c>
      <c r="E182" s="70"/>
      <c r="F182" s="70"/>
      <c r="G182" s="70"/>
      <c r="H182" s="70"/>
      <c r="I182" s="70"/>
      <c r="J182" s="70"/>
      <c r="K182" s="70"/>
      <c r="L182" s="70"/>
      <c r="M182" s="70"/>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70"/>
      <c r="BE182" s="165" t="s">
        <v>16</v>
      </c>
      <c r="BF182" s="23">
        <v>22</v>
      </c>
      <c r="BG182" s="23">
        <v>12</v>
      </c>
      <c r="BH182" s="23">
        <v>6</v>
      </c>
      <c r="BI182" s="90" t="b">
        <f t="shared" si="224"/>
        <v>0</v>
      </c>
      <c r="BJ182" s="46" t="b">
        <f t="shared" si="231"/>
        <v>0</v>
      </c>
      <c r="BK182" s="166">
        <f t="shared" si="232"/>
        <v>0</v>
      </c>
      <c r="BL182" s="175">
        <f>IF(SUM(BL$171:BL181,BK182)&gt;$BO$4,0,BK182)</f>
        <v>0</v>
      </c>
      <c r="BM182" s="23">
        <f t="shared" si="209"/>
        <v>0</v>
      </c>
      <c r="BN182" s="90">
        <f t="shared" si="210"/>
        <v>0</v>
      </c>
      <c r="BO182" s="24">
        <f t="shared" si="229"/>
        <v>0</v>
      </c>
      <c r="BP182" s="168">
        <f t="shared" si="233"/>
        <v>0</v>
      </c>
      <c r="BQ182" s="171">
        <f t="shared" si="234"/>
        <v>0</v>
      </c>
      <c r="BR182" s="170">
        <f t="shared" si="211"/>
        <v>0</v>
      </c>
      <c r="BS182" s="168">
        <f t="shared" si="235"/>
        <v>0</v>
      </c>
      <c r="BT182" s="171">
        <f t="shared" si="236"/>
        <v>0</v>
      </c>
      <c r="BU182" s="170">
        <f t="shared" si="212"/>
        <v>0</v>
      </c>
      <c r="BV182" s="168">
        <f t="shared" si="237"/>
        <v>0</v>
      </c>
      <c r="BW182" s="171">
        <f t="shared" si="238"/>
        <v>0</v>
      </c>
      <c r="BX182" s="170">
        <f t="shared" si="213"/>
        <v>0</v>
      </c>
      <c r="BY182" s="168">
        <f t="shared" si="239"/>
        <v>0</v>
      </c>
      <c r="BZ182" s="171">
        <f t="shared" si="240"/>
        <v>0</v>
      </c>
      <c r="CA182" s="170">
        <f t="shared" si="214"/>
        <v>0</v>
      </c>
      <c r="CB182" s="90">
        <f t="shared" si="241"/>
        <v>0</v>
      </c>
      <c r="CC182" s="171">
        <f t="shared" si="242"/>
        <v>0</v>
      </c>
      <c r="CD182" s="170">
        <f t="shared" si="215"/>
        <v>0</v>
      </c>
      <c r="CE182" s="90">
        <f t="shared" si="243"/>
        <v>0</v>
      </c>
      <c r="CF182" s="171">
        <f t="shared" si="244"/>
        <v>0</v>
      </c>
      <c r="CG182" s="170">
        <f t="shared" si="216"/>
        <v>0</v>
      </c>
      <c r="CH182" s="90">
        <f t="shared" si="245"/>
        <v>0</v>
      </c>
      <c r="CI182" s="171">
        <f t="shared" si="246"/>
        <v>0</v>
      </c>
      <c r="CJ182" s="170">
        <f t="shared" si="217"/>
        <v>0</v>
      </c>
      <c r="CK182" s="90">
        <f t="shared" si="247"/>
        <v>0</v>
      </c>
      <c r="CL182" s="171">
        <f t="shared" si="248"/>
        <v>0</v>
      </c>
      <c r="CM182" s="170">
        <f t="shared" si="218"/>
        <v>0</v>
      </c>
      <c r="CN182" s="90">
        <f t="shared" si="249"/>
        <v>0</v>
      </c>
      <c r="CO182" s="171">
        <f t="shared" si="250"/>
        <v>0</v>
      </c>
      <c r="CP182" s="170">
        <f t="shared" si="219"/>
        <v>0</v>
      </c>
      <c r="CQ182" s="90">
        <f t="shared" si="251"/>
        <v>0</v>
      </c>
      <c r="CR182" s="171">
        <f t="shared" si="252"/>
        <v>0</v>
      </c>
      <c r="CS182" s="170">
        <f t="shared" si="220"/>
        <v>0</v>
      </c>
      <c r="CT182" s="90">
        <f t="shared" si="253"/>
        <v>0</v>
      </c>
      <c r="CU182" s="171">
        <f t="shared" si="254"/>
        <v>0</v>
      </c>
      <c r="CV182" s="170">
        <f t="shared" si="221"/>
        <v>0</v>
      </c>
      <c r="CW182" s="90">
        <f t="shared" si="255"/>
        <v>0</v>
      </c>
      <c r="CX182" s="171">
        <f t="shared" si="256"/>
        <v>0</v>
      </c>
      <c r="CY182" s="170">
        <f t="shared" si="222"/>
        <v>0</v>
      </c>
      <c r="CZ182" s="168">
        <f t="shared" si="223"/>
        <v>0</v>
      </c>
      <c r="DA182" s="172">
        <f t="shared" si="225"/>
        <v>0</v>
      </c>
      <c r="DB182" s="173">
        <f t="shared" si="226"/>
        <v>0</v>
      </c>
      <c r="DC182" s="172">
        <f t="shared" si="258"/>
        <v>0</v>
      </c>
      <c r="DD182" s="172">
        <f t="shared" si="258"/>
        <v>0</v>
      </c>
      <c r="DE182" s="172">
        <f t="shared" si="258"/>
        <v>0</v>
      </c>
      <c r="DF182" s="172">
        <f t="shared" si="228"/>
        <v>0</v>
      </c>
      <c r="DG182" s="136"/>
      <c r="DH182" s="136"/>
      <c r="DI182" s="3"/>
      <c r="DJ182" s="8"/>
      <c r="DK182" s="8"/>
      <c r="DL182" s="8"/>
      <c r="DM182" s="8"/>
      <c r="DN182" s="8"/>
      <c r="DO182" s="8"/>
      <c r="DP182" s="8"/>
      <c r="DQ182" s="3"/>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row>
    <row r="183" spans="1:155" s="566" customFormat="1">
      <c r="A183" s="197"/>
      <c r="B183" s="323" t="s">
        <v>180</v>
      </c>
      <c r="C183" s="194"/>
      <c r="D183" s="324">
        <f t="shared" si="257"/>
        <v>0</v>
      </c>
      <c r="E183" s="70"/>
      <c r="F183" s="70"/>
      <c r="G183" s="70"/>
      <c r="H183" s="70"/>
      <c r="I183" s="70"/>
      <c r="J183" s="70"/>
      <c r="K183" s="70"/>
      <c r="L183" s="70"/>
      <c r="M183" s="70"/>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70"/>
      <c r="BE183" s="165" t="s">
        <v>16</v>
      </c>
      <c r="BF183" s="23">
        <v>22</v>
      </c>
      <c r="BG183" s="23">
        <v>13</v>
      </c>
      <c r="BH183" s="23">
        <v>7</v>
      </c>
      <c r="BI183" s="90" t="b">
        <f t="shared" si="224"/>
        <v>0</v>
      </c>
      <c r="BJ183" s="46" t="b">
        <f t="shared" si="231"/>
        <v>0</v>
      </c>
      <c r="BK183" s="166">
        <f t="shared" si="232"/>
        <v>0</v>
      </c>
      <c r="BL183" s="175">
        <f>IF(SUM(BL$171:BL182,BK183)&gt;$BO$4,0,BK183)</f>
        <v>0</v>
      </c>
      <c r="BM183" s="23">
        <f t="shared" si="209"/>
        <v>0</v>
      </c>
      <c r="BN183" s="90">
        <f t="shared" si="210"/>
        <v>0</v>
      </c>
      <c r="BO183" s="24">
        <f t="shared" si="229"/>
        <v>0</v>
      </c>
      <c r="BP183" s="168">
        <f t="shared" si="233"/>
        <v>0</v>
      </c>
      <c r="BQ183" s="171">
        <f t="shared" si="234"/>
        <v>0</v>
      </c>
      <c r="BR183" s="170">
        <f t="shared" si="211"/>
        <v>0</v>
      </c>
      <c r="BS183" s="168">
        <f t="shared" si="235"/>
        <v>0</v>
      </c>
      <c r="BT183" s="171">
        <f t="shared" si="236"/>
        <v>0</v>
      </c>
      <c r="BU183" s="170">
        <f t="shared" si="212"/>
        <v>0</v>
      </c>
      <c r="BV183" s="168">
        <f t="shared" si="237"/>
        <v>0</v>
      </c>
      <c r="BW183" s="171">
        <f t="shared" si="238"/>
        <v>0</v>
      </c>
      <c r="BX183" s="170">
        <f t="shared" si="213"/>
        <v>0</v>
      </c>
      <c r="BY183" s="168">
        <f t="shared" si="239"/>
        <v>0</v>
      </c>
      <c r="BZ183" s="171">
        <f t="shared" si="240"/>
        <v>0</v>
      </c>
      <c r="CA183" s="170">
        <f t="shared" si="214"/>
        <v>0</v>
      </c>
      <c r="CB183" s="90">
        <f t="shared" si="241"/>
        <v>0</v>
      </c>
      <c r="CC183" s="171">
        <f t="shared" si="242"/>
        <v>0</v>
      </c>
      <c r="CD183" s="170">
        <f t="shared" si="215"/>
        <v>0</v>
      </c>
      <c r="CE183" s="90">
        <f t="shared" si="243"/>
        <v>0</v>
      </c>
      <c r="CF183" s="171">
        <f t="shared" si="244"/>
        <v>0</v>
      </c>
      <c r="CG183" s="170">
        <f t="shared" si="216"/>
        <v>0</v>
      </c>
      <c r="CH183" s="90">
        <f t="shared" si="245"/>
        <v>0</v>
      </c>
      <c r="CI183" s="171">
        <f t="shared" si="246"/>
        <v>0</v>
      </c>
      <c r="CJ183" s="170">
        <f t="shared" si="217"/>
        <v>0</v>
      </c>
      <c r="CK183" s="90">
        <f t="shared" si="247"/>
        <v>0</v>
      </c>
      <c r="CL183" s="171">
        <f t="shared" si="248"/>
        <v>0</v>
      </c>
      <c r="CM183" s="170">
        <f t="shared" si="218"/>
        <v>0</v>
      </c>
      <c r="CN183" s="90">
        <f t="shared" si="249"/>
        <v>0</v>
      </c>
      <c r="CO183" s="171">
        <f t="shared" si="250"/>
        <v>0</v>
      </c>
      <c r="CP183" s="170">
        <f t="shared" si="219"/>
        <v>0</v>
      </c>
      <c r="CQ183" s="90">
        <f t="shared" si="251"/>
        <v>0</v>
      </c>
      <c r="CR183" s="171">
        <f t="shared" si="252"/>
        <v>0</v>
      </c>
      <c r="CS183" s="170">
        <f t="shared" si="220"/>
        <v>0</v>
      </c>
      <c r="CT183" s="90">
        <f t="shared" si="253"/>
        <v>0</v>
      </c>
      <c r="CU183" s="171">
        <f t="shared" si="254"/>
        <v>0</v>
      </c>
      <c r="CV183" s="170">
        <f t="shared" si="221"/>
        <v>0</v>
      </c>
      <c r="CW183" s="90">
        <f t="shared" si="255"/>
        <v>0</v>
      </c>
      <c r="CX183" s="171">
        <f t="shared" si="256"/>
        <v>0</v>
      </c>
      <c r="CY183" s="170">
        <f t="shared" si="222"/>
        <v>0</v>
      </c>
      <c r="CZ183" s="168">
        <f t="shared" si="223"/>
        <v>0</v>
      </c>
      <c r="DA183" s="172">
        <f t="shared" si="225"/>
        <v>0</v>
      </c>
      <c r="DB183" s="173">
        <f t="shared" si="226"/>
        <v>0</v>
      </c>
      <c r="DC183" s="172">
        <f t="shared" si="258"/>
        <v>0</v>
      </c>
      <c r="DD183" s="172">
        <f t="shared" si="258"/>
        <v>0</v>
      </c>
      <c r="DE183" s="172">
        <f t="shared" si="258"/>
        <v>0</v>
      </c>
      <c r="DF183" s="172">
        <f t="shared" si="228"/>
        <v>0</v>
      </c>
      <c r="DG183" s="136"/>
      <c r="DH183" s="136"/>
      <c r="DI183" s="3"/>
      <c r="DJ183" s="8"/>
      <c r="DK183" s="8"/>
      <c r="DL183" s="8"/>
      <c r="DM183" s="8"/>
      <c r="DN183" s="8"/>
      <c r="DO183" s="8"/>
      <c r="DP183" s="8"/>
      <c r="DQ183" s="3"/>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row>
    <row r="184" spans="1:155" s="566" customFormat="1" ht="18" customHeight="1">
      <c r="A184" s="197"/>
      <c r="B184" s="323" t="s">
        <v>15</v>
      </c>
      <c r="C184" s="194"/>
      <c r="D184" s="324">
        <f t="shared" si="257"/>
        <v>0</v>
      </c>
      <c r="E184" s="70"/>
      <c r="F184" s="70"/>
      <c r="G184" s="70"/>
      <c r="H184" s="70"/>
      <c r="I184" s="70"/>
      <c r="J184" s="70"/>
      <c r="K184" s="70"/>
      <c r="L184" s="70"/>
      <c r="M184" s="70"/>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70"/>
      <c r="BE184" s="165" t="s">
        <v>16</v>
      </c>
      <c r="BF184" s="23">
        <v>22</v>
      </c>
      <c r="BG184" s="23">
        <v>14</v>
      </c>
      <c r="BH184" s="23">
        <v>1</v>
      </c>
      <c r="BI184" s="90" t="b">
        <f t="shared" si="224"/>
        <v>1</v>
      </c>
      <c r="BJ184" s="46" t="b">
        <f t="shared" si="231"/>
        <v>0</v>
      </c>
      <c r="BK184" s="166">
        <f t="shared" si="232"/>
        <v>0</v>
      </c>
      <c r="BL184" s="175">
        <f>IF(SUM(BL$171:BL183,BK184)&gt;$BO$4,0,BK184)</f>
        <v>0</v>
      </c>
      <c r="BM184" s="23">
        <f t="shared" si="209"/>
        <v>0</v>
      </c>
      <c r="BN184" s="90">
        <f t="shared" si="210"/>
        <v>0</v>
      </c>
      <c r="BO184" s="24">
        <f t="shared" si="229"/>
        <v>0</v>
      </c>
      <c r="BP184" s="168">
        <f t="shared" si="233"/>
        <v>0</v>
      </c>
      <c r="BQ184" s="171">
        <f t="shared" si="234"/>
        <v>0</v>
      </c>
      <c r="BR184" s="170">
        <f t="shared" si="211"/>
        <v>0</v>
      </c>
      <c r="BS184" s="168">
        <f t="shared" si="235"/>
        <v>0</v>
      </c>
      <c r="BT184" s="171">
        <f t="shared" si="236"/>
        <v>0</v>
      </c>
      <c r="BU184" s="170">
        <f t="shared" si="212"/>
        <v>0</v>
      </c>
      <c r="BV184" s="168">
        <f t="shared" si="237"/>
        <v>0</v>
      </c>
      <c r="BW184" s="171">
        <f t="shared" si="238"/>
        <v>0</v>
      </c>
      <c r="BX184" s="170">
        <f t="shared" si="213"/>
        <v>0</v>
      </c>
      <c r="BY184" s="168">
        <f t="shared" si="239"/>
        <v>0</v>
      </c>
      <c r="BZ184" s="171">
        <f t="shared" si="240"/>
        <v>0</v>
      </c>
      <c r="CA184" s="170">
        <f t="shared" si="214"/>
        <v>0</v>
      </c>
      <c r="CB184" s="90">
        <f t="shared" si="241"/>
        <v>0</v>
      </c>
      <c r="CC184" s="171">
        <f t="shared" si="242"/>
        <v>0</v>
      </c>
      <c r="CD184" s="170">
        <f t="shared" si="215"/>
        <v>0</v>
      </c>
      <c r="CE184" s="90">
        <f t="shared" si="243"/>
        <v>0</v>
      </c>
      <c r="CF184" s="171">
        <f t="shared" si="244"/>
        <v>0</v>
      </c>
      <c r="CG184" s="170">
        <f t="shared" si="216"/>
        <v>0</v>
      </c>
      <c r="CH184" s="90">
        <f t="shared" si="245"/>
        <v>0</v>
      </c>
      <c r="CI184" s="171">
        <f t="shared" si="246"/>
        <v>0</v>
      </c>
      <c r="CJ184" s="170">
        <f t="shared" si="217"/>
        <v>0</v>
      </c>
      <c r="CK184" s="90">
        <f t="shared" si="247"/>
        <v>0</v>
      </c>
      <c r="CL184" s="171">
        <f t="shared" si="248"/>
        <v>0</v>
      </c>
      <c r="CM184" s="170">
        <f t="shared" si="218"/>
        <v>0</v>
      </c>
      <c r="CN184" s="90">
        <f t="shared" si="249"/>
        <v>0</v>
      </c>
      <c r="CO184" s="171">
        <f t="shared" si="250"/>
        <v>0</v>
      </c>
      <c r="CP184" s="170">
        <f t="shared" si="219"/>
        <v>0</v>
      </c>
      <c r="CQ184" s="90">
        <f t="shared" si="251"/>
        <v>0</v>
      </c>
      <c r="CR184" s="171">
        <f t="shared" si="252"/>
        <v>0</v>
      </c>
      <c r="CS184" s="170">
        <f t="shared" si="220"/>
        <v>0</v>
      </c>
      <c r="CT184" s="90">
        <f t="shared" si="253"/>
        <v>0</v>
      </c>
      <c r="CU184" s="171">
        <f t="shared" si="254"/>
        <v>0</v>
      </c>
      <c r="CV184" s="170">
        <f t="shared" si="221"/>
        <v>0</v>
      </c>
      <c r="CW184" s="90">
        <f t="shared" si="255"/>
        <v>0</v>
      </c>
      <c r="CX184" s="171">
        <f t="shared" si="256"/>
        <v>0</v>
      </c>
      <c r="CY184" s="170">
        <f t="shared" si="222"/>
        <v>0</v>
      </c>
      <c r="CZ184" s="168">
        <f t="shared" si="223"/>
        <v>0</v>
      </c>
      <c r="DA184" s="172">
        <f t="shared" si="225"/>
        <v>0</v>
      </c>
      <c r="DB184" s="173">
        <f t="shared" si="226"/>
        <v>0</v>
      </c>
      <c r="DC184" s="172">
        <f t="shared" si="258"/>
        <v>0</v>
      </c>
      <c r="DD184" s="172">
        <f t="shared" si="258"/>
        <v>0</v>
      </c>
      <c r="DE184" s="172">
        <f t="shared" si="258"/>
        <v>0</v>
      </c>
      <c r="DF184" s="172">
        <f t="shared" si="228"/>
        <v>0</v>
      </c>
      <c r="DG184" s="136"/>
      <c r="DH184" s="136"/>
      <c r="DI184" s="3"/>
      <c r="DJ184" s="8"/>
      <c r="DK184" s="8"/>
      <c r="DL184" s="8"/>
      <c r="DM184" s="8"/>
      <c r="DN184" s="8"/>
      <c r="DO184" s="8"/>
      <c r="DP184" s="8"/>
      <c r="DQ184" s="3"/>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row>
    <row r="185" spans="1:155" s="566" customFormat="1" ht="18" customHeight="1">
      <c r="A185" s="197"/>
      <c r="B185" s="323" t="s">
        <v>185</v>
      </c>
      <c r="C185" s="194"/>
      <c r="D185" s="324">
        <f t="shared" si="257"/>
        <v>0</v>
      </c>
      <c r="E185" s="70"/>
      <c r="F185" s="70"/>
      <c r="G185" s="70"/>
      <c r="H185" s="70"/>
      <c r="I185" s="70"/>
      <c r="J185" s="70"/>
      <c r="K185" s="70"/>
      <c r="L185" s="70"/>
      <c r="M185" s="70"/>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70"/>
      <c r="BE185" s="165" t="s">
        <v>16</v>
      </c>
      <c r="BF185" s="23">
        <v>22</v>
      </c>
      <c r="BG185" s="23">
        <v>15</v>
      </c>
      <c r="BH185" s="23">
        <v>2</v>
      </c>
      <c r="BI185" s="90" t="b">
        <f t="shared" si="224"/>
        <v>1</v>
      </c>
      <c r="BJ185" s="46" t="b">
        <f t="shared" si="231"/>
        <v>0</v>
      </c>
      <c r="BK185" s="166">
        <f t="shared" si="232"/>
        <v>0</v>
      </c>
      <c r="BL185" s="175">
        <f>IF(SUM(BL$171:BL184,BK185)&gt;$BO$4,0,BK185)</f>
        <v>0</v>
      </c>
      <c r="BM185" s="23">
        <f t="shared" si="209"/>
        <v>0</v>
      </c>
      <c r="BN185" s="90">
        <f t="shared" si="210"/>
        <v>0</v>
      </c>
      <c r="BO185" s="24">
        <f t="shared" si="229"/>
        <v>0</v>
      </c>
      <c r="BP185" s="168">
        <f t="shared" si="233"/>
        <v>0</v>
      </c>
      <c r="BQ185" s="171">
        <f t="shared" si="234"/>
        <v>0</v>
      </c>
      <c r="BR185" s="170">
        <f t="shared" si="211"/>
        <v>0</v>
      </c>
      <c r="BS185" s="168">
        <f t="shared" si="235"/>
        <v>0</v>
      </c>
      <c r="BT185" s="171">
        <f t="shared" si="236"/>
        <v>0</v>
      </c>
      <c r="BU185" s="170">
        <f t="shared" si="212"/>
        <v>0</v>
      </c>
      <c r="BV185" s="168">
        <f t="shared" si="237"/>
        <v>0</v>
      </c>
      <c r="BW185" s="171">
        <f t="shared" si="238"/>
        <v>0</v>
      </c>
      <c r="BX185" s="170">
        <f t="shared" si="213"/>
        <v>0</v>
      </c>
      <c r="BY185" s="168">
        <f t="shared" si="239"/>
        <v>0</v>
      </c>
      <c r="BZ185" s="171">
        <f t="shared" si="240"/>
        <v>0</v>
      </c>
      <c r="CA185" s="170">
        <f t="shared" si="214"/>
        <v>0</v>
      </c>
      <c r="CB185" s="90">
        <f t="shared" si="241"/>
        <v>0</v>
      </c>
      <c r="CC185" s="171">
        <f t="shared" si="242"/>
        <v>0</v>
      </c>
      <c r="CD185" s="170">
        <f t="shared" si="215"/>
        <v>0</v>
      </c>
      <c r="CE185" s="90">
        <f t="shared" si="243"/>
        <v>0</v>
      </c>
      <c r="CF185" s="171">
        <f t="shared" si="244"/>
        <v>0</v>
      </c>
      <c r="CG185" s="170">
        <f t="shared" si="216"/>
        <v>0</v>
      </c>
      <c r="CH185" s="90">
        <f t="shared" si="245"/>
        <v>0</v>
      </c>
      <c r="CI185" s="171">
        <f t="shared" si="246"/>
        <v>0</v>
      </c>
      <c r="CJ185" s="170">
        <f t="shared" si="217"/>
        <v>0</v>
      </c>
      <c r="CK185" s="90">
        <f t="shared" si="247"/>
        <v>0</v>
      </c>
      <c r="CL185" s="171">
        <f t="shared" si="248"/>
        <v>0</v>
      </c>
      <c r="CM185" s="170">
        <f t="shared" si="218"/>
        <v>0</v>
      </c>
      <c r="CN185" s="90">
        <f t="shared" si="249"/>
        <v>0</v>
      </c>
      <c r="CO185" s="171">
        <f t="shared" si="250"/>
        <v>0</v>
      </c>
      <c r="CP185" s="170">
        <f t="shared" si="219"/>
        <v>0</v>
      </c>
      <c r="CQ185" s="90">
        <f t="shared" si="251"/>
        <v>0</v>
      </c>
      <c r="CR185" s="171">
        <f t="shared" si="252"/>
        <v>0</v>
      </c>
      <c r="CS185" s="170">
        <f t="shared" si="220"/>
        <v>0</v>
      </c>
      <c r="CT185" s="90">
        <f t="shared" si="253"/>
        <v>0</v>
      </c>
      <c r="CU185" s="171">
        <f t="shared" si="254"/>
        <v>0</v>
      </c>
      <c r="CV185" s="170">
        <f t="shared" si="221"/>
        <v>0</v>
      </c>
      <c r="CW185" s="90">
        <f t="shared" si="255"/>
        <v>0</v>
      </c>
      <c r="CX185" s="171">
        <f t="shared" si="256"/>
        <v>0</v>
      </c>
      <c r="CY185" s="170">
        <f t="shared" si="222"/>
        <v>0</v>
      </c>
      <c r="CZ185" s="168">
        <f t="shared" si="223"/>
        <v>0</v>
      </c>
      <c r="DA185" s="172">
        <f t="shared" si="225"/>
        <v>0</v>
      </c>
      <c r="DB185" s="173">
        <f t="shared" si="226"/>
        <v>0</v>
      </c>
      <c r="DC185" s="172">
        <f t="shared" si="258"/>
        <v>0</v>
      </c>
      <c r="DD185" s="172">
        <f t="shared" si="258"/>
        <v>0</v>
      </c>
      <c r="DE185" s="172">
        <f t="shared" si="258"/>
        <v>0</v>
      </c>
      <c r="DF185" s="172">
        <f t="shared" si="228"/>
        <v>0</v>
      </c>
      <c r="DG185" s="136"/>
      <c r="DH185" s="136"/>
      <c r="DI185" s="3"/>
      <c r="DJ185" s="8"/>
      <c r="DK185" s="8"/>
      <c r="DL185" s="8"/>
      <c r="DM185" s="8"/>
      <c r="DN185" s="8"/>
      <c r="DO185" s="8"/>
      <c r="DP185" s="8"/>
      <c r="DQ185" s="3"/>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row>
    <row r="186" spans="1:155" s="566" customFormat="1" ht="18" customHeight="1">
      <c r="A186" s="181"/>
      <c r="B186" s="323" t="s">
        <v>186</v>
      </c>
      <c r="C186" s="194"/>
      <c r="D186" s="324">
        <f t="shared" si="257"/>
        <v>0</v>
      </c>
      <c r="E186" s="70"/>
      <c r="F186" s="70"/>
      <c r="G186" s="70"/>
      <c r="H186" s="70"/>
      <c r="I186" s="70"/>
      <c r="J186" s="70"/>
      <c r="K186" s="70"/>
      <c r="L186" s="70"/>
      <c r="M186" s="70"/>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70"/>
      <c r="BE186" s="165" t="s">
        <v>16</v>
      </c>
      <c r="BF186" s="23">
        <v>22</v>
      </c>
      <c r="BG186" s="23">
        <v>16</v>
      </c>
      <c r="BH186" s="23">
        <v>3</v>
      </c>
      <c r="BI186" s="90" t="b">
        <f t="shared" si="224"/>
        <v>1</v>
      </c>
      <c r="BJ186" s="46" t="b">
        <f t="shared" si="231"/>
        <v>0</v>
      </c>
      <c r="BK186" s="166">
        <f t="shared" si="232"/>
        <v>0</v>
      </c>
      <c r="BL186" s="175">
        <f>IF(SUM(BL$171:BL185,BK186)&gt;$BO$4,0,BK186)</f>
        <v>0</v>
      </c>
      <c r="BM186" s="23">
        <f t="shared" si="209"/>
        <v>0</v>
      </c>
      <c r="BN186" s="90">
        <f t="shared" si="210"/>
        <v>0</v>
      </c>
      <c r="BO186" s="24">
        <f t="shared" si="229"/>
        <v>0</v>
      </c>
      <c r="BP186" s="168">
        <f t="shared" si="233"/>
        <v>0</v>
      </c>
      <c r="BQ186" s="171">
        <f t="shared" si="234"/>
        <v>0</v>
      </c>
      <c r="BR186" s="170">
        <f t="shared" si="211"/>
        <v>0</v>
      </c>
      <c r="BS186" s="168">
        <f t="shared" si="235"/>
        <v>0</v>
      </c>
      <c r="BT186" s="171">
        <f t="shared" si="236"/>
        <v>0</v>
      </c>
      <c r="BU186" s="170">
        <f t="shared" si="212"/>
        <v>0</v>
      </c>
      <c r="BV186" s="168">
        <f t="shared" si="237"/>
        <v>0</v>
      </c>
      <c r="BW186" s="171">
        <f t="shared" si="238"/>
        <v>0</v>
      </c>
      <c r="BX186" s="170">
        <f t="shared" si="213"/>
        <v>0</v>
      </c>
      <c r="BY186" s="168">
        <f t="shared" si="239"/>
        <v>0</v>
      </c>
      <c r="BZ186" s="171">
        <f t="shared" si="240"/>
        <v>0</v>
      </c>
      <c r="CA186" s="170">
        <f t="shared" si="214"/>
        <v>0</v>
      </c>
      <c r="CB186" s="90">
        <f t="shared" si="241"/>
        <v>0</v>
      </c>
      <c r="CC186" s="171">
        <f t="shared" si="242"/>
        <v>0</v>
      </c>
      <c r="CD186" s="170">
        <f t="shared" si="215"/>
        <v>0</v>
      </c>
      <c r="CE186" s="90">
        <f t="shared" si="243"/>
        <v>0</v>
      </c>
      <c r="CF186" s="171">
        <f t="shared" si="244"/>
        <v>0</v>
      </c>
      <c r="CG186" s="170">
        <f t="shared" si="216"/>
        <v>0</v>
      </c>
      <c r="CH186" s="90">
        <f t="shared" si="245"/>
        <v>0</v>
      </c>
      <c r="CI186" s="171">
        <f t="shared" si="246"/>
        <v>0</v>
      </c>
      <c r="CJ186" s="170">
        <f t="shared" si="217"/>
        <v>0</v>
      </c>
      <c r="CK186" s="90">
        <f t="shared" si="247"/>
        <v>0</v>
      </c>
      <c r="CL186" s="171">
        <f t="shared" si="248"/>
        <v>0</v>
      </c>
      <c r="CM186" s="170">
        <f t="shared" si="218"/>
        <v>0</v>
      </c>
      <c r="CN186" s="90">
        <f t="shared" si="249"/>
        <v>0</v>
      </c>
      <c r="CO186" s="171">
        <f t="shared" si="250"/>
        <v>0</v>
      </c>
      <c r="CP186" s="170">
        <f t="shared" si="219"/>
        <v>0</v>
      </c>
      <c r="CQ186" s="90">
        <f t="shared" si="251"/>
        <v>0</v>
      </c>
      <c r="CR186" s="171">
        <f t="shared" si="252"/>
        <v>0</v>
      </c>
      <c r="CS186" s="170">
        <f t="shared" si="220"/>
        <v>0</v>
      </c>
      <c r="CT186" s="90">
        <f t="shared" si="253"/>
        <v>0</v>
      </c>
      <c r="CU186" s="171">
        <f t="shared" si="254"/>
        <v>0</v>
      </c>
      <c r="CV186" s="170">
        <f t="shared" si="221"/>
        <v>0</v>
      </c>
      <c r="CW186" s="90">
        <f t="shared" si="255"/>
        <v>0</v>
      </c>
      <c r="CX186" s="171">
        <f t="shared" si="256"/>
        <v>0</v>
      </c>
      <c r="CY186" s="170">
        <f t="shared" si="222"/>
        <v>0</v>
      </c>
      <c r="CZ186" s="168">
        <f t="shared" si="223"/>
        <v>0</v>
      </c>
      <c r="DA186" s="172">
        <f t="shared" si="225"/>
        <v>0</v>
      </c>
      <c r="DB186" s="173">
        <f t="shared" si="226"/>
        <v>0</v>
      </c>
      <c r="DC186" s="172">
        <f t="shared" si="258"/>
        <v>0</v>
      </c>
      <c r="DD186" s="172">
        <f t="shared" si="258"/>
        <v>0</v>
      </c>
      <c r="DE186" s="172">
        <f t="shared" si="258"/>
        <v>0</v>
      </c>
      <c r="DF186" s="172">
        <f t="shared" si="228"/>
        <v>0</v>
      </c>
      <c r="DG186" s="136"/>
      <c r="DH186" s="136"/>
      <c r="DI186" s="3"/>
      <c r="DJ186" s="8"/>
      <c r="DK186" s="8"/>
      <c r="DL186" s="8"/>
      <c r="DM186" s="8"/>
      <c r="DN186" s="8"/>
      <c r="DO186" s="8"/>
      <c r="DP186" s="8"/>
      <c r="DQ186" s="3"/>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row>
    <row r="187" spans="1:155" s="566" customFormat="1" ht="18" customHeight="1">
      <c r="A187" s="181"/>
      <c r="B187" s="323" t="s">
        <v>187</v>
      </c>
      <c r="C187" s="194"/>
      <c r="D187" s="324">
        <f t="shared" si="257"/>
        <v>0</v>
      </c>
      <c r="E187" s="70"/>
      <c r="F187" s="70"/>
      <c r="G187" s="70"/>
      <c r="H187" s="70"/>
      <c r="I187" s="70"/>
      <c r="J187" s="70"/>
      <c r="K187" s="70"/>
      <c r="L187" s="70"/>
      <c r="M187" s="70"/>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70"/>
      <c r="BE187" s="165" t="s">
        <v>16</v>
      </c>
      <c r="BF187" s="23">
        <v>22</v>
      </c>
      <c r="BG187" s="23">
        <v>17</v>
      </c>
      <c r="BH187" s="23">
        <v>4</v>
      </c>
      <c r="BI187" s="90" t="b">
        <f t="shared" si="224"/>
        <v>1</v>
      </c>
      <c r="BJ187" s="46" t="b">
        <f t="shared" si="231"/>
        <v>0</v>
      </c>
      <c r="BK187" s="166">
        <f t="shared" si="232"/>
        <v>0</v>
      </c>
      <c r="BL187" s="175">
        <f>IF(SUM(BL$171:BL186,BK187)&gt;$BO$4,0,BK187)</f>
        <v>0</v>
      </c>
      <c r="BM187" s="23">
        <f t="shared" si="209"/>
        <v>0</v>
      </c>
      <c r="BN187" s="90">
        <f t="shared" si="210"/>
        <v>0</v>
      </c>
      <c r="BO187" s="24">
        <f t="shared" si="229"/>
        <v>0</v>
      </c>
      <c r="BP187" s="168">
        <f t="shared" si="233"/>
        <v>0</v>
      </c>
      <c r="BQ187" s="171">
        <f t="shared" si="234"/>
        <v>0</v>
      </c>
      <c r="BR187" s="170">
        <f t="shared" si="211"/>
        <v>0</v>
      </c>
      <c r="BS187" s="168">
        <f t="shared" si="235"/>
        <v>0</v>
      </c>
      <c r="BT187" s="171">
        <f t="shared" si="236"/>
        <v>0</v>
      </c>
      <c r="BU187" s="170">
        <f t="shared" si="212"/>
        <v>0</v>
      </c>
      <c r="BV187" s="168">
        <f t="shared" si="237"/>
        <v>0</v>
      </c>
      <c r="BW187" s="171">
        <f t="shared" si="238"/>
        <v>0</v>
      </c>
      <c r="BX187" s="170">
        <f t="shared" si="213"/>
        <v>0</v>
      </c>
      <c r="BY187" s="168">
        <f t="shared" si="239"/>
        <v>0</v>
      </c>
      <c r="BZ187" s="171">
        <f t="shared" si="240"/>
        <v>0</v>
      </c>
      <c r="CA187" s="170">
        <f t="shared" si="214"/>
        <v>0</v>
      </c>
      <c r="CB187" s="90">
        <f t="shared" si="241"/>
        <v>0</v>
      </c>
      <c r="CC187" s="171">
        <f t="shared" si="242"/>
        <v>0</v>
      </c>
      <c r="CD187" s="170">
        <f t="shared" si="215"/>
        <v>0</v>
      </c>
      <c r="CE187" s="90">
        <f t="shared" si="243"/>
        <v>0</v>
      </c>
      <c r="CF187" s="171">
        <f t="shared" si="244"/>
        <v>0</v>
      </c>
      <c r="CG187" s="170">
        <f t="shared" si="216"/>
        <v>0</v>
      </c>
      <c r="CH187" s="90">
        <f t="shared" si="245"/>
        <v>0</v>
      </c>
      <c r="CI187" s="171">
        <f t="shared" si="246"/>
        <v>0</v>
      </c>
      <c r="CJ187" s="170">
        <f t="shared" si="217"/>
        <v>0</v>
      </c>
      <c r="CK187" s="90">
        <f t="shared" si="247"/>
        <v>0</v>
      </c>
      <c r="CL187" s="171">
        <f t="shared" si="248"/>
        <v>0</v>
      </c>
      <c r="CM187" s="170">
        <f t="shared" si="218"/>
        <v>0</v>
      </c>
      <c r="CN187" s="90">
        <f t="shared" si="249"/>
        <v>0</v>
      </c>
      <c r="CO187" s="171">
        <f t="shared" si="250"/>
        <v>0</v>
      </c>
      <c r="CP187" s="170">
        <f t="shared" si="219"/>
        <v>0</v>
      </c>
      <c r="CQ187" s="90">
        <f t="shared" si="251"/>
        <v>0</v>
      </c>
      <c r="CR187" s="171">
        <f t="shared" si="252"/>
        <v>0</v>
      </c>
      <c r="CS187" s="170">
        <f t="shared" si="220"/>
        <v>0</v>
      </c>
      <c r="CT187" s="90">
        <f t="shared" si="253"/>
        <v>0</v>
      </c>
      <c r="CU187" s="171">
        <f t="shared" si="254"/>
        <v>0</v>
      </c>
      <c r="CV187" s="170">
        <f t="shared" si="221"/>
        <v>0</v>
      </c>
      <c r="CW187" s="90">
        <f t="shared" si="255"/>
        <v>0</v>
      </c>
      <c r="CX187" s="171">
        <f t="shared" si="256"/>
        <v>0</v>
      </c>
      <c r="CY187" s="170">
        <f t="shared" si="222"/>
        <v>0</v>
      </c>
      <c r="CZ187" s="168">
        <f t="shared" si="223"/>
        <v>0</v>
      </c>
      <c r="DA187" s="172">
        <f t="shared" si="225"/>
        <v>0</v>
      </c>
      <c r="DB187" s="173">
        <f t="shared" si="226"/>
        <v>0</v>
      </c>
      <c r="DC187" s="172">
        <f t="shared" si="258"/>
        <v>0</v>
      </c>
      <c r="DD187" s="172">
        <f t="shared" si="258"/>
        <v>0</v>
      </c>
      <c r="DE187" s="172">
        <f t="shared" si="258"/>
        <v>0</v>
      </c>
      <c r="DF187" s="172">
        <f t="shared" si="228"/>
        <v>0</v>
      </c>
      <c r="DG187" s="136"/>
      <c r="DH187" s="136"/>
      <c r="DI187" s="3"/>
      <c r="DJ187" s="8"/>
      <c r="DK187" s="8"/>
      <c r="DL187" s="8"/>
      <c r="DM187" s="8"/>
      <c r="DN187" s="8"/>
      <c r="DO187" s="8"/>
      <c r="DP187" s="8"/>
      <c r="DQ187" s="3"/>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row>
    <row r="188" spans="1:155" s="566" customFormat="1" ht="18" customHeight="1">
      <c r="A188" s="181"/>
      <c r="B188" s="323" t="s">
        <v>188</v>
      </c>
      <c r="C188" s="194"/>
      <c r="D188" s="324">
        <f t="shared" si="257"/>
        <v>0</v>
      </c>
      <c r="E188" s="70"/>
      <c r="F188" s="70"/>
      <c r="G188" s="70"/>
      <c r="H188" s="70"/>
      <c r="I188" s="70"/>
      <c r="J188" s="70"/>
      <c r="K188" s="70"/>
      <c r="L188" s="70"/>
      <c r="M188" s="70"/>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70"/>
      <c r="BE188" s="165" t="s">
        <v>16</v>
      </c>
      <c r="BF188" s="23">
        <v>22</v>
      </c>
      <c r="BG188" s="23">
        <v>18</v>
      </c>
      <c r="BH188" s="23">
        <v>5</v>
      </c>
      <c r="BI188" s="90" t="b">
        <f t="shared" si="224"/>
        <v>1</v>
      </c>
      <c r="BJ188" s="46" t="b">
        <f t="shared" si="231"/>
        <v>0</v>
      </c>
      <c r="BK188" s="166">
        <f t="shared" si="232"/>
        <v>0</v>
      </c>
      <c r="BL188" s="175">
        <f>IF(SUM(BL$171:BL187,BK188)&gt;$BO$4,0,BK188)</f>
        <v>0</v>
      </c>
      <c r="BM188" s="23">
        <f t="shared" si="209"/>
        <v>0</v>
      </c>
      <c r="BN188" s="90">
        <f t="shared" si="210"/>
        <v>0</v>
      </c>
      <c r="BO188" s="24">
        <f t="shared" si="229"/>
        <v>0</v>
      </c>
      <c r="BP188" s="168">
        <f t="shared" si="233"/>
        <v>0</v>
      </c>
      <c r="BQ188" s="171">
        <f t="shared" si="234"/>
        <v>0</v>
      </c>
      <c r="BR188" s="170">
        <f t="shared" si="211"/>
        <v>0</v>
      </c>
      <c r="BS188" s="168">
        <f t="shared" si="235"/>
        <v>0</v>
      </c>
      <c r="BT188" s="171">
        <f t="shared" si="236"/>
        <v>0</v>
      </c>
      <c r="BU188" s="170">
        <f t="shared" si="212"/>
        <v>0</v>
      </c>
      <c r="BV188" s="168">
        <f t="shared" si="237"/>
        <v>0</v>
      </c>
      <c r="BW188" s="171">
        <f t="shared" si="238"/>
        <v>0</v>
      </c>
      <c r="BX188" s="170">
        <f t="shared" si="213"/>
        <v>0</v>
      </c>
      <c r="BY188" s="168">
        <f t="shared" si="239"/>
        <v>0</v>
      </c>
      <c r="BZ188" s="171">
        <f t="shared" si="240"/>
        <v>0</v>
      </c>
      <c r="CA188" s="170">
        <f t="shared" si="214"/>
        <v>0</v>
      </c>
      <c r="CB188" s="90">
        <f t="shared" si="241"/>
        <v>0</v>
      </c>
      <c r="CC188" s="171">
        <f t="shared" si="242"/>
        <v>0</v>
      </c>
      <c r="CD188" s="170">
        <f t="shared" si="215"/>
        <v>0</v>
      </c>
      <c r="CE188" s="90">
        <f t="shared" si="243"/>
        <v>0</v>
      </c>
      <c r="CF188" s="171">
        <f t="shared" si="244"/>
        <v>0</v>
      </c>
      <c r="CG188" s="170">
        <f t="shared" si="216"/>
        <v>0</v>
      </c>
      <c r="CH188" s="90">
        <f t="shared" si="245"/>
        <v>0</v>
      </c>
      <c r="CI188" s="171">
        <f t="shared" si="246"/>
        <v>0</v>
      </c>
      <c r="CJ188" s="170">
        <f t="shared" si="217"/>
        <v>0</v>
      </c>
      <c r="CK188" s="90">
        <f t="shared" si="247"/>
        <v>0</v>
      </c>
      <c r="CL188" s="171">
        <f t="shared" si="248"/>
        <v>0</v>
      </c>
      <c r="CM188" s="170">
        <f t="shared" si="218"/>
        <v>0</v>
      </c>
      <c r="CN188" s="90">
        <f t="shared" si="249"/>
        <v>0</v>
      </c>
      <c r="CO188" s="171">
        <f t="shared" si="250"/>
        <v>0</v>
      </c>
      <c r="CP188" s="170">
        <f t="shared" si="219"/>
        <v>0</v>
      </c>
      <c r="CQ188" s="90">
        <f t="shared" si="251"/>
        <v>0</v>
      </c>
      <c r="CR188" s="171">
        <f t="shared" si="252"/>
        <v>0</v>
      </c>
      <c r="CS188" s="170">
        <f t="shared" si="220"/>
        <v>0</v>
      </c>
      <c r="CT188" s="90">
        <f t="shared" si="253"/>
        <v>0</v>
      </c>
      <c r="CU188" s="171">
        <f t="shared" si="254"/>
        <v>0</v>
      </c>
      <c r="CV188" s="170">
        <f t="shared" si="221"/>
        <v>0</v>
      </c>
      <c r="CW188" s="90">
        <f t="shared" si="255"/>
        <v>0</v>
      </c>
      <c r="CX188" s="171">
        <f t="shared" si="256"/>
        <v>0</v>
      </c>
      <c r="CY188" s="170">
        <f t="shared" si="222"/>
        <v>0</v>
      </c>
      <c r="CZ188" s="168">
        <f t="shared" si="223"/>
        <v>0</v>
      </c>
      <c r="DA188" s="172">
        <f t="shared" si="225"/>
        <v>0</v>
      </c>
      <c r="DB188" s="173">
        <f t="shared" si="226"/>
        <v>0</v>
      </c>
      <c r="DC188" s="172">
        <f t="shared" si="258"/>
        <v>0</v>
      </c>
      <c r="DD188" s="172">
        <f t="shared" si="258"/>
        <v>0</v>
      </c>
      <c r="DE188" s="172">
        <f t="shared" si="258"/>
        <v>0</v>
      </c>
      <c r="DF188" s="172">
        <f t="shared" si="228"/>
        <v>0</v>
      </c>
      <c r="DG188" s="136"/>
      <c r="DH188" s="136"/>
      <c r="DI188" s="3"/>
      <c r="DJ188" s="8"/>
      <c r="DK188" s="8"/>
      <c r="DL188" s="8"/>
      <c r="DM188" s="8"/>
      <c r="DN188" s="8"/>
      <c r="DO188" s="8"/>
      <c r="DP188" s="8"/>
      <c r="DQ188" s="3"/>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row>
    <row r="189" spans="1:155" s="566" customFormat="1">
      <c r="A189" s="221"/>
      <c r="B189" s="323" t="s">
        <v>189</v>
      </c>
      <c r="C189" s="194"/>
      <c r="D189" s="324">
        <f t="shared" si="257"/>
        <v>0</v>
      </c>
      <c r="E189" s="70"/>
      <c r="F189" s="70"/>
      <c r="G189" s="70"/>
      <c r="H189" s="70"/>
      <c r="I189" s="70"/>
      <c r="J189" s="70"/>
      <c r="K189" s="70"/>
      <c r="L189" s="70"/>
      <c r="M189" s="70"/>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70"/>
      <c r="BE189" s="165" t="s">
        <v>16</v>
      </c>
      <c r="BF189" s="23">
        <v>22</v>
      </c>
      <c r="BG189" s="23">
        <v>19</v>
      </c>
      <c r="BH189" s="23">
        <v>6</v>
      </c>
      <c r="BI189" s="90" t="b">
        <f t="shared" si="224"/>
        <v>0</v>
      </c>
      <c r="BJ189" s="46" t="b">
        <f t="shared" si="231"/>
        <v>0</v>
      </c>
      <c r="BK189" s="166">
        <f t="shared" si="232"/>
        <v>0</v>
      </c>
      <c r="BL189" s="175">
        <f>IF(SUM(BL$171:BL188,BK189)&gt;$BO$4,0,BK189)</f>
        <v>0</v>
      </c>
      <c r="BM189" s="23">
        <f t="shared" si="209"/>
        <v>0</v>
      </c>
      <c r="BN189" s="90">
        <f t="shared" si="210"/>
        <v>0</v>
      </c>
      <c r="BO189" s="24">
        <f t="shared" si="229"/>
        <v>0</v>
      </c>
      <c r="BP189" s="168">
        <f t="shared" si="233"/>
        <v>0</v>
      </c>
      <c r="BQ189" s="171">
        <f t="shared" si="234"/>
        <v>0</v>
      </c>
      <c r="BR189" s="170">
        <f t="shared" si="211"/>
        <v>0</v>
      </c>
      <c r="BS189" s="168">
        <f t="shared" si="235"/>
        <v>0</v>
      </c>
      <c r="BT189" s="171">
        <f t="shared" si="236"/>
        <v>0</v>
      </c>
      <c r="BU189" s="170">
        <f t="shared" si="212"/>
        <v>0</v>
      </c>
      <c r="BV189" s="168">
        <f t="shared" si="237"/>
        <v>0</v>
      </c>
      <c r="BW189" s="171">
        <f t="shared" si="238"/>
        <v>0</v>
      </c>
      <c r="BX189" s="170">
        <f t="shared" si="213"/>
        <v>0</v>
      </c>
      <c r="BY189" s="168">
        <f t="shared" si="239"/>
        <v>0</v>
      </c>
      <c r="BZ189" s="171">
        <f t="shared" si="240"/>
        <v>0</v>
      </c>
      <c r="CA189" s="170">
        <f t="shared" si="214"/>
        <v>0</v>
      </c>
      <c r="CB189" s="90">
        <f t="shared" si="241"/>
        <v>0</v>
      </c>
      <c r="CC189" s="171">
        <f t="shared" si="242"/>
        <v>0</v>
      </c>
      <c r="CD189" s="170">
        <f t="shared" si="215"/>
        <v>0</v>
      </c>
      <c r="CE189" s="90">
        <f t="shared" si="243"/>
        <v>0</v>
      </c>
      <c r="CF189" s="171">
        <f t="shared" si="244"/>
        <v>0</v>
      </c>
      <c r="CG189" s="170">
        <f t="shared" si="216"/>
        <v>0</v>
      </c>
      <c r="CH189" s="90">
        <f t="shared" si="245"/>
        <v>0</v>
      </c>
      <c r="CI189" s="171">
        <f t="shared" si="246"/>
        <v>0</v>
      </c>
      <c r="CJ189" s="170">
        <f t="shared" si="217"/>
        <v>0</v>
      </c>
      <c r="CK189" s="90">
        <f t="shared" si="247"/>
        <v>0</v>
      </c>
      <c r="CL189" s="171">
        <f t="shared" si="248"/>
        <v>0</v>
      </c>
      <c r="CM189" s="170">
        <f t="shared" si="218"/>
        <v>0</v>
      </c>
      <c r="CN189" s="90">
        <f t="shared" si="249"/>
        <v>0</v>
      </c>
      <c r="CO189" s="171">
        <f t="shared" si="250"/>
        <v>0</v>
      </c>
      <c r="CP189" s="170">
        <f t="shared" si="219"/>
        <v>0</v>
      </c>
      <c r="CQ189" s="90">
        <f t="shared" si="251"/>
        <v>0</v>
      </c>
      <c r="CR189" s="171">
        <f t="shared" si="252"/>
        <v>0</v>
      </c>
      <c r="CS189" s="170">
        <f t="shared" si="220"/>
        <v>0</v>
      </c>
      <c r="CT189" s="90">
        <f t="shared" si="253"/>
        <v>0</v>
      </c>
      <c r="CU189" s="171">
        <f t="shared" si="254"/>
        <v>0</v>
      </c>
      <c r="CV189" s="170">
        <f t="shared" si="221"/>
        <v>0</v>
      </c>
      <c r="CW189" s="90">
        <f t="shared" si="255"/>
        <v>0</v>
      </c>
      <c r="CX189" s="171">
        <f t="shared" si="256"/>
        <v>0</v>
      </c>
      <c r="CY189" s="170">
        <f t="shared" si="222"/>
        <v>0</v>
      </c>
      <c r="CZ189" s="168">
        <f t="shared" si="223"/>
        <v>0</v>
      </c>
      <c r="DA189" s="172">
        <f t="shared" si="225"/>
        <v>0</v>
      </c>
      <c r="DB189" s="173">
        <f t="shared" si="226"/>
        <v>0</v>
      </c>
      <c r="DC189" s="172">
        <f t="shared" si="258"/>
        <v>0</v>
      </c>
      <c r="DD189" s="172">
        <f t="shared" si="258"/>
        <v>0</v>
      </c>
      <c r="DE189" s="172">
        <f t="shared" si="258"/>
        <v>0</v>
      </c>
      <c r="DF189" s="172">
        <f t="shared" si="228"/>
        <v>0</v>
      </c>
      <c r="DG189" s="136"/>
      <c r="DH189" s="136"/>
      <c r="DI189" s="3"/>
      <c r="DJ189" s="8"/>
      <c r="DK189" s="8"/>
      <c r="DL189" s="8"/>
      <c r="DM189" s="8"/>
      <c r="DN189" s="8"/>
      <c r="DO189" s="8"/>
      <c r="DP189" s="8"/>
      <c r="DQ189" s="3"/>
      <c r="DR189" s="274"/>
      <c r="DS189" s="274"/>
      <c r="DT189" s="274"/>
      <c r="DU189" s="274"/>
      <c r="DV189" s="274"/>
      <c r="DW189" s="274"/>
      <c r="DX189" s="274"/>
      <c r="DY189" s="274"/>
      <c r="DZ189" s="274"/>
      <c r="EA189" s="274"/>
      <c r="EB189" s="274"/>
      <c r="EC189" s="274"/>
      <c r="ED189" s="274"/>
      <c r="EE189" s="274"/>
      <c r="EF189" s="274"/>
      <c r="EG189" s="274"/>
      <c r="EH189" s="274"/>
      <c r="EI189" s="274"/>
      <c r="EJ189" s="274"/>
      <c r="EK189" s="274"/>
      <c r="EL189" s="274"/>
      <c r="EM189" s="274"/>
      <c r="EN189" s="274"/>
      <c r="EO189" s="274"/>
      <c r="EP189" s="274"/>
      <c r="EQ189" s="274"/>
      <c r="ER189" s="274"/>
      <c r="ES189" s="274"/>
      <c r="ET189" s="274"/>
      <c r="EU189" s="274"/>
      <c r="EV189" s="274"/>
      <c r="EW189" s="274"/>
      <c r="EX189" s="8"/>
      <c r="EY189" s="8"/>
    </row>
    <row r="190" spans="1:155" s="566" customFormat="1">
      <c r="A190" s="188"/>
      <c r="B190" s="323" t="s">
        <v>190</v>
      </c>
      <c r="C190" s="194"/>
      <c r="D190" s="324">
        <f t="shared" si="257"/>
        <v>0</v>
      </c>
      <c r="E190" s="70"/>
      <c r="F190" s="70"/>
      <c r="G190" s="70"/>
      <c r="H190" s="70"/>
      <c r="I190" s="70"/>
      <c r="J190" s="70"/>
      <c r="K190" s="70"/>
      <c r="L190" s="70"/>
      <c r="M190" s="70"/>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275"/>
      <c r="BE190" s="206" t="s">
        <v>16</v>
      </c>
      <c r="BF190" s="207">
        <v>22</v>
      </c>
      <c r="BG190" s="207">
        <v>20</v>
      </c>
      <c r="BH190" s="207">
        <v>7</v>
      </c>
      <c r="BI190" s="208" t="b">
        <f t="shared" si="224"/>
        <v>0</v>
      </c>
      <c r="BJ190" s="209" t="b">
        <f t="shared" si="231"/>
        <v>0</v>
      </c>
      <c r="BK190" s="210">
        <f t="shared" si="232"/>
        <v>0</v>
      </c>
      <c r="BL190" s="211">
        <f>IF(SUM(BL$171:BL189,BK190)&gt;$BO$4,0,BK190)</f>
        <v>0</v>
      </c>
      <c r="BM190" s="207">
        <f t="shared" si="209"/>
        <v>0</v>
      </c>
      <c r="BN190" s="208">
        <f t="shared" si="210"/>
        <v>0</v>
      </c>
      <c r="BO190" s="212">
        <f t="shared" si="229"/>
        <v>0</v>
      </c>
      <c r="BP190" s="168">
        <f t="shared" si="233"/>
        <v>0</v>
      </c>
      <c r="BQ190" s="171">
        <f t="shared" si="234"/>
        <v>0</v>
      </c>
      <c r="BR190" s="170">
        <f t="shared" si="211"/>
        <v>0</v>
      </c>
      <c r="BS190" s="168">
        <f t="shared" si="235"/>
        <v>0</v>
      </c>
      <c r="BT190" s="171">
        <f t="shared" si="236"/>
        <v>0</v>
      </c>
      <c r="BU190" s="170">
        <f t="shared" si="212"/>
        <v>0</v>
      </c>
      <c r="BV190" s="168">
        <f t="shared" si="237"/>
        <v>0</v>
      </c>
      <c r="BW190" s="171">
        <f t="shared" si="238"/>
        <v>0</v>
      </c>
      <c r="BX190" s="170">
        <f t="shared" si="213"/>
        <v>0</v>
      </c>
      <c r="BY190" s="168">
        <f t="shared" si="239"/>
        <v>0</v>
      </c>
      <c r="BZ190" s="171">
        <f t="shared" si="240"/>
        <v>0</v>
      </c>
      <c r="CA190" s="170">
        <f t="shared" si="214"/>
        <v>0</v>
      </c>
      <c r="CB190" s="208">
        <f t="shared" si="241"/>
        <v>0</v>
      </c>
      <c r="CC190" s="171">
        <f t="shared" si="242"/>
        <v>0</v>
      </c>
      <c r="CD190" s="170">
        <f t="shared" si="215"/>
        <v>0</v>
      </c>
      <c r="CE190" s="208">
        <f t="shared" si="243"/>
        <v>0</v>
      </c>
      <c r="CF190" s="171">
        <f t="shared" si="244"/>
        <v>0</v>
      </c>
      <c r="CG190" s="170">
        <f t="shared" si="216"/>
        <v>0</v>
      </c>
      <c r="CH190" s="208">
        <f t="shared" si="245"/>
        <v>0</v>
      </c>
      <c r="CI190" s="171">
        <f t="shared" si="246"/>
        <v>0</v>
      </c>
      <c r="CJ190" s="170">
        <f t="shared" si="217"/>
        <v>0</v>
      </c>
      <c r="CK190" s="90">
        <f t="shared" si="247"/>
        <v>0</v>
      </c>
      <c r="CL190" s="171">
        <f t="shared" si="248"/>
        <v>0</v>
      </c>
      <c r="CM190" s="170">
        <f t="shared" si="218"/>
        <v>0</v>
      </c>
      <c r="CN190" s="90">
        <f t="shared" si="249"/>
        <v>0</v>
      </c>
      <c r="CO190" s="171">
        <f t="shared" si="250"/>
        <v>0</v>
      </c>
      <c r="CP190" s="170">
        <f t="shared" si="219"/>
        <v>0</v>
      </c>
      <c r="CQ190" s="90">
        <f t="shared" si="251"/>
        <v>0</v>
      </c>
      <c r="CR190" s="171">
        <f t="shared" si="252"/>
        <v>0</v>
      </c>
      <c r="CS190" s="170">
        <f t="shared" si="220"/>
        <v>0</v>
      </c>
      <c r="CT190" s="90">
        <f t="shared" si="253"/>
        <v>0</v>
      </c>
      <c r="CU190" s="171">
        <f t="shared" si="254"/>
        <v>0</v>
      </c>
      <c r="CV190" s="170">
        <f t="shared" si="221"/>
        <v>0</v>
      </c>
      <c r="CW190" s="90">
        <f t="shared" si="255"/>
        <v>0</v>
      </c>
      <c r="CX190" s="171">
        <f t="shared" si="256"/>
        <v>0</v>
      </c>
      <c r="CY190" s="170">
        <f t="shared" si="222"/>
        <v>0</v>
      </c>
      <c r="CZ190" s="213">
        <f t="shared" si="223"/>
        <v>0</v>
      </c>
      <c r="DA190" s="172">
        <f t="shared" si="225"/>
        <v>0</v>
      </c>
      <c r="DB190" s="214">
        <f t="shared" si="226"/>
        <v>0</v>
      </c>
      <c r="DC190" s="215">
        <f t="shared" si="258"/>
        <v>0</v>
      </c>
      <c r="DD190" s="215">
        <f t="shared" si="258"/>
        <v>0</v>
      </c>
      <c r="DE190" s="215">
        <f t="shared" si="258"/>
        <v>0</v>
      </c>
      <c r="DF190" s="215">
        <f t="shared" si="228"/>
        <v>0</v>
      </c>
      <c r="DG190" s="63"/>
      <c r="DH190" s="63"/>
      <c r="DI190" s="3"/>
      <c r="DJ190" s="8"/>
      <c r="DK190" s="8"/>
      <c r="DL190" s="8"/>
      <c r="DM190" s="8"/>
      <c r="DN190" s="8"/>
      <c r="DO190" s="8"/>
      <c r="DP190" s="8"/>
      <c r="DQ190" s="3"/>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row>
    <row r="191" spans="1:155" s="572" customFormat="1" ht="17.25" customHeight="1">
      <c r="A191" s="186"/>
      <c r="B191" s="323" t="s">
        <v>191</v>
      </c>
      <c r="C191" s="194"/>
      <c r="D191" s="324">
        <f t="shared" si="257"/>
        <v>0</v>
      </c>
      <c r="E191" s="70"/>
      <c r="F191" s="70"/>
      <c r="G191" s="70"/>
      <c r="H191" s="70"/>
      <c r="I191" s="70"/>
      <c r="J191" s="70"/>
      <c r="K191" s="70"/>
      <c r="L191" s="70"/>
      <c r="M191" s="70"/>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308"/>
      <c r="BE191" s="165" t="s">
        <v>16</v>
      </c>
      <c r="BF191" s="23">
        <v>22</v>
      </c>
      <c r="BG191" s="23">
        <v>21</v>
      </c>
      <c r="BH191" s="23">
        <v>1</v>
      </c>
      <c r="BI191" s="90" t="b">
        <f t="shared" si="224"/>
        <v>1</v>
      </c>
      <c r="BJ191" s="46" t="b">
        <f t="shared" si="231"/>
        <v>0</v>
      </c>
      <c r="BK191" s="166">
        <f t="shared" si="232"/>
        <v>0</v>
      </c>
      <c r="BL191" s="175">
        <f>IF(SUM(BL$171:BL190,BK191)&gt;$BO$4,0,BK191)</f>
        <v>0</v>
      </c>
      <c r="BM191" s="23">
        <f t="shared" si="209"/>
        <v>0</v>
      </c>
      <c r="BN191" s="90">
        <f t="shared" si="210"/>
        <v>0</v>
      </c>
      <c r="BO191" s="24">
        <f t="shared" si="229"/>
        <v>0</v>
      </c>
      <c r="BP191" s="168">
        <f t="shared" si="233"/>
        <v>0</v>
      </c>
      <c r="BQ191" s="171">
        <f t="shared" si="234"/>
        <v>0</v>
      </c>
      <c r="BR191" s="170">
        <f t="shared" si="211"/>
        <v>0</v>
      </c>
      <c r="BS191" s="168">
        <f t="shared" si="235"/>
        <v>0</v>
      </c>
      <c r="BT191" s="171">
        <f t="shared" si="236"/>
        <v>0</v>
      </c>
      <c r="BU191" s="170">
        <f t="shared" si="212"/>
        <v>0</v>
      </c>
      <c r="BV191" s="168">
        <f t="shared" si="237"/>
        <v>0</v>
      </c>
      <c r="BW191" s="171">
        <f t="shared" si="238"/>
        <v>0</v>
      </c>
      <c r="BX191" s="170">
        <f t="shared" si="213"/>
        <v>0</v>
      </c>
      <c r="BY191" s="168">
        <f t="shared" si="239"/>
        <v>0</v>
      </c>
      <c r="BZ191" s="171">
        <f t="shared" si="240"/>
        <v>0</v>
      </c>
      <c r="CA191" s="170">
        <f t="shared" si="214"/>
        <v>0</v>
      </c>
      <c r="CB191" s="90">
        <f t="shared" si="241"/>
        <v>0</v>
      </c>
      <c r="CC191" s="171">
        <f t="shared" si="242"/>
        <v>0</v>
      </c>
      <c r="CD191" s="170">
        <f t="shared" si="215"/>
        <v>0</v>
      </c>
      <c r="CE191" s="90">
        <f t="shared" si="243"/>
        <v>0</v>
      </c>
      <c r="CF191" s="171">
        <f t="shared" si="244"/>
        <v>0</v>
      </c>
      <c r="CG191" s="170">
        <f t="shared" si="216"/>
        <v>0</v>
      </c>
      <c r="CH191" s="90">
        <f t="shared" si="245"/>
        <v>0</v>
      </c>
      <c r="CI191" s="171">
        <f t="shared" si="246"/>
        <v>0</v>
      </c>
      <c r="CJ191" s="170">
        <f t="shared" si="217"/>
        <v>0</v>
      </c>
      <c r="CK191" s="90">
        <f t="shared" si="247"/>
        <v>0</v>
      </c>
      <c r="CL191" s="171">
        <f t="shared" si="248"/>
        <v>0</v>
      </c>
      <c r="CM191" s="170">
        <f t="shared" si="218"/>
        <v>0</v>
      </c>
      <c r="CN191" s="90">
        <f t="shared" si="249"/>
        <v>0</v>
      </c>
      <c r="CO191" s="171">
        <f t="shared" si="250"/>
        <v>0</v>
      </c>
      <c r="CP191" s="170">
        <f t="shared" si="219"/>
        <v>0</v>
      </c>
      <c r="CQ191" s="90">
        <f t="shared" si="251"/>
        <v>0</v>
      </c>
      <c r="CR191" s="171">
        <f t="shared" si="252"/>
        <v>0</v>
      </c>
      <c r="CS191" s="170">
        <f t="shared" si="220"/>
        <v>0</v>
      </c>
      <c r="CT191" s="90">
        <f t="shared" si="253"/>
        <v>0</v>
      </c>
      <c r="CU191" s="171">
        <f t="shared" si="254"/>
        <v>0</v>
      </c>
      <c r="CV191" s="170">
        <f t="shared" si="221"/>
        <v>0</v>
      </c>
      <c r="CW191" s="90">
        <f t="shared" si="255"/>
        <v>0</v>
      </c>
      <c r="CX191" s="171">
        <f t="shared" si="256"/>
        <v>0</v>
      </c>
      <c r="CY191" s="170">
        <f t="shared" si="222"/>
        <v>0</v>
      </c>
      <c r="CZ191" s="168">
        <f t="shared" si="223"/>
        <v>0</v>
      </c>
      <c r="DA191" s="172">
        <f t="shared" si="225"/>
        <v>0</v>
      </c>
      <c r="DB191" s="173">
        <f t="shared" si="226"/>
        <v>0</v>
      </c>
      <c r="DC191" s="172">
        <f t="shared" si="258"/>
        <v>0</v>
      </c>
      <c r="DD191" s="172">
        <f t="shared" si="258"/>
        <v>0</v>
      </c>
      <c r="DE191" s="172">
        <f t="shared" si="258"/>
        <v>0</v>
      </c>
      <c r="DF191" s="172">
        <f t="shared" si="228"/>
        <v>0</v>
      </c>
      <c r="DG191" s="136"/>
      <c r="DH191" s="136"/>
      <c r="DI191" s="276"/>
      <c r="DJ191" s="274"/>
      <c r="DK191" s="274"/>
      <c r="DL191" s="274"/>
      <c r="DM191" s="274"/>
      <c r="DN191" s="274"/>
      <c r="DO191" s="274"/>
      <c r="DP191" s="274"/>
      <c r="DQ191" s="276"/>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row>
    <row r="192" spans="1:155" s="566" customFormat="1" ht="30" customHeight="1">
      <c r="A192" s="123"/>
      <c r="B192" s="70"/>
      <c r="C192" s="70"/>
      <c r="D192" s="273">
        <f>SUM(D180:D191)</f>
        <v>0</v>
      </c>
      <c r="E192" s="70"/>
      <c r="F192" s="70"/>
      <c r="G192" s="70"/>
      <c r="H192" s="70"/>
      <c r="I192" s="70"/>
      <c r="J192" s="70"/>
      <c r="K192" s="70"/>
      <c r="L192" s="70"/>
      <c r="M192" s="70"/>
      <c r="N192" s="218"/>
      <c r="O192" s="218"/>
      <c r="P192" s="218"/>
      <c r="Q192" s="218"/>
      <c r="R192" s="218"/>
      <c r="S192" s="218"/>
      <c r="T192" s="218"/>
      <c r="U192" s="218"/>
      <c r="V192" s="218"/>
      <c r="W192" s="218"/>
      <c r="X192" s="218"/>
      <c r="Y192" s="218"/>
      <c r="Z192" s="218"/>
      <c r="AA192" s="218"/>
      <c r="AB192" s="218"/>
      <c r="AC192" s="218"/>
      <c r="AD192" s="218"/>
      <c r="AE192" s="218"/>
      <c r="AF192" s="218"/>
      <c r="AG192" s="218"/>
      <c r="AH192" s="218"/>
      <c r="AI192" s="218"/>
      <c r="AJ192" s="218"/>
      <c r="AK192" s="218"/>
      <c r="AL192" s="218"/>
      <c r="AM192" s="218"/>
      <c r="AN192" s="218"/>
      <c r="AO192" s="218"/>
      <c r="AP192" s="218"/>
      <c r="AQ192" s="218"/>
      <c r="AR192" s="218"/>
      <c r="AS192" s="218"/>
      <c r="AT192" s="218"/>
      <c r="AU192" s="218"/>
      <c r="AV192" s="218"/>
      <c r="AW192" s="218"/>
      <c r="AX192" s="218"/>
      <c r="AY192" s="218"/>
      <c r="AZ192" s="218"/>
      <c r="BA192" s="218"/>
      <c r="BB192" s="218"/>
      <c r="BC192" s="218"/>
      <c r="BD192" s="308"/>
      <c r="BE192" s="165" t="s">
        <v>16</v>
      </c>
      <c r="BF192" s="23">
        <v>22</v>
      </c>
      <c r="BG192" s="23">
        <v>22</v>
      </c>
      <c r="BH192" s="23">
        <v>2</v>
      </c>
      <c r="BI192" s="90" t="b">
        <f t="shared" si="224"/>
        <v>1</v>
      </c>
      <c r="BJ192" s="46" t="b">
        <f t="shared" si="231"/>
        <v>0</v>
      </c>
      <c r="BK192" s="166">
        <f t="shared" si="232"/>
        <v>0</v>
      </c>
      <c r="BL192" s="175">
        <f>IF(SUM(BL$171:BL191,BK192)&gt;$BO$4,0,BK192)</f>
        <v>0</v>
      </c>
      <c r="BM192" s="23">
        <f t="shared" si="209"/>
        <v>0</v>
      </c>
      <c r="BN192" s="90">
        <f t="shared" si="210"/>
        <v>0</v>
      </c>
      <c r="BO192" s="24">
        <f t="shared" si="229"/>
        <v>0</v>
      </c>
      <c r="BP192" s="168">
        <f t="shared" si="233"/>
        <v>0</v>
      </c>
      <c r="BQ192" s="171">
        <f t="shared" si="234"/>
        <v>0</v>
      </c>
      <c r="BR192" s="170">
        <f t="shared" si="211"/>
        <v>0</v>
      </c>
      <c r="BS192" s="168">
        <f t="shared" si="235"/>
        <v>0</v>
      </c>
      <c r="BT192" s="171">
        <f t="shared" si="236"/>
        <v>0</v>
      </c>
      <c r="BU192" s="170">
        <f t="shared" si="212"/>
        <v>0</v>
      </c>
      <c r="BV192" s="168">
        <f t="shared" si="237"/>
        <v>0</v>
      </c>
      <c r="BW192" s="171">
        <f t="shared" si="238"/>
        <v>0</v>
      </c>
      <c r="BX192" s="170">
        <f t="shared" si="213"/>
        <v>0</v>
      </c>
      <c r="BY192" s="168">
        <f t="shared" si="239"/>
        <v>0</v>
      </c>
      <c r="BZ192" s="171">
        <f t="shared" si="240"/>
        <v>0</v>
      </c>
      <c r="CA192" s="170">
        <f t="shared" si="214"/>
        <v>0</v>
      </c>
      <c r="CB192" s="90">
        <f t="shared" si="241"/>
        <v>0</v>
      </c>
      <c r="CC192" s="171">
        <f t="shared" si="242"/>
        <v>0</v>
      </c>
      <c r="CD192" s="170">
        <f t="shared" si="215"/>
        <v>0</v>
      </c>
      <c r="CE192" s="90">
        <f t="shared" si="243"/>
        <v>0</v>
      </c>
      <c r="CF192" s="171">
        <f t="shared" si="244"/>
        <v>0</v>
      </c>
      <c r="CG192" s="170">
        <f t="shared" si="216"/>
        <v>0</v>
      </c>
      <c r="CH192" s="90">
        <f t="shared" si="245"/>
        <v>0</v>
      </c>
      <c r="CI192" s="171">
        <f t="shared" si="246"/>
        <v>0</v>
      </c>
      <c r="CJ192" s="170">
        <f t="shared" si="217"/>
        <v>0</v>
      </c>
      <c r="CK192" s="90">
        <f t="shared" si="247"/>
        <v>0</v>
      </c>
      <c r="CL192" s="171">
        <f t="shared" si="248"/>
        <v>0</v>
      </c>
      <c r="CM192" s="170">
        <f t="shared" si="218"/>
        <v>0</v>
      </c>
      <c r="CN192" s="90">
        <f t="shared" si="249"/>
        <v>0</v>
      </c>
      <c r="CO192" s="171">
        <f t="shared" si="250"/>
        <v>0</v>
      </c>
      <c r="CP192" s="170">
        <f t="shared" si="219"/>
        <v>0</v>
      </c>
      <c r="CQ192" s="90">
        <f t="shared" si="251"/>
        <v>0</v>
      </c>
      <c r="CR192" s="171">
        <f t="shared" si="252"/>
        <v>0</v>
      </c>
      <c r="CS192" s="170">
        <f t="shared" si="220"/>
        <v>0</v>
      </c>
      <c r="CT192" s="90">
        <f t="shared" si="253"/>
        <v>0</v>
      </c>
      <c r="CU192" s="171">
        <f t="shared" si="254"/>
        <v>0</v>
      </c>
      <c r="CV192" s="170">
        <f t="shared" si="221"/>
        <v>0</v>
      </c>
      <c r="CW192" s="90">
        <f t="shared" si="255"/>
        <v>0</v>
      </c>
      <c r="CX192" s="171">
        <f t="shared" si="256"/>
        <v>0</v>
      </c>
      <c r="CY192" s="170">
        <f t="shared" si="222"/>
        <v>0</v>
      </c>
      <c r="CZ192" s="168">
        <f t="shared" si="223"/>
        <v>0</v>
      </c>
      <c r="DA192" s="172">
        <f t="shared" si="225"/>
        <v>0</v>
      </c>
      <c r="DB192" s="173">
        <f t="shared" si="226"/>
        <v>0</v>
      </c>
      <c r="DC192" s="172">
        <f t="shared" si="258"/>
        <v>0</v>
      </c>
      <c r="DD192" s="172">
        <f t="shared" si="258"/>
        <v>0</v>
      </c>
      <c r="DE192" s="172">
        <f t="shared" si="258"/>
        <v>0</v>
      </c>
      <c r="DF192" s="172">
        <f t="shared" si="228"/>
        <v>0</v>
      </c>
      <c r="DG192" s="136"/>
      <c r="DH192" s="136"/>
      <c r="DI192" s="3"/>
      <c r="DJ192" s="8"/>
      <c r="DK192" s="8"/>
      <c r="DL192" s="325" t="s">
        <v>313</v>
      </c>
      <c r="DM192" s="8"/>
      <c r="DN192" s="8"/>
      <c r="DO192" s="8"/>
      <c r="DP192" s="8"/>
      <c r="DQ192" s="3"/>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row>
    <row r="193" spans="1:155" s="566" customFormat="1" ht="40.5" customHeight="1">
      <c r="A193" s="123"/>
      <c r="B193" s="205"/>
      <c r="C193" s="70"/>
      <c r="D193" s="70"/>
      <c r="E193" s="70"/>
      <c r="F193" s="70"/>
      <c r="G193" s="70"/>
      <c r="H193" s="70"/>
      <c r="I193" s="70"/>
      <c r="J193" s="70"/>
      <c r="K193" s="70"/>
      <c r="L193" s="70"/>
      <c r="M193" s="70"/>
      <c r="N193" s="14"/>
      <c r="O193" s="14"/>
      <c r="P193" s="14"/>
      <c r="Q193" s="326" t="s">
        <v>314</v>
      </c>
      <c r="R193" s="326"/>
      <c r="S193" s="326"/>
      <c r="T193" s="326"/>
      <c r="U193" s="326" t="s">
        <v>251</v>
      </c>
      <c r="V193" s="326"/>
      <c r="W193" s="326"/>
      <c r="X193" s="14"/>
      <c r="Y193" s="14"/>
      <c r="Z193" s="14"/>
      <c r="AA193" s="14"/>
      <c r="AB193" s="14"/>
      <c r="AC193" s="14"/>
      <c r="AD193" s="14"/>
      <c r="AE193" s="14"/>
      <c r="AF193" s="14"/>
      <c r="AG193" s="14"/>
      <c r="AH193" s="14"/>
      <c r="AI193" s="327" t="s">
        <v>315</v>
      </c>
      <c r="AJ193" s="31"/>
      <c r="AK193" s="31"/>
      <c r="AL193" s="31"/>
      <c r="AM193" s="31"/>
      <c r="AN193" s="14"/>
      <c r="AO193" s="14"/>
      <c r="AP193" s="14"/>
      <c r="AQ193" s="14"/>
      <c r="AR193" s="14"/>
      <c r="AS193" s="14"/>
      <c r="AT193" s="14"/>
      <c r="AU193" s="14"/>
      <c r="AV193" s="14"/>
      <c r="AW193" s="14"/>
      <c r="AX193" s="14"/>
      <c r="AY193" s="14"/>
      <c r="AZ193" s="14"/>
      <c r="BA193" s="14"/>
      <c r="BB193" s="14"/>
      <c r="BC193" s="14"/>
      <c r="BD193" s="308"/>
      <c r="BE193" s="165" t="s">
        <v>16</v>
      </c>
      <c r="BF193" s="23">
        <v>22</v>
      </c>
      <c r="BG193" s="23">
        <v>23</v>
      </c>
      <c r="BH193" s="23">
        <v>3</v>
      </c>
      <c r="BI193" s="90" t="b">
        <f t="shared" si="224"/>
        <v>1</v>
      </c>
      <c r="BJ193" s="46" t="b">
        <f t="shared" si="231"/>
        <v>0</v>
      </c>
      <c r="BK193" s="166">
        <f t="shared" si="232"/>
        <v>0</v>
      </c>
      <c r="BL193" s="175">
        <f>IF(SUM(BL$171:BL192,BK193)&gt;$BO$4,0,BK193)</f>
        <v>0</v>
      </c>
      <c r="BM193" s="23">
        <f t="shared" si="209"/>
        <v>0</v>
      </c>
      <c r="BN193" s="90">
        <f t="shared" si="210"/>
        <v>0</v>
      </c>
      <c r="BO193" s="24">
        <f t="shared" si="229"/>
        <v>0</v>
      </c>
      <c r="BP193" s="168">
        <f t="shared" si="233"/>
        <v>0</v>
      </c>
      <c r="BQ193" s="171">
        <f t="shared" si="234"/>
        <v>0</v>
      </c>
      <c r="BR193" s="170">
        <f t="shared" si="211"/>
        <v>0</v>
      </c>
      <c r="BS193" s="168">
        <f t="shared" si="235"/>
        <v>0</v>
      </c>
      <c r="BT193" s="171">
        <f t="shared" si="236"/>
        <v>0</v>
      </c>
      <c r="BU193" s="170">
        <f t="shared" si="212"/>
        <v>0</v>
      </c>
      <c r="BV193" s="168">
        <f t="shared" si="237"/>
        <v>0</v>
      </c>
      <c r="BW193" s="171">
        <f t="shared" si="238"/>
        <v>0</v>
      </c>
      <c r="BX193" s="170">
        <f t="shared" si="213"/>
        <v>0</v>
      </c>
      <c r="BY193" s="168">
        <f t="shared" si="239"/>
        <v>0</v>
      </c>
      <c r="BZ193" s="171">
        <f t="shared" si="240"/>
        <v>0</v>
      </c>
      <c r="CA193" s="170">
        <f t="shared" si="214"/>
        <v>0</v>
      </c>
      <c r="CB193" s="90">
        <f t="shared" si="241"/>
        <v>0</v>
      </c>
      <c r="CC193" s="171">
        <f t="shared" si="242"/>
        <v>0</v>
      </c>
      <c r="CD193" s="170">
        <f t="shared" si="215"/>
        <v>0</v>
      </c>
      <c r="CE193" s="90">
        <f t="shared" si="243"/>
        <v>0</v>
      </c>
      <c r="CF193" s="171">
        <f t="shared" si="244"/>
        <v>0</v>
      </c>
      <c r="CG193" s="170">
        <f t="shared" si="216"/>
        <v>0</v>
      </c>
      <c r="CH193" s="90">
        <f t="shared" si="245"/>
        <v>0</v>
      </c>
      <c r="CI193" s="171">
        <f t="shared" si="246"/>
        <v>0</v>
      </c>
      <c r="CJ193" s="170">
        <f t="shared" si="217"/>
        <v>0</v>
      </c>
      <c r="CK193" s="90">
        <f t="shared" si="247"/>
        <v>0</v>
      </c>
      <c r="CL193" s="171">
        <f t="shared" si="248"/>
        <v>0</v>
      </c>
      <c r="CM193" s="170">
        <f t="shared" si="218"/>
        <v>0</v>
      </c>
      <c r="CN193" s="90">
        <f t="shared" si="249"/>
        <v>0</v>
      </c>
      <c r="CO193" s="171">
        <f t="shared" si="250"/>
        <v>0</v>
      </c>
      <c r="CP193" s="170">
        <f t="shared" si="219"/>
        <v>0</v>
      </c>
      <c r="CQ193" s="90">
        <f t="shared" si="251"/>
        <v>0</v>
      </c>
      <c r="CR193" s="171">
        <f t="shared" si="252"/>
        <v>0</v>
      </c>
      <c r="CS193" s="170">
        <f t="shared" si="220"/>
        <v>0</v>
      </c>
      <c r="CT193" s="90">
        <f t="shared" si="253"/>
        <v>0</v>
      </c>
      <c r="CU193" s="171">
        <f t="shared" si="254"/>
        <v>0</v>
      </c>
      <c r="CV193" s="170">
        <f t="shared" si="221"/>
        <v>0</v>
      </c>
      <c r="CW193" s="90">
        <f t="shared" si="255"/>
        <v>0</v>
      </c>
      <c r="CX193" s="171">
        <f t="shared" si="256"/>
        <v>0</v>
      </c>
      <c r="CY193" s="170">
        <f t="shared" si="222"/>
        <v>0</v>
      </c>
      <c r="CZ193" s="168">
        <f t="shared" si="223"/>
        <v>0</v>
      </c>
      <c r="DA193" s="172">
        <f t="shared" si="225"/>
        <v>0</v>
      </c>
      <c r="DB193" s="173">
        <f t="shared" si="226"/>
        <v>0</v>
      </c>
      <c r="DC193" s="172">
        <f t="shared" si="258"/>
        <v>0</v>
      </c>
      <c r="DD193" s="172">
        <f t="shared" si="258"/>
        <v>0</v>
      </c>
      <c r="DE193" s="172">
        <f t="shared" si="258"/>
        <v>0</v>
      </c>
      <c r="DF193" s="172">
        <f>IF(DA193-(DE192+CZ193)&lt;0,0,DA193-(DE192+CZ193))</f>
        <v>0</v>
      </c>
      <c r="DG193" s="136"/>
      <c r="DH193" s="136"/>
      <c r="DI193" s="3"/>
      <c r="DJ193" s="328" t="s">
        <v>316</v>
      </c>
      <c r="DK193" s="325" t="s">
        <v>317</v>
      </c>
      <c r="DL193" s="329"/>
      <c r="DM193" s="8"/>
      <c r="DN193" s="8"/>
      <c r="DO193" s="8"/>
      <c r="DP193" s="8"/>
      <c r="DQ193" s="3"/>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row>
    <row r="194" spans="1:155" s="566" customFormat="1" ht="15" customHeight="1">
      <c r="A194" s="123"/>
      <c r="B194" s="217" t="s">
        <v>318</v>
      </c>
      <c r="C194" s="218"/>
      <c r="D194" s="218"/>
      <c r="E194" s="218"/>
      <c r="F194" s="218"/>
      <c r="G194" s="218"/>
      <c r="H194" s="218"/>
      <c r="I194" s="218"/>
      <c r="J194" s="218"/>
      <c r="K194" s="218"/>
      <c r="L194" s="218"/>
      <c r="M194" s="218"/>
      <c r="N194" s="14"/>
      <c r="O194" s="330" t="s">
        <v>319</v>
      </c>
      <c r="P194" s="330" t="s">
        <v>320</v>
      </c>
      <c r="Q194" s="330" t="s">
        <v>321</v>
      </c>
      <c r="R194" s="330" t="s">
        <v>322</v>
      </c>
      <c r="S194" s="330" t="s">
        <v>323</v>
      </c>
      <c r="T194" s="330" t="s">
        <v>324</v>
      </c>
      <c r="U194" s="330" t="s">
        <v>325</v>
      </c>
      <c r="V194" s="330" t="s">
        <v>326</v>
      </c>
      <c r="W194" s="330" t="s">
        <v>327</v>
      </c>
      <c r="X194" s="14"/>
      <c r="Y194" s="14"/>
      <c r="Z194" s="14"/>
      <c r="AA194" s="14"/>
      <c r="AB194" s="14"/>
      <c r="AC194" s="14"/>
      <c r="AD194" s="14"/>
      <c r="AE194" s="14"/>
      <c r="AF194" s="14"/>
      <c r="AG194" s="14"/>
      <c r="AH194" s="14"/>
      <c r="AI194" s="330" t="s">
        <v>328</v>
      </c>
      <c r="AJ194" s="330" t="s">
        <v>322</v>
      </c>
      <c r="AK194" s="330" t="s">
        <v>329</v>
      </c>
      <c r="AL194" s="330" t="s">
        <v>330</v>
      </c>
      <c r="AM194" s="330" t="s">
        <v>324</v>
      </c>
      <c r="AN194" s="14"/>
      <c r="AO194" s="14"/>
      <c r="AP194" s="14"/>
      <c r="AQ194" s="14"/>
      <c r="AR194" s="14"/>
      <c r="AS194" s="14"/>
      <c r="AT194" s="14"/>
      <c r="AU194" s="14"/>
      <c r="AV194" s="14"/>
      <c r="AW194" s="14"/>
      <c r="AX194" s="14"/>
      <c r="AY194" s="14"/>
      <c r="AZ194" s="14"/>
      <c r="BA194" s="14"/>
      <c r="BB194" s="14"/>
      <c r="BC194" s="14"/>
      <c r="BD194" s="308"/>
      <c r="BE194" s="165" t="s">
        <v>16</v>
      </c>
      <c r="BF194" s="23">
        <v>22</v>
      </c>
      <c r="BG194" s="23">
        <v>24</v>
      </c>
      <c r="BH194" s="23">
        <v>4</v>
      </c>
      <c r="BI194" s="90" t="b">
        <f t="shared" si="224"/>
        <v>1</v>
      </c>
      <c r="BJ194" s="46" t="b">
        <f t="shared" si="231"/>
        <v>0</v>
      </c>
      <c r="BK194" s="166">
        <f t="shared" si="232"/>
        <v>0</v>
      </c>
      <c r="BL194" s="175">
        <f>IF(SUM(BL$171:BL193,BK194)&gt;$BO$4,0,BK194)</f>
        <v>0</v>
      </c>
      <c r="BM194" s="23">
        <f t="shared" si="209"/>
        <v>0</v>
      </c>
      <c r="BN194" s="90">
        <f t="shared" si="210"/>
        <v>0</v>
      </c>
      <c r="BO194" s="24">
        <f t="shared" si="229"/>
        <v>0</v>
      </c>
      <c r="BP194" s="168">
        <f t="shared" si="233"/>
        <v>0</v>
      </c>
      <c r="BQ194" s="171">
        <f t="shared" si="234"/>
        <v>0</v>
      </c>
      <c r="BR194" s="170">
        <f t="shared" si="211"/>
        <v>0</v>
      </c>
      <c r="BS194" s="168">
        <f t="shared" si="235"/>
        <v>0</v>
      </c>
      <c r="BT194" s="171">
        <f t="shared" si="236"/>
        <v>0</v>
      </c>
      <c r="BU194" s="170">
        <f t="shared" si="212"/>
        <v>0</v>
      </c>
      <c r="BV194" s="168">
        <f t="shared" si="237"/>
        <v>0</v>
      </c>
      <c r="BW194" s="171">
        <f t="shared" si="238"/>
        <v>0</v>
      </c>
      <c r="BX194" s="170">
        <f t="shared" si="213"/>
        <v>0</v>
      </c>
      <c r="BY194" s="168">
        <f t="shared" si="239"/>
        <v>0</v>
      </c>
      <c r="BZ194" s="171">
        <f t="shared" si="240"/>
        <v>0</v>
      </c>
      <c r="CA194" s="170">
        <f t="shared" si="214"/>
        <v>0</v>
      </c>
      <c r="CB194" s="90">
        <f t="shared" si="241"/>
        <v>0</v>
      </c>
      <c r="CC194" s="171">
        <f t="shared" si="242"/>
        <v>0</v>
      </c>
      <c r="CD194" s="170">
        <f t="shared" si="215"/>
        <v>0</v>
      </c>
      <c r="CE194" s="90">
        <f t="shared" si="243"/>
        <v>0</v>
      </c>
      <c r="CF194" s="171">
        <f t="shared" si="244"/>
        <v>0</v>
      </c>
      <c r="CG194" s="170">
        <f t="shared" si="216"/>
        <v>0</v>
      </c>
      <c r="CH194" s="90">
        <f t="shared" si="245"/>
        <v>0</v>
      </c>
      <c r="CI194" s="171">
        <f t="shared" si="246"/>
        <v>0</v>
      </c>
      <c r="CJ194" s="170">
        <f t="shared" si="217"/>
        <v>0</v>
      </c>
      <c r="CK194" s="90">
        <f t="shared" si="247"/>
        <v>0</v>
      </c>
      <c r="CL194" s="171">
        <f t="shared" si="248"/>
        <v>0</v>
      </c>
      <c r="CM194" s="170">
        <f t="shared" si="218"/>
        <v>0</v>
      </c>
      <c r="CN194" s="90">
        <f t="shared" si="249"/>
        <v>0</v>
      </c>
      <c r="CO194" s="171">
        <f t="shared" si="250"/>
        <v>0</v>
      </c>
      <c r="CP194" s="170">
        <f t="shared" si="219"/>
        <v>0</v>
      </c>
      <c r="CQ194" s="90">
        <f t="shared" si="251"/>
        <v>0</v>
      </c>
      <c r="CR194" s="171">
        <f t="shared" si="252"/>
        <v>0</v>
      </c>
      <c r="CS194" s="170">
        <f t="shared" si="220"/>
        <v>0</v>
      </c>
      <c r="CT194" s="90">
        <f t="shared" si="253"/>
        <v>0</v>
      </c>
      <c r="CU194" s="171">
        <f t="shared" si="254"/>
        <v>0</v>
      </c>
      <c r="CV194" s="170">
        <f t="shared" si="221"/>
        <v>0</v>
      </c>
      <c r="CW194" s="90">
        <f t="shared" si="255"/>
        <v>0</v>
      </c>
      <c r="CX194" s="171">
        <f t="shared" si="256"/>
        <v>0</v>
      </c>
      <c r="CY194" s="170">
        <f t="shared" si="222"/>
        <v>0</v>
      </c>
      <c r="CZ194" s="168">
        <f t="shared" si="223"/>
        <v>0</v>
      </c>
      <c r="DA194" s="172">
        <f t="shared" si="225"/>
        <v>0</v>
      </c>
      <c r="DB194" s="173">
        <f t="shared" si="226"/>
        <v>0</v>
      </c>
      <c r="DC194" s="172">
        <f t="shared" si="258"/>
        <v>0</v>
      </c>
      <c r="DD194" s="172">
        <f t="shared" si="258"/>
        <v>0</v>
      </c>
      <c r="DE194" s="172">
        <f t="shared" si="258"/>
        <v>0</v>
      </c>
      <c r="DF194" s="172">
        <f>IF(DA194-(DE193+CZ194)&lt;0,0,DA194-(DE193+CZ194))</f>
        <v>0</v>
      </c>
      <c r="DG194" s="136"/>
      <c r="DH194" s="136"/>
      <c r="DI194" s="3"/>
      <c r="DJ194" s="331" t="s">
        <v>331</v>
      </c>
      <c r="DK194" s="332" t="s">
        <v>332</v>
      </c>
      <c r="DL194" s="333">
        <v>0</v>
      </c>
      <c r="DM194" s="8"/>
      <c r="DN194" s="696" t="s">
        <v>333</v>
      </c>
      <c r="DO194" s="696"/>
      <c r="DP194" s="8"/>
      <c r="DQ194" s="3"/>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row>
    <row r="195" spans="1:155" s="566" customFormat="1" ht="15" customHeight="1">
      <c r="A195" s="334"/>
      <c r="B195" s="277" t="s">
        <v>607</v>
      </c>
      <c r="C195" s="335"/>
      <c r="D195" s="22"/>
      <c r="E195" s="22"/>
      <c r="F195" s="22"/>
      <c r="G195" s="335"/>
      <c r="H195" s="335"/>
      <c r="I195" s="335"/>
      <c r="J195" s="335"/>
      <c r="K195" s="335"/>
      <c r="L195" s="335"/>
      <c r="M195" s="335"/>
      <c r="N195" s="14"/>
      <c r="O195" s="240" t="str">
        <f t="shared" ref="O195:P199" si="259">B197</f>
        <v>Landscape 1</v>
      </c>
      <c r="P195" s="240">
        <f t="shared" si="259"/>
        <v>0</v>
      </c>
      <c r="Q195" s="336">
        <f>IFERROR(VLOOKUP(D197,$DJ$194:$DL$200,3,FALSE),0)</f>
        <v>4.2857142857142856</v>
      </c>
      <c r="R195" s="337">
        <f>IFERROR(VLOOKUP(H197,$DJ$203:$DK$206,2,FALSE),0)</f>
        <v>1</v>
      </c>
      <c r="S195" s="338">
        <f>Q195*R195</f>
        <v>4.2857142857142856</v>
      </c>
      <c r="T195" s="339">
        <f>IFERROR(VLOOKUP(F197,$DN$196:$DO$206,2,FALSE),1)</f>
        <v>0.75</v>
      </c>
      <c r="U195" s="339" t="b">
        <f t="shared" ref="U195:W199" si="260">$I197=U$194</f>
        <v>0</v>
      </c>
      <c r="V195" s="339" t="b">
        <f t="shared" si="260"/>
        <v>1</v>
      </c>
      <c r="W195" s="339" t="b">
        <f t="shared" si="260"/>
        <v>0</v>
      </c>
      <c r="X195" s="14"/>
      <c r="Y195" s="14"/>
      <c r="Z195" s="14"/>
      <c r="AA195" s="14"/>
      <c r="AB195" s="14"/>
      <c r="AC195" s="14"/>
      <c r="AD195" s="14"/>
      <c r="AE195" s="14"/>
      <c r="AF195" s="14"/>
      <c r="AG195" s="14"/>
      <c r="AH195" s="14"/>
      <c r="AI195" s="336">
        <f>$DL$199</f>
        <v>4.2857142857142856</v>
      </c>
      <c r="AJ195" s="240">
        <f>$DO$214</f>
        <v>1</v>
      </c>
      <c r="AK195" s="240">
        <f>$DO$215</f>
        <v>1</v>
      </c>
      <c r="AL195" s="338">
        <f>AI195*AJ195*AK195</f>
        <v>4.2857142857142856</v>
      </c>
      <c r="AM195" s="339">
        <f>$DO$216</f>
        <v>0.75</v>
      </c>
      <c r="AN195" s="14"/>
      <c r="AO195" s="14"/>
      <c r="AP195" s="14"/>
      <c r="AQ195" s="14"/>
      <c r="AR195" s="14"/>
      <c r="AS195" s="14"/>
      <c r="AT195" s="14"/>
      <c r="AU195" s="14"/>
      <c r="AV195" s="14"/>
      <c r="AW195" s="14"/>
      <c r="AX195" s="14"/>
      <c r="AY195" s="14"/>
      <c r="AZ195" s="14"/>
      <c r="BA195" s="14"/>
      <c r="BB195" s="14"/>
      <c r="BC195" s="14"/>
      <c r="BD195" s="308"/>
      <c r="BE195" s="165" t="s">
        <v>16</v>
      </c>
      <c r="BF195" s="23">
        <v>22</v>
      </c>
      <c r="BG195" s="23">
        <v>25</v>
      </c>
      <c r="BH195" s="23">
        <v>5</v>
      </c>
      <c r="BI195" s="90" t="b">
        <f t="shared" si="224"/>
        <v>1</v>
      </c>
      <c r="BJ195" s="46" t="b">
        <f t="shared" si="231"/>
        <v>0</v>
      </c>
      <c r="BK195" s="166">
        <f t="shared" si="232"/>
        <v>0</v>
      </c>
      <c r="BL195" s="175">
        <f>IF(SUM(BL$171:BL194,BK195)&gt;$BO$4,0,BK195)</f>
        <v>0</v>
      </c>
      <c r="BM195" s="23">
        <f t="shared" si="209"/>
        <v>0</v>
      </c>
      <c r="BN195" s="90">
        <f t="shared" si="210"/>
        <v>0</v>
      </c>
      <c r="BO195" s="24">
        <f t="shared" si="229"/>
        <v>0</v>
      </c>
      <c r="BP195" s="168">
        <f t="shared" si="233"/>
        <v>0</v>
      </c>
      <c r="BQ195" s="171">
        <f t="shared" si="234"/>
        <v>0</v>
      </c>
      <c r="BR195" s="170">
        <f t="shared" si="211"/>
        <v>0</v>
      </c>
      <c r="BS195" s="168">
        <f t="shared" si="235"/>
        <v>0</v>
      </c>
      <c r="BT195" s="171">
        <f t="shared" si="236"/>
        <v>0</v>
      </c>
      <c r="BU195" s="170">
        <f t="shared" si="212"/>
        <v>0</v>
      </c>
      <c r="BV195" s="168">
        <f t="shared" si="237"/>
        <v>0</v>
      </c>
      <c r="BW195" s="171">
        <f t="shared" si="238"/>
        <v>0</v>
      </c>
      <c r="BX195" s="170">
        <f t="shared" si="213"/>
        <v>0</v>
      </c>
      <c r="BY195" s="168">
        <f t="shared" si="239"/>
        <v>0</v>
      </c>
      <c r="BZ195" s="171">
        <f t="shared" si="240"/>
        <v>0</v>
      </c>
      <c r="CA195" s="170">
        <f t="shared" si="214"/>
        <v>0</v>
      </c>
      <c r="CB195" s="90">
        <f t="shared" si="241"/>
        <v>0</v>
      </c>
      <c r="CC195" s="171">
        <f t="shared" si="242"/>
        <v>0</v>
      </c>
      <c r="CD195" s="170">
        <f t="shared" si="215"/>
        <v>0</v>
      </c>
      <c r="CE195" s="90">
        <f t="shared" si="243"/>
        <v>0</v>
      </c>
      <c r="CF195" s="171">
        <f t="shared" si="244"/>
        <v>0</v>
      </c>
      <c r="CG195" s="170">
        <f t="shared" si="216"/>
        <v>0</v>
      </c>
      <c r="CH195" s="90">
        <f t="shared" si="245"/>
        <v>0</v>
      </c>
      <c r="CI195" s="171">
        <f t="shared" si="246"/>
        <v>0</v>
      </c>
      <c r="CJ195" s="170">
        <f t="shared" si="217"/>
        <v>0</v>
      </c>
      <c r="CK195" s="90">
        <f t="shared" si="247"/>
        <v>0</v>
      </c>
      <c r="CL195" s="171">
        <f t="shared" si="248"/>
        <v>0</v>
      </c>
      <c r="CM195" s="170">
        <f t="shared" si="218"/>
        <v>0</v>
      </c>
      <c r="CN195" s="90">
        <f t="shared" si="249"/>
        <v>0</v>
      </c>
      <c r="CO195" s="171">
        <f t="shared" si="250"/>
        <v>0</v>
      </c>
      <c r="CP195" s="170">
        <f t="shared" si="219"/>
        <v>0</v>
      </c>
      <c r="CQ195" s="90">
        <f t="shared" si="251"/>
        <v>0</v>
      </c>
      <c r="CR195" s="171">
        <f t="shared" si="252"/>
        <v>0</v>
      </c>
      <c r="CS195" s="170">
        <f t="shared" si="220"/>
        <v>0</v>
      </c>
      <c r="CT195" s="90">
        <f t="shared" si="253"/>
        <v>0</v>
      </c>
      <c r="CU195" s="171">
        <f t="shared" si="254"/>
        <v>0</v>
      </c>
      <c r="CV195" s="170">
        <f t="shared" si="221"/>
        <v>0</v>
      </c>
      <c r="CW195" s="90">
        <f t="shared" si="255"/>
        <v>0</v>
      </c>
      <c r="CX195" s="171">
        <f t="shared" si="256"/>
        <v>0</v>
      </c>
      <c r="CY195" s="170">
        <f t="shared" si="222"/>
        <v>0</v>
      </c>
      <c r="CZ195" s="168">
        <f t="shared" si="223"/>
        <v>0</v>
      </c>
      <c r="DA195" s="172">
        <f t="shared" si="225"/>
        <v>0</v>
      </c>
      <c r="DB195" s="173">
        <f t="shared" si="226"/>
        <v>0</v>
      </c>
      <c r="DC195" s="172">
        <f t="shared" si="258"/>
        <v>0</v>
      </c>
      <c r="DD195" s="172">
        <f t="shared" si="258"/>
        <v>0</v>
      </c>
      <c r="DE195" s="172">
        <f t="shared" si="258"/>
        <v>0</v>
      </c>
      <c r="DF195" s="172">
        <f t="shared" si="228"/>
        <v>0</v>
      </c>
      <c r="DG195" s="136"/>
      <c r="DH195" s="136"/>
      <c r="DI195" s="3"/>
      <c r="DJ195" s="331" t="s">
        <v>334</v>
      </c>
      <c r="DK195" s="332" t="s">
        <v>335</v>
      </c>
      <c r="DL195" s="333">
        <v>0</v>
      </c>
      <c r="DM195" s="8"/>
      <c r="DN195" s="340" t="s">
        <v>336</v>
      </c>
      <c r="DO195" s="341">
        <v>0.6</v>
      </c>
      <c r="DP195" s="8"/>
      <c r="DQ195" s="3"/>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row>
    <row r="196" spans="1:155" s="566" customFormat="1" ht="38.25" customHeight="1">
      <c r="A196" s="342"/>
      <c r="B196" s="260" t="s">
        <v>337</v>
      </c>
      <c r="C196" s="190" t="s">
        <v>338</v>
      </c>
      <c r="D196" s="190" t="s">
        <v>339</v>
      </c>
      <c r="E196" s="190" t="s">
        <v>340</v>
      </c>
      <c r="F196" s="631" t="s">
        <v>341</v>
      </c>
      <c r="G196" s="631"/>
      <c r="H196" s="190" t="s">
        <v>342</v>
      </c>
      <c r="I196" s="631" t="s">
        <v>343</v>
      </c>
      <c r="J196" s="631"/>
      <c r="K196" s="190"/>
      <c r="L196" s="322" t="s">
        <v>344</v>
      </c>
      <c r="M196" s="335"/>
      <c r="N196" s="14"/>
      <c r="O196" s="240" t="str">
        <f t="shared" si="259"/>
        <v>Landscape 2</v>
      </c>
      <c r="P196" s="240">
        <f t="shared" si="259"/>
        <v>0</v>
      </c>
      <c r="Q196" s="336">
        <f>IFERROR(VLOOKUP(D198,$DJ$194:$DL$200,3,FALSE),0)</f>
        <v>4.2857142857142856</v>
      </c>
      <c r="R196" s="337">
        <f>IFERROR(VLOOKUP(H198,$DJ$203:$DK$206,2,FALSE),0)</f>
        <v>1</v>
      </c>
      <c r="S196" s="338">
        <f>Q196*R196</f>
        <v>4.2857142857142856</v>
      </c>
      <c r="T196" s="339">
        <f>IFERROR(VLOOKUP(F198,$DN$196:$DO$206,2,FALSE),1)</f>
        <v>0.75</v>
      </c>
      <c r="U196" s="339" t="b">
        <f t="shared" si="260"/>
        <v>0</v>
      </c>
      <c r="V196" s="339" t="b">
        <f t="shared" si="260"/>
        <v>1</v>
      </c>
      <c r="W196" s="339" t="b">
        <f t="shared" si="260"/>
        <v>0</v>
      </c>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3"/>
      <c r="BE196" s="165" t="s">
        <v>16</v>
      </c>
      <c r="BF196" s="23">
        <v>22</v>
      </c>
      <c r="BG196" s="23">
        <v>26</v>
      </c>
      <c r="BH196" s="23">
        <v>6</v>
      </c>
      <c r="BI196" s="90" t="b">
        <f t="shared" si="224"/>
        <v>0</v>
      </c>
      <c r="BJ196" s="46" t="b">
        <f t="shared" si="231"/>
        <v>0</v>
      </c>
      <c r="BK196" s="166">
        <f t="shared" si="232"/>
        <v>0</v>
      </c>
      <c r="BL196" s="175">
        <f>IF(SUM(BL$171:BL195,BK196)&gt;$BO$4,0,BK196)</f>
        <v>0</v>
      </c>
      <c r="BM196" s="23">
        <f t="shared" si="209"/>
        <v>0</v>
      </c>
      <c r="BN196" s="90">
        <f t="shared" si="210"/>
        <v>0</v>
      </c>
      <c r="BO196" s="24">
        <f t="shared" si="229"/>
        <v>0</v>
      </c>
      <c r="BP196" s="168">
        <f t="shared" si="233"/>
        <v>0</v>
      </c>
      <c r="BQ196" s="171">
        <f t="shared" si="234"/>
        <v>0</v>
      </c>
      <c r="BR196" s="170">
        <f t="shared" si="211"/>
        <v>0</v>
      </c>
      <c r="BS196" s="168">
        <f t="shared" si="235"/>
        <v>0</v>
      </c>
      <c r="BT196" s="171">
        <f t="shared" si="236"/>
        <v>0</v>
      </c>
      <c r="BU196" s="170">
        <f t="shared" si="212"/>
        <v>0</v>
      </c>
      <c r="BV196" s="168">
        <f t="shared" si="237"/>
        <v>0</v>
      </c>
      <c r="BW196" s="171">
        <f t="shared" si="238"/>
        <v>0</v>
      </c>
      <c r="BX196" s="170">
        <f t="shared" si="213"/>
        <v>0</v>
      </c>
      <c r="BY196" s="168">
        <f t="shared" si="239"/>
        <v>0</v>
      </c>
      <c r="BZ196" s="171">
        <f t="shared" si="240"/>
        <v>0</v>
      </c>
      <c r="CA196" s="170">
        <f t="shared" si="214"/>
        <v>0</v>
      </c>
      <c r="CB196" s="90">
        <f t="shared" si="241"/>
        <v>0</v>
      </c>
      <c r="CC196" s="171">
        <f t="shared" si="242"/>
        <v>0</v>
      </c>
      <c r="CD196" s="170">
        <f t="shared" si="215"/>
        <v>0</v>
      </c>
      <c r="CE196" s="90">
        <f t="shared" si="243"/>
        <v>0</v>
      </c>
      <c r="CF196" s="171">
        <f t="shared" si="244"/>
        <v>0</v>
      </c>
      <c r="CG196" s="170">
        <f t="shared" si="216"/>
        <v>0</v>
      </c>
      <c r="CH196" s="90">
        <f t="shared" si="245"/>
        <v>0</v>
      </c>
      <c r="CI196" s="171">
        <f t="shared" si="246"/>
        <v>0</v>
      </c>
      <c r="CJ196" s="170">
        <f t="shared" si="217"/>
        <v>0</v>
      </c>
      <c r="CK196" s="90">
        <f t="shared" si="247"/>
        <v>0</v>
      </c>
      <c r="CL196" s="171">
        <f t="shared" si="248"/>
        <v>0</v>
      </c>
      <c r="CM196" s="170">
        <f t="shared" si="218"/>
        <v>0</v>
      </c>
      <c r="CN196" s="90">
        <f t="shared" si="249"/>
        <v>0</v>
      </c>
      <c r="CO196" s="171">
        <f t="shared" si="250"/>
        <v>0</v>
      </c>
      <c r="CP196" s="170">
        <f t="shared" si="219"/>
        <v>0</v>
      </c>
      <c r="CQ196" s="90">
        <f t="shared" si="251"/>
        <v>0</v>
      </c>
      <c r="CR196" s="171">
        <f t="shared" si="252"/>
        <v>0</v>
      </c>
      <c r="CS196" s="170">
        <f t="shared" si="220"/>
        <v>0</v>
      </c>
      <c r="CT196" s="90">
        <f t="shared" si="253"/>
        <v>0</v>
      </c>
      <c r="CU196" s="171">
        <f t="shared" si="254"/>
        <v>0</v>
      </c>
      <c r="CV196" s="170">
        <f t="shared" si="221"/>
        <v>0</v>
      </c>
      <c r="CW196" s="90">
        <f t="shared" si="255"/>
        <v>0</v>
      </c>
      <c r="CX196" s="171">
        <f t="shared" si="256"/>
        <v>0</v>
      </c>
      <c r="CY196" s="170">
        <f t="shared" si="222"/>
        <v>0</v>
      </c>
      <c r="CZ196" s="168">
        <f t="shared" si="223"/>
        <v>0</v>
      </c>
      <c r="DA196" s="172">
        <f t="shared" si="225"/>
        <v>0</v>
      </c>
      <c r="DB196" s="173">
        <f t="shared" si="226"/>
        <v>0</v>
      </c>
      <c r="DC196" s="172">
        <f t="shared" si="258"/>
        <v>0</v>
      </c>
      <c r="DD196" s="172">
        <f t="shared" si="258"/>
        <v>0</v>
      </c>
      <c r="DE196" s="172">
        <f t="shared" si="258"/>
        <v>0</v>
      </c>
      <c r="DF196" s="172">
        <f t="shared" si="228"/>
        <v>0</v>
      </c>
      <c r="DG196" s="1"/>
      <c r="DH196" s="1"/>
      <c r="DI196" s="3"/>
      <c r="DJ196" s="331" t="s">
        <v>345</v>
      </c>
      <c r="DK196" s="332" t="s">
        <v>346</v>
      </c>
      <c r="DL196" s="333">
        <f>7.5/7</f>
        <v>1.0714285714285714</v>
      </c>
      <c r="DM196" s="8"/>
      <c r="DN196" s="340" t="s">
        <v>84</v>
      </c>
      <c r="DO196" s="343">
        <v>1</v>
      </c>
      <c r="DP196" s="8"/>
      <c r="DQ196" s="3"/>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row>
    <row r="197" spans="1:155" s="566" customFormat="1" ht="15" customHeight="1">
      <c r="A197" s="181"/>
      <c r="B197" s="344" t="s">
        <v>347</v>
      </c>
      <c r="C197" s="231"/>
      <c r="D197" s="345" t="s">
        <v>356</v>
      </c>
      <c r="E197" s="345" t="str">
        <f>IFERROR(VLOOKUP(D197,$DJ$194:$DK$200,2,FALSE),"")</f>
        <v>30mm/m2/week</v>
      </c>
      <c r="F197" s="692" t="s">
        <v>354</v>
      </c>
      <c r="G197" s="693"/>
      <c r="H197" s="345" t="s">
        <v>378</v>
      </c>
      <c r="I197" s="692" t="s">
        <v>326</v>
      </c>
      <c r="J197" s="693"/>
      <c r="K197" s="345"/>
      <c r="L197" s="345">
        <f>AI217</f>
        <v>0</v>
      </c>
      <c r="M197" s="335"/>
      <c r="N197" s="14"/>
      <c r="O197" s="240" t="str">
        <f t="shared" si="259"/>
        <v>Landscape 3</v>
      </c>
      <c r="P197" s="240">
        <f t="shared" si="259"/>
        <v>0</v>
      </c>
      <c r="Q197" s="336">
        <f>IFERROR(VLOOKUP(D199,$DJ$194:$DL$200,3,FALSE),0)</f>
        <v>4.2857142857142856</v>
      </c>
      <c r="R197" s="337">
        <f>IFERROR(VLOOKUP(H199,$DJ$203:$DK$206,2,FALSE),0)</f>
        <v>1</v>
      </c>
      <c r="S197" s="338">
        <f>Q197*R197</f>
        <v>4.2857142857142856</v>
      </c>
      <c r="T197" s="339">
        <f>IFERROR(VLOOKUP(F199,$DN$196:$DO$206,2,FALSE),1)</f>
        <v>0.75</v>
      </c>
      <c r="U197" s="339" t="b">
        <f t="shared" si="260"/>
        <v>0</v>
      </c>
      <c r="V197" s="339" t="b">
        <f t="shared" si="260"/>
        <v>1</v>
      </c>
      <c r="W197" s="339" t="b">
        <f t="shared" si="260"/>
        <v>0</v>
      </c>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308"/>
      <c r="BE197" s="165" t="s">
        <v>16</v>
      </c>
      <c r="BF197" s="23">
        <v>22</v>
      </c>
      <c r="BG197" s="23">
        <v>27</v>
      </c>
      <c r="BH197" s="23">
        <v>7</v>
      </c>
      <c r="BI197" s="90" t="b">
        <f t="shared" si="224"/>
        <v>0</v>
      </c>
      <c r="BJ197" s="46" t="b">
        <f t="shared" si="231"/>
        <v>0</v>
      </c>
      <c r="BK197" s="166">
        <f t="shared" si="232"/>
        <v>0</v>
      </c>
      <c r="BL197" s="175">
        <f>IF(SUM(BL$171:BL196,BK197)&gt;$BO$4,0,BK197)</f>
        <v>0</v>
      </c>
      <c r="BM197" s="23">
        <f t="shared" si="209"/>
        <v>0</v>
      </c>
      <c r="BN197" s="90">
        <f t="shared" si="210"/>
        <v>0</v>
      </c>
      <c r="BO197" s="24">
        <f t="shared" si="229"/>
        <v>0</v>
      </c>
      <c r="BP197" s="168">
        <f t="shared" si="233"/>
        <v>0</v>
      </c>
      <c r="BQ197" s="171">
        <f t="shared" si="234"/>
        <v>0</v>
      </c>
      <c r="BR197" s="170">
        <f t="shared" si="211"/>
        <v>0</v>
      </c>
      <c r="BS197" s="168">
        <f t="shared" si="235"/>
        <v>0</v>
      </c>
      <c r="BT197" s="171">
        <f t="shared" si="236"/>
        <v>0</v>
      </c>
      <c r="BU197" s="170">
        <f t="shared" si="212"/>
        <v>0</v>
      </c>
      <c r="BV197" s="168">
        <f t="shared" si="237"/>
        <v>0</v>
      </c>
      <c r="BW197" s="171">
        <f t="shared" si="238"/>
        <v>0</v>
      </c>
      <c r="BX197" s="170">
        <f t="shared" si="213"/>
        <v>0</v>
      </c>
      <c r="BY197" s="168">
        <f t="shared" si="239"/>
        <v>0</v>
      </c>
      <c r="BZ197" s="171">
        <f t="shared" si="240"/>
        <v>0</v>
      </c>
      <c r="CA197" s="170">
        <f t="shared" si="214"/>
        <v>0</v>
      </c>
      <c r="CB197" s="90">
        <f t="shared" si="241"/>
        <v>0</v>
      </c>
      <c r="CC197" s="171">
        <f t="shared" si="242"/>
        <v>0</v>
      </c>
      <c r="CD197" s="170">
        <f t="shared" si="215"/>
        <v>0</v>
      </c>
      <c r="CE197" s="90">
        <f t="shared" si="243"/>
        <v>0</v>
      </c>
      <c r="CF197" s="171">
        <f t="shared" si="244"/>
        <v>0</v>
      </c>
      <c r="CG197" s="170">
        <f t="shared" si="216"/>
        <v>0</v>
      </c>
      <c r="CH197" s="90">
        <f t="shared" si="245"/>
        <v>0</v>
      </c>
      <c r="CI197" s="171">
        <f t="shared" si="246"/>
        <v>0</v>
      </c>
      <c r="CJ197" s="170">
        <f t="shared" si="217"/>
        <v>0</v>
      </c>
      <c r="CK197" s="90">
        <f t="shared" si="247"/>
        <v>0</v>
      </c>
      <c r="CL197" s="171">
        <f t="shared" si="248"/>
        <v>0</v>
      </c>
      <c r="CM197" s="170">
        <f t="shared" si="218"/>
        <v>0</v>
      </c>
      <c r="CN197" s="90">
        <f t="shared" si="249"/>
        <v>0</v>
      </c>
      <c r="CO197" s="171">
        <f t="shared" si="250"/>
        <v>0</v>
      </c>
      <c r="CP197" s="170">
        <f t="shared" si="219"/>
        <v>0</v>
      </c>
      <c r="CQ197" s="90">
        <f t="shared" si="251"/>
        <v>0</v>
      </c>
      <c r="CR197" s="171">
        <f t="shared" si="252"/>
        <v>0</v>
      </c>
      <c r="CS197" s="170">
        <f t="shared" si="220"/>
        <v>0</v>
      </c>
      <c r="CT197" s="90">
        <f t="shared" si="253"/>
        <v>0</v>
      </c>
      <c r="CU197" s="171">
        <f t="shared" si="254"/>
        <v>0</v>
      </c>
      <c r="CV197" s="170">
        <f t="shared" si="221"/>
        <v>0</v>
      </c>
      <c r="CW197" s="90">
        <f t="shared" si="255"/>
        <v>0</v>
      </c>
      <c r="CX197" s="171">
        <f t="shared" si="256"/>
        <v>0</v>
      </c>
      <c r="CY197" s="170">
        <f t="shared" si="222"/>
        <v>0</v>
      </c>
      <c r="CZ197" s="168">
        <f t="shared" si="223"/>
        <v>0</v>
      </c>
      <c r="DA197" s="172">
        <f t="shared" si="225"/>
        <v>0</v>
      </c>
      <c r="DB197" s="173">
        <f t="shared" si="226"/>
        <v>0</v>
      </c>
      <c r="DC197" s="172">
        <f t="shared" ref="DC197:DE212" si="261">IF(DC196+$DB197&lt;0,0,IF(DC196+$DB197&gt;$F$405,$F$405,DC196+$DB197))</f>
        <v>0</v>
      </c>
      <c r="DD197" s="172">
        <f t="shared" si="261"/>
        <v>0</v>
      </c>
      <c r="DE197" s="172">
        <f t="shared" si="261"/>
        <v>0</v>
      </c>
      <c r="DF197" s="172">
        <f t="shared" si="228"/>
        <v>0</v>
      </c>
      <c r="DG197" s="1"/>
      <c r="DH197" s="1"/>
      <c r="DI197" s="3"/>
      <c r="DJ197" s="331" t="s">
        <v>348</v>
      </c>
      <c r="DK197" s="332" t="s">
        <v>349</v>
      </c>
      <c r="DL197" s="333">
        <f>12.5/7</f>
        <v>1.7857142857142858</v>
      </c>
      <c r="DM197" s="8"/>
      <c r="DN197" s="340" t="s">
        <v>350</v>
      </c>
      <c r="DO197" s="343">
        <v>0.65</v>
      </c>
      <c r="DP197" s="8"/>
      <c r="DQ197" s="3"/>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row>
    <row r="198" spans="1:155" s="565" customFormat="1" ht="15" customHeight="1">
      <c r="A198" s="221"/>
      <c r="B198" s="344" t="s">
        <v>351</v>
      </c>
      <c r="C198" s="231"/>
      <c r="D198" s="345" t="s">
        <v>356</v>
      </c>
      <c r="E198" s="345" t="str">
        <f>IFERROR(VLOOKUP(D198,$DJ$194:$DK$200,2,FALSE),"")</f>
        <v>30mm/m2/week</v>
      </c>
      <c r="F198" s="692" t="s">
        <v>354</v>
      </c>
      <c r="G198" s="693"/>
      <c r="H198" s="345" t="s">
        <v>378</v>
      </c>
      <c r="I198" s="692" t="s">
        <v>326</v>
      </c>
      <c r="J198" s="693"/>
      <c r="K198" s="345"/>
      <c r="L198" s="345">
        <f>AJ217</f>
        <v>0</v>
      </c>
      <c r="M198" s="335"/>
      <c r="N198" s="14"/>
      <c r="O198" s="240" t="str">
        <f t="shared" si="259"/>
        <v>Landscape 4</v>
      </c>
      <c r="P198" s="240">
        <f t="shared" si="259"/>
        <v>0</v>
      </c>
      <c r="Q198" s="336">
        <f>IFERROR(VLOOKUP(D200,$DJ$194:$DL$200,3,FALSE),0)</f>
        <v>4.2857142857142856</v>
      </c>
      <c r="R198" s="337">
        <f>IFERROR(VLOOKUP(H200,$DJ$203:$DK$206,2,FALSE),0)</f>
        <v>1</v>
      </c>
      <c r="S198" s="338">
        <f>Q198*R198</f>
        <v>4.2857142857142856</v>
      </c>
      <c r="T198" s="339">
        <f>IFERROR(VLOOKUP(F200,$DN$196:$DO$206,2,FALSE),1)</f>
        <v>0.75</v>
      </c>
      <c r="U198" s="339" t="b">
        <f t="shared" si="260"/>
        <v>0</v>
      </c>
      <c r="V198" s="339" t="b">
        <f t="shared" si="260"/>
        <v>1</v>
      </c>
      <c r="W198" s="339" t="b">
        <f t="shared" si="260"/>
        <v>0</v>
      </c>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27"/>
      <c r="BE198" s="165" t="s">
        <v>16</v>
      </c>
      <c r="BF198" s="23">
        <v>22</v>
      </c>
      <c r="BG198" s="23">
        <v>28</v>
      </c>
      <c r="BH198" s="23">
        <v>1</v>
      </c>
      <c r="BI198" s="90" t="b">
        <f t="shared" si="224"/>
        <v>1</v>
      </c>
      <c r="BJ198" s="46" t="b">
        <f t="shared" si="231"/>
        <v>0</v>
      </c>
      <c r="BK198" s="166">
        <f t="shared" si="232"/>
        <v>0</v>
      </c>
      <c r="BL198" s="175">
        <f>IF(SUM(BL$171:BL197,BK198)&gt;$BO$4,0,BK198)</f>
        <v>0</v>
      </c>
      <c r="BM198" s="23">
        <f t="shared" si="209"/>
        <v>0</v>
      </c>
      <c r="BN198" s="90">
        <f t="shared" si="210"/>
        <v>0</v>
      </c>
      <c r="BO198" s="24">
        <f t="shared" si="229"/>
        <v>0</v>
      </c>
      <c r="BP198" s="168">
        <f t="shared" si="233"/>
        <v>0</v>
      </c>
      <c r="BQ198" s="171">
        <f t="shared" si="234"/>
        <v>0</v>
      </c>
      <c r="BR198" s="170">
        <f t="shared" si="211"/>
        <v>0</v>
      </c>
      <c r="BS198" s="168">
        <f t="shared" si="235"/>
        <v>0</v>
      </c>
      <c r="BT198" s="171">
        <f t="shared" si="236"/>
        <v>0</v>
      </c>
      <c r="BU198" s="170">
        <f t="shared" si="212"/>
        <v>0</v>
      </c>
      <c r="BV198" s="168">
        <f t="shared" si="237"/>
        <v>0</v>
      </c>
      <c r="BW198" s="171">
        <f t="shared" si="238"/>
        <v>0</v>
      </c>
      <c r="BX198" s="170">
        <f t="shared" si="213"/>
        <v>0</v>
      </c>
      <c r="BY198" s="168">
        <f t="shared" si="239"/>
        <v>0</v>
      </c>
      <c r="BZ198" s="171">
        <f t="shared" si="240"/>
        <v>0</v>
      </c>
      <c r="CA198" s="170">
        <f t="shared" si="214"/>
        <v>0</v>
      </c>
      <c r="CB198" s="90">
        <f t="shared" si="241"/>
        <v>0</v>
      </c>
      <c r="CC198" s="171">
        <f t="shared" si="242"/>
        <v>0</v>
      </c>
      <c r="CD198" s="170">
        <f t="shared" si="215"/>
        <v>0</v>
      </c>
      <c r="CE198" s="90">
        <f t="shared" si="243"/>
        <v>0</v>
      </c>
      <c r="CF198" s="171">
        <f t="shared" si="244"/>
        <v>0</v>
      </c>
      <c r="CG198" s="170">
        <f t="shared" si="216"/>
        <v>0</v>
      </c>
      <c r="CH198" s="90">
        <f t="shared" si="245"/>
        <v>0</v>
      </c>
      <c r="CI198" s="171">
        <f t="shared" si="246"/>
        <v>0</v>
      </c>
      <c r="CJ198" s="170">
        <f t="shared" si="217"/>
        <v>0</v>
      </c>
      <c r="CK198" s="90">
        <f t="shared" si="247"/>
        <v>0</v>
      </c>
      <c r="CL198" s="171">
        <f t="shared" si="248"/>
        <v>0</v>
      </c>
      <c r="CM198" s="170">
        <f t="shared" si="218"/>
        <v>0</v>
      </c>
      <c r="CN198" s="90">
        <f t="shared" si="249"/>
        <v>0</v>
      </c>
      <c r="CO198" s="171">
        <f t="shared" si="250"/>
        <v>0</v>
      </c>
      <c r="CP198" s="170">
        <f t="shared" si="219"/>
        <v>0</v>
      </c>
      <c r="CQ198" s="90">
        <f t="shared" si="251"/>
        <v>0</v>
      </c>
      <c r="CR198" s="171">
        <f t="shared" si="252"/>
        <v>0</v>
      </c>
      <c r="CS198" s="170">
        <f t="shared" si="220"/>
        <v>0</v>
      </c>
      <c r="CT198" s="90">
        <f t="shared" si="253"/>
        <v>0</v>
      </c>
      <c r="CU198" s="171">
        <f t="shared" si="254"/>
        <v>0</v>
      </c>
      <c r="CV198" s="170">
        <f t="shared" si="221"/>
        <v>0</v>
      </c>
      <c r="CW198" s="90">
        <f t="shared" si="255"/>
        <v>0</v>
      </c>
      <c r="CX198" s="171">
        <f t="shared" si="256"/>
        <v>0</v>
      </c>
      <c r="CY198" s="170">
        <f t="shared" si="222"/>
        <v>0</v>
      </c>
      <c r="CZ198" s="168">
        <f t="shared" si="223"/>
        <v>0</v>
      </c>
      <c r="DA198" s="172">
        <f t="shared" si="225"/>
        <v>0</v>
      </c>
      <c r="DB198" s="173">
        <f t="shared" si="226"/>
        <v>0</v>
      </c>
      <c r="DC198" s="172">
        <f t="shared" si="261"/>
        <v>0</v>
      </c>
      <c r="DD198" s="172">
        <f t="shared" si="261"/>
        <v>0</v>
      </c>
      <c r="DE198" s="172">
        <f t="shared" si="261"/>
        <v>0</v>
      </c>
      <c r="DF198" s="172">
        <f t="shared" si="228"/>
        <v>0</v>
      </c>
      <c r="DG198" s="136"/>
      <c r="DH198" s="136"/>
      <c r="DI198" s="3"/>
      <c r="DJ198" s="331" t="s">
        <v>352</v>
      </c>
      <c r="DK198" s="332" t="s">
        <v>353</v>
      </c>
      <c r="DL198" s="333">
        <f>20/7</f>
        <v>2.8571428571428572</v>
      </c>
      <c r="DM198" s="8"/>
      <c r="DN198" s="340" t="s">
        <v>354</v>
      </c>
      <c r="DO198" s="346">
        <v>0.75</v>
      </c>
      <c r="DP198" s="8"/>
      <c r="DQ198" s="3"/>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row>
    <row r="199" spans="1:155" s="565" customFormat="1" ht="15" customHeight="1">
      <c r="A199" s="181"/>
      <c r="B199" s="344" t="s">
        <v>355</v>
      </c>
      <c r="C199" s="231"/>
      <c r="D199" s="345" t="s">
        <v>356</v>
      </c>
      <c r="E199" s="345" t="str">
        <f>IFERROR(VLOOKUP(D199,$DJ$194:$DK$200,2,FALSE),"")</f>
        <v>30mm/m2/week</v>
      </c>
      <c r="F199" s="692" t="s">
        <v>354</v>
      </c>
      <c r="G199" s="693"/>
      <c r="H199" s="345" t="s">
        <v>378</v>
      </c>
      <c r="I199" s="692" t="s">
        <v>326</v>
      </c>
      <c r="J199" s="693"/>
      <c r="K199" s="345"/>
      <c r="L199" s="345">
        <f>AK217</f>
        <v>0</v>
      </c>
      <c r="M199" s="335"/>
      <c r="N199" s="14"/>
      <c r="O199" s="240" t="str">
        <f t="shared" si="259"/>
        <v>Landscape 5</v>
      </c>
      <c r="P199" s="240">
        <f t="shared" si="259"/>
        <v>0</v>
      </c>
      <c r="Q199" s="336">
        <f>IFERROR(VLOOKUP(D201,$DJ$194:$DL$200,3,FALSE),0)</f>
        <v>4.2857142857142856</v>
      </c>
      <c r="R199" s="337">
        <f>IFERROR(VLOOKUP(H201,$DJ$203:$DK$206,2,FALSE),0)</f>
        <v>1</v>
      </c>
      <c r="S199" s="338">
        <f>Q199*R199</f>
        <v>4.2857142857142856</v>
      </c>
      <c r="T199" s="339">
        <f>IFERROR(VLOOKUP(F201,$DN$196:$DO$206,2,FALSE),1)</f>
        <v>0.75</v>
      </c>
      <c r="U199" s="339" t="b">
        <f t="shared" si="260"/>
        <v>0</v>
      </c>
      <c r="V199" s="339" t="b">
        <f t="shared" si="260"/>
        <v>1</v>
      </c>
      <c r="W199" s="339" t="b">
        <f t="shared" si="260"/>
        <v>0</v>
      </c>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27"/>
      <c r="BE199" s="165" t="s">
        <v>16</v>
      </c>
      <c r="BF199" s="23">
        <v>22</v>
      </c>
      <c r="BG199" s="23">
        <v>29</v>
      </c>
      <c r="BH199" s="23">
        <v>2</v>
      </c>
      <c r="BI199" s="90" t="b">
        <f t="shared" si="224"/>
        <v>1</v>
      </c>
      <c r="BJ199" s="46" t="b">
        <f t="shared" si="231"/>
        <v>0</v>
      </c>
      <c r="BK199" s="166">
        <f t="shared" si="232"/>
        <v>0</v>
      </c>
      <c r="BL199" s="175">
        <f>IF(SUM(BL$171:BL198,BK199)&gt;$BO$4,0,BK199)</f>
        <v>0</v>
      </c>
      <c r="BM199" s="23">
        <f t="shared" si="209"/>
        <v>0</v>
      </c>
      <c r="BN199" s="90">
        <f t="shared" si="210"/>
        <v>0</v>
      </c>
      <c r="BO199" s="24">
        <f t="shared" si="229"/>
        <v>0</v>
      </c>
      <c r="BP199" s="168">
        <f t="shared" si="233"/>
        <v>0</v>
      </c>
      <c r="BQ199" s="171">
        <f t="shared" si="234"/>
        <v>0</v>
      </c>
      <c r="BR199" s="170">
        <f t="shared" si="211"/>
        <v>0</v>
      </c>
      <c r="BS199" s="168">
        <f t="shared" si="235"/>
        <v>0</v>
      </c>
      <c r="BT199" s="171">
        <f t="shared" si="236"/>
        <v>0</v>
      </c>
      <c r="BU199" s="170">
        <f t="shared" si="212"/>
        <v>0</v>
      </c>
      <c r="BV199" s="168">
        <f t="shared" si="237"/>
        <v>0</v>
      </c>
      <c r="BW199" s="171">
        <f t="shared" si="238"/>
        <v>0</v>
      </c>
      <c r="BX199" s="170">
        <f t="shared" si="213"/>
        <v>0</v>
      </c>
      <c r="BY199" s="168">
        <f t="shared" si="239"/>
        <v>0</v>
      </c>
      <c r="BZ199" s="171">
        <f t="shared" si="240"/>
        <v>0</v>
      </c>
      <c r="CA199" s="170">
        <f t="shared" si="214"/>
        <v>0</v>
      </c>
      <c r="CB199" s="90">
        <f t="shared" si="241"/>
        <v>0</v>
      </c>
      <c r="CC199" s="171">
        <f t="shared" si="242"/>
        <v>0</v>
      </c>
      <c r="CD199" s="170">
        <f t="shared" si="215"/>
        <v>0</v>
      </c>
      <c r="CE199" s="90">
        <f t="shared" si="243"/>
        <v>0</v>
      </c>
      <c r="CF199" s="171">
        <f t="shared" si="244"/>
        <v>0</v>
      </c>
      <c r="CG199" s="170">
        <f t="shared" si="216"/>
        <v>0</v>
      </c>
      <c r="CH199" s="90">
        <f t="shared" si="245"/>
        <v>0</v>
      </c>
      <c r="CI199" s="171">
        <f t="shared" si="246"/>
        <v>0</v>
      </c>
      <c r="CJ199" s="170">
        <f t="shared" si="217"/>
        <v>0</v>
      </c>
      <c r="CK199" s="90">
        <f t="shared" si="247"/>
        <v>0</v>
      </c>
      <c r="CL199" s="171">
        <f t="shared" si="248"/>
        <v>0</v>
      </c>
      <c r="CM199" s="170">
        <f t="shared" si="218"/>
        <v>0</v>
      </c>
      <c r="CN199" s="90">
        <f t="shared" si="249"/>
        <v>0</v>
      </c>
      <c r="CO199" s="171">
        <f t="shared" si="250"/>
        <v>0</v>
      </c>
      <c r="CP199" s="170">
        <f t="shared" si="219"/>
        <v>0</v>
      </c>
      <c r="CQ199" s="90">
        <f t="shared" si="251"/>
        <v>0</v>
      </c>
      <c r="CR199" s="171">
        <f t="shared" si="252"/>
        <v>0</v>
      </c>
      <c r="CS199" s="170">
        <f t="shared" si="220"/>
        <v>0</v>
      </c>
      <c r="CT199" s="90">
        <f t="shared" si="253"/>
        <v>0</v>
      </c>
      <c r="CU199" s="171">
        <f t="shared" si="254"/>
        <v>0</v>
      </c>
      <c r="CV199" s="170">
        <f t="shared" si="221"/>
        <v>0</v>
      </c>
      <c r="CW199" s="90">
        <f t="shared" si="255"/>
        <v>0</v>
      </c>
      <c r="CX199" s="171">
        <f t="shared" si="256"/>
        <v>0</v>
      </c>
      <c r="CY199" s="170">
        <f t="shared" si="222"/>
        <v>0</v>
      </c>
      <c r="CZ199" s="168">
        <f t="shared" si="223"/>
        <v>0</v>
      </c>
      <c r="DA199" s="172">
        <f t="shared" si="225"/>
        <v>0</v>
      </c>
      <c r="DB199" s="173">
        <f t="shared" si="226"/>
        <v>0</v>
      </c>
      <c r="DC199" s="172">
        <f t="shared" si="261"/>
        <v>0</v>
      </c>
      <c r="DD199" s="172">
        <f t="shared" si="261"/>
        <v>0</v>
      </c>
      <c r="DE199" s="172">
        <f t="shared" si="261"/>
        <v>0</v>
      </c>
      <c r="DF199" s="172">
        <f t="shared" si="228"/>
        <v>0</v>
      </c>
      <c r="DG199" s="136"/>
      <c r="DH199" s="136"/>
      <c r="DI199" s="3"/>
      <c r="DJ199" s="331" t="s">
        <v>356</v>
      </c>
      <c r="DK199" s="332" t="s">
        <v>357</v>
      </c>
      <c r="DL199" s="333">
        <f>30/7</f>
        <v>4.2857142857142856</v>
      </c>
      <c r="DM199" s="8"/>
      <c r="DN199" s="340" t="s">
        <v>358</v>
      </c>
      <c r="DO199" s="346">
        <v>0.65</v>
      </c>
      <c r="DP199" s="8"/>
      <c r="DQ199" s="3"/>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row>
    <row r="200" spans="1:155" s="566" customFormat="1" ht="15" customHeight="1">
      <c r="A200" s="181"/>
      <c r="B200" s="344" t="s">
        <v>359</v>
      </c>
      <c r="C200" s="231"/>
      <c r="D200" s="345" t="s">
        <v>356</v>
      </c>
      <c r="E200" s="345" t="str">
        <f>IFERROR(VLOOKUP(D200,$DJ$194:$DK$200,2,FALSE),"")</f>
        <v>30mm/m2/week</v>
      </c>
      <c r="F200" s="692" t="s">
        <v>354</v>
      </c>
      <c r="G200" s="693"/>
      <c r="H200" s="345" t="s">
        <v>378</v>
      </c>
      <c r="I200" s="692" t="s">
        <v>326</v>
      </c>
      <c r="J200" s="693"/>
      <c r="K200" s="345"/>
      <c r="L200" s="345">
        <f>AL217</f>
        <v>0</v>
      </c>
      <c r="M200" s="335"/>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27"/>
      <c r="BE200" s="165" t="s">
        <v>16</v>
      </c>
      <c r="BF200" s="23">
        <v>22</v>
      </c>
      <c r="BG200" s="23">
        <v>30</v>
      </c>
      <c r="BH200" s="23">
        <v>3</v>
      </c>
      <c r="BI200" s="90" t="b">
        <f t="shared" si="224"/>
        <v>1</v>
      </c>
      <c r="BJ200" s="46" t="b">
        <f t="shared" si="231"/>
        <v>1</v>
      </c>
      <c r="BK200" s="166">
        <f t="shared" si="232"/>
        <v>9</v>
      </c>
      <c r="BL200" s="167">
        <f>$BO$4-SUM(BL171:BL199)</f>
        <v>9</v>
      </c>
      <c r="BM200" s="23">
        <f t="shared" si="209"/>
        <v>0</v>
      </c>
      <c r="BN200" s="90">
        <f t="shared" si="210"/>
        <v>0</v>
      </c>
      <c r="BO200" s="24">
        <f t="shared" si="229"/>
        <v>0</v>
      </c>
      <c r="BP200" s="168">
        <f t="shared" si="233"/>
        <v>0</v>
      </c>
      <c r="BQ200" s="171">
        <f t="shared" si="234"/>
        <v>0</v>
      </c>
      <c r="BR200" s="170">
        <f t="shared" si="211"/>
        <v>0</v>
      </c>
      <c r="BS200" s="168">
        <f t="shared" si="235"/>
        <v>0</v>
      </c>
      <c r="BT200" s="171">
        <f t="shared" si="236"/>
        <v>0</v>
      </c>
      <c r="BU200" s="170">
        <f t="shared" si="212"/>
        <v>0</v>
      </c>
      <c r="BV200" s="168">
        <f t="shared" si="237"/>
        <v>0</v>
      </c>
      <c r="BW200" s="171">
        <f t="shared" si="238"/>
        <v>0</v>
      </c>
      <c r="BX200" s="170">
        <f t="shared" si="213"/>
        <v>0</v>
      </c>
      <c r="BY200" s="168">
        <f t="shared" si="239"/>
        <v>0</v>
      </c>
      <c r="BZ200" s="171">
        <f t="shared" si="240"/>
        <v>0</v>
      </c>
      <c r="CA200" s="170">
        <f t="shared" si="214"/>
        <v>0</v>
      </c>
      <c r="CB200" s="90">
        <f t="shared" si="241"/>
        <v>0</v>
      </c>
      <c r="CC200" s="171">
        <f t="shared" si="242"/>
        <v>0</v>
      </c>
      <c r="CD200" s="170">
        <f t="shared" si="215"/>
        <v>0</v>
      </c>
      <c r="CE200" s="90">
        <f t="shared" si="243"/>
        <v>0</v>
      </c>
      <c r="CF200" s="171">
        <f t="shared" si="244"/>
        <v>0</v>
      </c>
      <c r="CG200" s="170">
        <f t="shared" si="216"/>
        <v>0</v>
      </c>
      <c r="CH200" s="90">
        <f t="shared" si="245"/>
        <v>0</v>
      </c>
      <c r="CI200" s="171">
        <f t="shared" si="246"/>
        <v>0</v>
      </c>
      <c r="CJ200" s="170">
        <f t="shared" si="217"/>
        <v>0</v>
      </c>
      <c r="CK200" s="90">
        <f t="shared" si="247"/>
        <v>0</v>
      </c>
      <c r="CL200" s="171">
        <f t="shared" si="248"/>
        <v>0</v>
      </c>
      <c r="CM200" s="170">
        <f t="shared" si="218"/>
        <v>0</v>
      </c>
      <c r="CN200" s="90">
        <f t="shared" si="249"/>
        <v>0</v>
      </c>
      <c r="CO200" s="171">
        <f t="shared" si="250"/>
        <v>0</v>
      </c>
      <c r="CP200" s="170">
        <f t="shared" si="219"/>
        <v>0</v>
      </c>
      <c r="CQ200" s="90">
        <f t="shared" si="251"/>
        <v>0</v>
      </c>
      <c r="CR200" s="171">
        <f t="shared" si="252"/>
        <v>0</v>
      </c>
      <c r="CS200" s="170">
        <f t="shared" si="220"/>
        <v>0</v>
      </c>
      <c r="CT200" s="90">
        <f t="shared" si="253"/>
        <v>0</v>
      </c>
      <c r="CU200" s="171">
        <f t="shared" si="254"/>
        <v>0</v>
      </c>
      <c r="CV200" s="170">
        <f t="shared" si="221"/>
        <v>0</v>
      </c>
      <c r="CW200" s="90">
        <f t="shared" si="255"/>
        <v>0</v>
      </c>
      <c r="CX200" s="171">
        <f t="shared" si="256"/>
        <v>0</v>
      </c>
      <c r="CY200" s="170">
        <f t="shared" si="222"/>
        <v>0</v>
      </c>
      <c r="CZ200" s="168">
        <f t="shared" si="223"/>
        <v>0</v>
      </c>
      <c r="DA200" s="172">
        <f t="shared" si="225"/>
        <v>0</v>
      </c>
      <c r="DB200" s="173">
        <f t="shared" si="226"/>
        <v>0</v>
      </c>
      <c r="DC200" s="172">
        <f t="shared" si="261"/>
        <v>0</v>
      </c>
      <c r="DD200" s="172">
        <f t="shared" si="261"/>
        <v>0</v>
      </c>
      <c r="DE200" s="172">
        <f t="shared" si="261"/>
        <v>0</v>
      </c>
      <c r="DF200" s="172">
        <f>IF(DA200-(DE199+CZ200)&lt;0,0,DA200-(DE199+CZ200))</f>
        <v>0</v>
      </c>
      <c r="DG200" s="136"/>
      <c r="DH200" s="136"/>
      <c r="DI200" s="3"/>
      <c r="DJ200" s="331" t="s">
        <v>360</v>
      </c>
      <c r="DK200" s="332" t="s">
        <v>361</v>
      </c>
      <c r="DL200" s="333">
        <f>40/7</f>
        <v>5.7142857142857144</v>
      </c>
      <c r="DM200" s="8"/>
      <c r="DN200" s="340" t="s">
        <v>362</v>
      </c>
      <c r="DO200" s="346">
        <v>0.7</v>
      </c>
      <c r="DP200" s="8"/>
      <c r="DQ200" s="3"/>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row>
    <row r="201" spans="1:155" s="566" customFormat="1" ht="15" customHeight="1">
      <c r="A201" s="197"/>
      <c r="B201" s="344" t="s">
        <v>363</v>
      </c>
      <c r="C201" s="231"/>
      <c r="D201" s="345" t="s">
        <v>356</v>
      </c>
      <c r="E201" s="345" t="str">
        <f>IFERROR(VLOOKUP(D201,$DJ$194:$DK$200,2,FALSE),"")</f>
        <v>30mm/m2/week</v>
      </c>
      <c r="F201" s="692" t="s">
        <v>354</v>
      </c>
      <c r="G201" s="693"/>
      <c r="H201" s="345" t="s">
        <v>378</v>
      </c>
      <c r="I201" s="692" t="s">
        <v>326</v>
      </c>
      <c r="J201" s="693"/>
      <c r="K201" s="345"/>
      <c r="L201" s="345">
        <f>AM217</f>
        <v>0</v>
      </c>
      <c r="M201" s="335"/>
      <c r="N201" s="14"/>
      <c r="O201" s="14"/>
      <c r="P201" s="14"/>
      <c r="Q201" s="14"/>
      <c r="R201" s="14"/>
      <c r="S201" s="347" t="s">
        <v>197</v>
      </c>
      <c r="T201" s="347"/>
      <c r="U201" s="347"/>
      <c r="V201" s="347"/>
      <c r="W201" s="347"/>
      <c r="X201" s="347"/>
      <c r="Y201" s="347"/>
      <c r="Z201" s="347"/>
      <c r="AA201" s="347"/>
      <c r="AB201" s="347"/>
      <c r="AC201" s="347"/>
      <c r="AD201" s="347"/>
      <c r="AE201" s="347"/>
      <c r="AF201" s="347"/>
      <c r="AG201" s="347"/>
      <c r="AH201" s="14"/>
      <c r="AI201" s="348" t="s">
        <v>36</v>
      </c>
      <c r="AJ201" s="348"/>
      <c r="AK201" s="348"/>
      <c r="AL201" s="348"/>
      <c r="AM201" s="348"/>
      <c r="AN201" s="348"/>
      <c r="AO201" s="14"/>
      <c r="AP201" s="14"/>
      <c r="AQ201" s="14"/>
      <c r="AR201" s="14"/>
      <c r="AS201" s="14"/>
      <c r="AT201" s="14"/>
      <c r="AU201" s="14"/>
      <c r="AV201" s="14"/>
      <c r="AW201" s="14"/>
      <c r="AX201" s="14"/>
      <c r="AY201" s="14"/>
      <c r="AZ201" s="14"/>
      <c r="BA201" s="14"/>
      <c r="BB201" s="14"/>
      <c r="BC201" s="14"/>
      <c r="BD201" s="27"/>
      <c r="BE201" s="165" t="s">
        <v>17</v>
      </c>
      <c r="BF201" s="23">
        <v>22</v>
      </c>
      <c r="BG201" s="23">
        <v>1</v>
      </c>
      <c r="BH201" s="23">
        <v>4</v>
      </c>
      <c r="BI201" s="90" t="b">
        <f t="shared" si="224"/>
        <v>1</v>
      </c>
      <c r="BJ201" s="46" t="b">
        <f t="shared" ref="BJ201:BJ231" si="262">MOD(BG201,$BP$7)=0</f>
        <v>0</v>
      </c>
      <c r="BK201" s="166">
        <f t="shared" ref="BK201:BK231" si="263">IF(BJ201,BP$8,0)</f>
        <v>0</v>
      </c>
      <c r="BL201" s="167">
        <f>BK201</f>
        <v>0</v>
      </c>
      <c r="BM201" s="23">
        <f t="shared" si="209"/>
        <v>0</v>
      </c>
      <c r="BN201" s="90">
        <f t="shared" si="210"/>
        <v>0</v>
      </c>
      <c r="BO201" s="24">
        <f t="shared" si="229"/>
        <v>0</v>
      </c>
      <c r="BP201" s="349">
        <f t="shared" ref="BP201:BP231" si="264">$Q$340/$BF$201*BR$16*$BI201</f>
        <v>0</v>
      </c>
      <c r="BQ201" s="171">
        <f t="shared" ref="BQ201:BQ231" si="265">AQ$375/$BF201*$BI201</f>
        <v>0</v>
      </c>
      <c r="BR201" s="170">
        <f t="shared" si="211"/>
        <v>0</v>
      </c>
      <c r="BS201" s="168">
        <f t="shared" ref="BS201:BS231" si="266">$R$340/$BF201*BU$16*$BI201</f>
        <v>0</v>
      </c>
      <c r="BT201" s="171">
        <f t="shared" ref="BT201:BT231" si="267">AR$375/$BF201*$BI201</f>
        <v>0</v>
      </c>
      <c r="BU201" s="170">
        <f t="shared" si="212"/>
        <v>0</v>
      </c>
      <c r="BV201" s="168">
        <f t="shared" ref="BV201:BV231" si="268">$S$340/$BF201*BX$16*$BI201</f>
        <v>0</v>
      </c>
      <c r="BW201" s="171">
        <f t="shared" ref="BW201:BW231" si="269">AS$375/$BF201*$BI201</f>
        <v>0</v>
      </c>
      <c r="BX201" s="170">
        <f t="shared" si="213"/>
        <v>0</v>
      </c>
      <c r="BY201" s="168">
        <f t="shared" ref="BY201:BY231" si="270">$T$340/$BF201*CA$16*$BI201</f>
        <v>0</v>
      </c>
      <c r="BZ201" s="171">
        <f t="shared" ref="BZ201:BZ231" si="271">AT$375/$BF201*$BI201</f>
        <v>0</v>
      </c>
      <c r="CA201" s="170">
        <f t="shared" si="214"/>
        <v>0</v>
      </c>
      <c r="CB201" s="90">
        <f t="shared" ref="CB201:CB231" si="272">$W$340/BF201*BI201*$C$419</f>
        <v>0</v>
      </c>
      <c r="CC201" s="171">
        <f t="shared" ref="CC201:CC231" si="273">AU$375/$BF201*$BI201</f>
        <v>0</v>
      </c>
      <c r="CD201" s="170">
        <f t="shared" si="215"/>
        <v>0</v>
      </c>
      <c r="CE201" s="90">
        <f t="shared" ref="CE201:CE231" si="274">$X$340/BF201*BI201*$C$420</f>
        <v>0</v>
      </c>
      <c r="CF201" s="171">
        <f t="shared" ref="CF201:CF231" si="275">AV$375/$BF201*$BI201</f>
        <v>0</v>
      </c>
      <c r="CG201" s="170">
        <f t="shared" si="216"/>
        <v>0</v>
      </c>
      <c r="CH201" s="90">
        <f t="shared" ref="CH201:CH231" si="276">$Y$340/BF201*BI201*$C$421</f>
        <v>0</v>
      </c>
      <c r="CI201" s="171">
        <f t="shared" ref="CI201:CI231" si="277">AW$375/$BF201*$BI201</f>
        <v>0</v>
      </c>
      <c r="CJ201" s="170">
        <f t="shared" si="217"/>
        <v>0</v>
      </c>
      <c r="CK201" s="90">
        <f t="shared" ref="CK201:CK231" si="278">$Z$340/BF201*BI201*$CM$16</f>
        <v>0</v>
      </c>
      <c r="CL201" s="171">
        <f t="shared" ref="CL201:CL231" si="279">AX$375/$BF201*$BI201</f>
        <v>0</v>
      </c>
      <c r="CM201" s="170">
        <f t="shared" si="218"/>
        <v>0</v>
      </c>
      <c r="CN201" s="90">
        <f t="shared" ref="CN201:CN231" si="280">$AA$340/BF201*BI201*$CP$16</f>
        <v>0</v>
      </c>
      <c r="CO201" s="171">
        <f t="shared" ref="CO201:CO231" si="281">$AY$375/$BF201*$BI201</f>
        <v>0</v>
      </c>
      <c r="CP201" s="170">
        <f t="shared" si="219"/>
        <v>0</v>
      </c>
      <c r="CQ201" s="90">
        <f t="shared" ref="CQ201:CQ231" si="282">$AB$340/BF201*BI201*$CS$16</f>
        <v>0</v>
      </c>
      <c r="CR201" s="171">
        <f t="shared" ref="CR201:CR231" si="283">AZ$375/$BF201*$BI201</f>
        <v>0</v>
      </c>
      <c r="CS201" s="170">
        <f t="shared" si="220"/>
        <v>0</v>
      </c>
      <c r="CT201" s="90">
        <f t="shared" ref="CT201:CT231" si="284">$AC$340/BF201*BI201*$CV$16</f>
        <v>0</v>
      </c>
      <c r="CU201" s="171">
        <f t="shared" ref="CU201:CU231" si="285">BA$375/$BF201*$BI201</f>
        <v>0</v>
      </c>
      <c r="CV201" s="170">
        <f t="shared" si="221"/>
        <v>0</v>
      </c>
      <c r="CW201" s="90">
        <f t="shared" ref="CW201:CW231" si="286">$AD$340/BF201*BI201*$CY$16</f>
        <v>0</v>
      </c>
      <c r="CX201" s="171">
        <f t="shared" ref="CX201:CX231" si="287">BB$375/$BF201*$BI201</f>
        <v>0</v>
      </c>
      <c r="CY201" s="170">
        <f t="shared" si="222"/>
        <v>0</v>
      </c>
      <c r="CZ201" s="168">
        <f t="shared" si="223"/>
        <v>0</v>
      </c>
      <c r="DA201" s="172">
        <f t="shared" si="225"/>
        <v>0</v>
      </c>
      <c r="DB201" s="173">
        <f t="shared" si="226"/>
        <v>0</v>
      </c>
      <c r="DC201" s="172">
        <f t="shared" si="261"/>
        <v>0</v>
      </c>
      <c r="DD201" s="172">
        <f t="shared" si="261"/>
        <v>0</v>
      </c>
      <c r="DE201" s="172">
        <f t="shared" si="261"/>
        <v>0</v>
      </c>
      <c r="DF201" s="172">
        <f>IF(DA201-(DE200+CZ201)&lt;0,0,DA201-(DE200+CZ201))</f>
        <v>0</v>
      </c>
      <c r="DG201" s="136"/>
      <c r="DH201" s="136"/>
      <c r="DI201" s="3"/>
      <c r="DJ201" s="8"/>
      <c r="DK201" s="8"/>
      <c r="DL201" s="8"/>
      <c r="DM201" s="8"/>
      <c r="DN201" s="340" t="s">
        <v>364</v>
      </c>
      <c r="DO201" s="346">
        <v>0.6</v>
      </c>
      <c r="DP201" s="8"/>
      <c r="DQ201" s="3"/>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row>
    <row r="202" spans="1:155" s="566" customFormat="1" ht="15" customHeight="1">
      <c r="A202" s="197"/>
      <c r="B202" s="350" t="s">
        <v>365</v>
      </c>
      <c r="C202" s="324">
        <f>SUM(C197:C201)</f>
        <v>0</v>
      </c>
      <c r="D202" s="351"/>
      <c r="E202" s="70"/>
      <c r="F202" s="70"/>
      <c r="G202" s="70"/>
      <c r="H202" s="70"/>
      <c r="I202" s="180"/>
      <c r="J202" s="27"/>
      <c r="K202" s="70"/>
      <c r="L202" s="273">
        <f>SUM(L197:L201)</f>
        <v>0</v>
      </c>
      <c r="M202" s="3"/>
      <c r="N202" s="14"/>
      <c r="O202" s="14"/>
      <c r="P202" s="14"/>
      <c r="Q202" s="14"/>
      <c r="R202" s="14"/>
      <c r="S202" s="352" t="str">
        <f>O195</f>
        <v>Landscape 1</v>
      </c>
      <c r="T202" s="353">
        <f>P195</f>
        <v>0</v>
      </c>
      <c r="U202" s="354" t="s">
        <v>274</v>
      </c>
      <c r="V202" s="355" t="str">
        <f>B198</f>
        <v>Landscape 2</v>
      </c>
      <c r="W202" s="356">
        <f>C198</f>
        <v>0</v>
      </c>
      <c r="X202" s="357" t="s">
        <v>274</v>
      </c>
      <c r="Y202" s="355" t="str">
        <f>B199</f>
        <v>Landscape 3</v>
      </c>
      <c r="Z202" s="356">
        <f>C199</f>
        <v>0</v>
      </c>
      <c r="AA202" s="357" t="s">
        <v>274</v>
      </c>
      <c r="AB202" s="355" t="str">
        <f>B200</f>
        <v>Landscape 4</v>
      </c>
      <c r="AC202" s="356">
        <f>C200</f>
        <v>0</v>
      </c>
      <c r="AD202" s="357" t="s">
        <v>274</v>
      </c>
      <c r="AE202" s="355" t="str">
        <f>B201</f>
        <v>Landscape 5</v>
      </c>
      <c r="AF202" s="356">
        <f>C201</f>
        <v>0</v>
      </c>
      <c r="AG202" s="357" t="s">
        <v>274</v>
      </c>
      <c r="AH202" s="14"/>
      <c r="AI202" s="358" t="str">
        <f>S202</f>
        <v>Landscape 1</v>
      </c>
      <c r="AJ202" s="358" t="str">
        <f>V202</f>
        <v>Landscape 2</v>
      </c>
      <c r="AK202" s="358" t="str">
        <f>Y202</f>
        <v>Landscape 3</v>
      </c>
      <c r="AL202" s="358" t="str">
        <f>AB202</f>
        <v>Landscape 4</v>
      </c>
      <c r="AM202" s="358" t="str">
        <f>AE202</f>
        <v>Landscape 5</v>
      </c>
      <c r="AN202" s="358"/>
      <c r="AO202" s="14"/>
      <c r="AP202" s="14"/>
      <c r="AQ202" s="14"/>
      <c r="AR202" s="14"/>
      <c r="AS202" s="14"/>
      <c r="AT202" s="14"/>
      <c r="AU202" s="14"/>
      <c r="AV202" s="14"/>
      <c r="AW202" s="14"/>
      <c r="AX202" s="14"/>
      <c r="AY202" s="14"/>
      <c r="AZ202" s="14"/>
      <c r="BA202" s="14"/>
      <c r="BB202" s="14"/>
      <c r="BC202" s="14"/>
      <c r="BD202" s="27"/>
      <c r="BE202" s="165" t="s">
        <v>17</v>
      </c>
      <c r="BF202" s="23">
        <v>22</v>
      </c>
      <c r="BG202" s="23">
        <v>2</v>
      </c>
      <c r="BH202" s="23">
        <v>5</v>
      </c>
      <c r="BI202" s="90" t="b">
        <f t="shared" si="224"/>
        <v>1</v>
      </c>
      <c r="BJ202" s="46" t="b">
        <f t="shared" si="262"/>
        <v>0</v>
      </c>
      <c r="BK202" s="166">
        <f t="shared" si="263"/>
        <v>0</v>
      </c>
      <c r="BL202" s="175">
        <f>IF(SUM(BL$201:BL201,BK202)&gt;$BP$4,0,BK202)</f>
        <v>0</v>
      </c>
      <c r="BM202" s="23">
        <f t="shared" si="209"/>
        <v>0</v>
      </c>
      <c r="BN202" s="90">
        <f t="shared" si="210"/>
        <v>0</v>
      </c>
      <c r="BO202" s="24">
        <f t="shared" si="229"/>
        <v>0</v>
      </c>
      <c r="BP202" s="349">
        <f t="shared" si="264"/>
        <v>0</v>
      </c>
      <c r="BQ202" s="171">
        <f t="shared" si="265"/>
        <v>0</v>
      </c>
      <c r="BR202" s="170">
        <f t="shared" si="211"/>
        <v>0</v>
      </c>
      <c r="BS202" s="168">
        <f t="shared" si="266"/>
        <v>0</v>
      </c>
      <c r="BT202" s="171">
        <f t="shared" si="267"/>
        <v>0</v>
      </c>
      <c r="BU202" s="170">
        <f t="shared" si="212"/>
        <v>0</v>
      </c>
      <c r="BV202" s="168">
        <f t="shared" si="268"/>
        <v>0</v>
      </c>
      <c r="BW202" s="171">
        <f t="shared" si="269"/>
        <v>0</v>
      </c>
      <c r="BX202" s="170">
        <f t="shared" si="213"/>
        <v>0</v>
      </c>
      <c r="BY202" s="168">
        <f t="shared" si="270"/>
        <v>0</v>
      </c>
      <c r="BZ202" s="171">
        <f t="shared" si="271"/>
        <v>0</v>
      </c>
      <c r="CA202" s="170">
        <f t="shared" si="214"/>
        <v>0</v>
      </c>
      <c r="CB202" s="90">
        <f t="shared" si="272"/>
        <v>0</v>
      </c>
      <c r="CC202" s="171">
        <f t="shared" si="273"/>
        <v>0</v>
      </c>
      <c r="CD202" s="170">
        <f t="shared" si="215"/>
        <v>0</v>
      </c>
      <c r="CE202" s="90">
        <f t="shared" si="274"/>
        <v>0</v>
      </c>
      <c r="CF202" s="171">
        <f t="shared" si="275"/>
        <v>0</v>
      </c>
      <c r="CG202" s="170">
        <f t="shared" si="216"/>
        <v>0</v>
      </c>
      <c r="CH202" s="90">
        <f t="shared" si="276"/>
        <v>0</v>
      </c>
      <c r="CI202" s="171">
        <f t="shared" si="277"/>
        <v>0</v>
      </c>
      <c r="CJ202" s="170">
        <f t="shared" si="217"/>
        <v>0</v>
      </c>
      <c r="CK202" s="90">
        <f t="shared" si="278"/>
        <v>0</v>
      </c>
      <c r="CL202" s="171">
        <f t="shared" si="279"/>
        <v>0</v>
      </c>
      <c r="CM202" s="170">
        <f t="shared" si="218"/>
        <v>0</v>
      </c>
      <c r="CN202" s="90">
        <f t="shared" si="280"/>
        <v>0</v>
      </c>
      <c r="CO202" s="171">
        <f t="shared" si="281"/>
        <v>0</v>
      </c>
      <c r="CP202" s="170">
        <f t="shared" si="219"/>
        <v>0</v>
      </c>
      <c r="CQ202" s="90">
        <f t="shared" si="282"/>
        <v>0</v>
      </c>
      <c r="CR202" s="171">
        <f t="shared" si="283"/>
        <v>0</v>
      </c>
      <c r="CS202" s="170">
        <f t="shared" si="220"/>
        <v>0</v>
      </c>
      <c r="CT202" s="90">
        <f t="shared" si="284"/>
        <v>0</v>
      </c>
      <c r="CU202" s="171">
        <f t="shared" si="285"/>
        <v>0</v>
      </c>
      <c r="CV202" s="170">
        <f t="shared" si="221"/>
        <v>0</v>
      </c>
      <c r="CW202" s="90">
        <f t="shared" si="286"/>
        <v>0</v>
      </c>
      <c r="CX202" s="171">
        <f t="shared" si="287"/>
        <v>0</v>
      </c>
      <c r="CY202" s="170">
        <f t="shared" si="222"/>
        <v>0</v>
      </c>
      <c r="CZ202" s="168">
        <f t="shared" si="223"/>
        <v>0</v>
      </c>
      <c r="DA202" s="172">
        <f t="shared" si="225"/>
        <v>0</v>
      </c>
      <c r="DB202" s="173">
        <f t="shared" si="226"/>
        <v>0</v>
      </c>
      <c r="DC202" s="172">
        <f t="shared" si="261"/>
        <v>0</v>
      </c>
      <c r="DD202" s="172">
        <f t="shared" si="261"/>
        <v>0</v>
      </c>
      <c r="DE202" s="172">
        <f t="shared" si="261"/>
        <v>0</v>
      </c>
      <c r="DF202" s="172">
        <f t="shared" si="228"/>
        <v>0</v>
      </c>
      <c r="DG202" s="136"/>
      <c r="DH202" s="136"/>
      <c r="DI202" s="3"/>
      <c r="DJ202" s="359" t="s">
        <v>322</v>
      </c>
      <c r="DK202" s="359"/>
      <c r="DL202" s="8"/>
      <c r="DM202" s="8"/>
      <c r="DN202" s="340" t="s">
        <v>366</v>
      </c>
      <c r="DO202" s="346">
        <v>0.65</v>
      </c>
      <c r="DP202" s="8"/>
      <c r="DQ202" s="3"/>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row>
    <row r="203" spans="1:155" s="566" customFormat="1" ht="15" customHeight="1">
      <c r="A203" s="197"/>
      <c r="B203" s="70"/>
      <c r="C203" s="70"/>
      <c r="D203" s="70"/>
      <c r="E203" s="180"/>
      <c r="F203" s="180"/>
      <c r="G203" s="180"/>
      <c r="H203" s="180"/>
      <c r="I203" s="180"/>
      <c r="J203" s="180"/>
      <c r="K203" s="180"/>
      <c r="L203" s="70"/>
      <c r="M203" s="70"/>
      <c r="N203" s="14"/>
      <c r="O203" s="14"/>
      <c r="P203" s="643" t="s">
        <v>78</v>
      </c>
      <c r="Q203" s="643" t="s">
        <v>367</v>
      </c>
      <c r="R203" s="643" t="s">
        <v>368</v>
      </c>
      <c r="S203" s="643" t="s">
        <v>369</v>
      </c>
      <c r="T203" s="643" t="s">
        <v>370</v>
      </c>
      <c r="U203" s="643" t="s">
        <v>371</v>
      </c>
      <c r="V203" s="643" t="s">
        <v>369</v>
      </c>
      <c r="W203" s="643" t="s">
        <v>370</v>
      </c>
      <c r="X203" s="643" t="s">
        <v>371</v>
      </c>
      <c r="Y203" s="691" t="s">
        <v>369</v>
      </c>
      <c r="Z203" s="691" t="s">
        <v>370</v>
      </c>
      <c r="AA203" s="691" t="s">
        <v>371</v>
      </c>
      <c r="AB203" s="691" t="s">
        <v>369</v>
      </c>
      <c r="AC203" s="691" t="s">
        <v>370</v>
      </c>
      <c r="AD203" s="691" t="s">
        <v>371</v>
      </c>
      <c r="AE203" s="691" t="s">
        <v>369</v>
      </c>
      <c r="AF203" s="691" t="s">
        <v>370</v>
      </c>
      <c r="AG203" s="691" t="s">
        <v>371</v>
      </c>
      <c r="AH203" s="643" t="s">
        <v>372</v>
      </c>
      <c r="AI203" s="686" t="s">
        <v>373</v>
      </c>
      <c r="AJ203" s="686" t="s">
        <v>373</v>
      </c>
      <c r="AK203" s="686" t="s">
        <v>373</v>
      </c>
      <c r="AL203" s="686" t="s">
        <v>373</v>
      </c>
      <c r="AM203" s="686" t="s">
        <v>373</v>
      </c>
      <c r="AN203" s="643" t="s">
        <v>372</v>
      </c>
      <c r="AO203" s="14"/>
      <c r="AP203" s="14"/>
      <c r="AQ203" s="14"/>
      <c r="AR203" s="14"/>
      <c r="AS203" s="14"/>
      <c r="AT203" s="14"/>
      <c r="AU203" s="14"/>
      <c r="AV203" s="14"/>
      <c r="AW203" s="14"/>
      <c r="AX203" s="14"/>
      <c r="AY203" s="14"/>
      <c r="AZ203" s="14"/>
      <c r="BA203" s="14"/>
      <c r="BB203" s="14"/>
      <c r="BC203" s="14"/>
      <c r="BD203" s="27"/>
      <c r="BE203" s="165" t="s">
        <v>17</v>
      </c>
      <c r="BF203" s="23">
        <v>22</v>
      </c>
      <c r="BG203" s="23">
        <v>3</v>
      </c>
      <c r="BH203" s="23">
        <v>6</v>
      </c>
      <c r="BI203" s="90" t="b">
        <f t="shared" si="224"/>
        <v>0</v>
      </c>
      <c r="BJ203" s="46" t="b">
        <f t="shared" si="262"/>
        <v>0</v>
      </c>
      <c r="BK203" s="166">
        <f t="shared" si="263"/>
        <v>0</v>
      </c>
      <c r="BL203" s="175">
        <f>IF(SUM(BL$201:BL202,BK203)&gt;$BP$4,0,BK203)</f>
        <v>0</v>
      </c>
      <c r="BM203" s="23">
        <f t="shared" si="209"/>
        <v>0</v>
      </c>
      <c r="BN203" s="90">
        <f t="shared" si="210"/>
        <v>0</v>
      </c>
      <c r="BO203" s="24">
        <f t="shared" si="229"/>
        <v>0</v>
      </c>
      <c r="BP203" s="349">
        <f t="shared" si="264"/>
        <v>0</v>
      </c>
      <c r="BQ203" s="171">
        <f t="shared" si="265"/>
        <v>0</v>
      </c>
      <c r="BR203" s="170">
        <f t="shared" si="211"/>
        <v>0</v>
      </c>
      <c r="BS203" s="168">
        <f t="shared" si="266"/>
        <v>0</v>
      </c>
      <c r="BT203" s="171">
        <f t="shared" si="267"/>
        <v>0</v>
      </c>
      <c r="BU203" s="170">
        <f t="shared" si="212"/>
        <v>0</v>
      </c>
      <c r="BV203" s="168">
        <f t="shared" si="268"/>
        <v>0</v>
      </c>
      <c r="BW203" s="171">
        <f t="shared" si="269"/>
        <v>0</v>
      </c>
      <c r="BX203" s="170">
        <f t="shared" si="213"/>
        <v>0</v>
      </c>
      <c r="BY203" s="168">
        <f t="shared" si="270"/>
        <v>0</v>
      </c>
      <c r="BZ203" s="171">
        <f t="shared" si="271"/>
        <v>0</v>
      </c>
      <c r="CA203" s="170">
        <f t="shared" si="214"/>
        <v>0</v>
      </c>
      <c r="CB203" s="90">
        <f t="shared" si="272"/>
        <v>0</v>
      </c>
      <c r="CC203" s="171">
        <f t="shared" si="273"/>
        <v>0</v>
      </c>
      <c r="CD203" s="170">
        <f t="shared" si="215"/>
        <v>0</v>
      </c>
      <c r="CE203" s="90">
        <f t="shared" si="274"/>
        <v>0</v>
      </c>
      <c r="CF203" s="171">
        <f t="shared" si="275"/>
        <v>0</v>
      </c>
      <c r="CG203" s="170">
        <f t="shared" si="216"/>
        <v>0</v>
      </c>
      <c r="CH203" s="90">
        <f t="shared" si="276"/>
        <v>0</v>
      </c>
      <c r="CI203" s="171">
        <f t="shared" si="277"/>
        <v>0</v>
      </c>
      <c r="CJ203" s="170">
        <f t="shared" si="217"/>
        <v>0</v>
      </c>
      <c r="CK203" s="90">
        <f t="shared" si="278"/>
        <v>0</v>
      </c>
      <c r="CL203" s="171">
        <f t="shared" si="279"/>
        <v>0</v>
      </c>
      <c r="CM203" s="170">
        <f t="shared" si="218"/>
        <v>0</v>
      </c>
      <c r="CN203" s="90">
        <f t="shared" si="280"/>
        <v>0</v>
      </c>
      <c r="CO203" s="171">
        <f t="shared" si="281"/>
        <v>0</v>
      </c>
      <c r="CP203" s="170">
        <f t="shared" si="219"/>
        <v>0</v>
      </c>
      <c r="CQ203" s="90">
        <f t="shared" si="282"/>
        <v>0</v>
      </c>
      <c r="CR203" s="171">
        <f t="shared" si="283"/>
        <v>0</v>
      </c>
      <c r="CS203" s="170">
        <f t="shared" si="220"/>
        <v>0</v>
      </c>
      <c r="CT203" s="90">
        <f t="shared" si="284"/>
        <v>0</v>
      </c>
      <c r="CU203" s="171">
        <f t="shared" si="285"/>
        <v>0</v>
      </c>
      <c r="CV203" s="170">
        <f t="shared" si="221"/>
        <v>0</v>
      </c>
      <c r="CW203" s="90">
        <f t="shared" si="286"/>
        <v>0</v>
      </c>
      <c r="CX203" s="171">
        <f t="shared" si="287"/>
        <v>0</v>
      </c>
      <c r="CY203" s="170">
        <f t="shared" si="222"/>
        <v>0</v>
      </c>
      <c r="CZ203" s="168">
        <f t="shared" si="223"/>
        <v>0</v>
      </c>
      <c r="DA203" s="172">
        <f t="shared" si="225"/>
        <v>0</v>
      </c>
      <c r="DB203" s="173">
        <f t="shared" si="226"/>
        <v>0</v>
      </c>
      <c r="DC203" s="172">
        <f t="shared" si="261"/>
        <v>0</v>
      </c>
      <c r="DD203" s="172">
        <f t="shared" si="261"/>
        <v>0</v>
      </c>
      <c r="DE203" s="172">
        <f t="shared" si="261"/>
        <v>0</v>
      </c>
      <c r="DF203" s="172">
        <f t="shared" si="228"/>
        <v>0</v>
      </c>
      <c r="DG203" s="136"/>
      <c r="DH203" s="136"/>
      <c r="DI203" s="3"/>
      <c r="DJ203" s="340" t="s">
        <v>84</v>
      </c>
      <c r="DK203" s="360">
        <v>0</v>
      </c>
      <c r="DL203" s="8"/>
      <c r="DM203" s="8"/>
      <c r="DN203" s="340" t="s">
        <v>374</v>
      </c>
      <c r="DO203" s="346">
        <v>0.8</v>
      </c>
      <c r="DP203" s="8"/>
      <c r="DQ203" s="3"/>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row>
    <row r="204" spans="1:155" s="566" customFormat="1" ht="15" customHeight="1">
      <c r="A204" s="197"/>
      <c r="B204" s="272" t="s">
        <v>375</v>
      </c>
      <c r="C204" s="222"/>
      <c r="D204" s="222"/>
      <c r="E204" s="222"/>
      <c r="F204" s="222"/>
      <c r="G204" s="222"/>
      <c r="H204" s="222"/>
      <c r="I204" s="27"/>
      <c r="J204" s="27"/>
      <c r="K204" s="27"/>
      <c r="L204" s="3"/>
      <c r="M204" s="3"/>
      <c r="N204" s="14"/>
      <c r="O204" s="14"/>
      <c r="P204" s="686"/>
      <c r="Q204" s="643"/>
      <c r="R204" s="643"/>
      <c r="S204" s="643"/>
      <c r="T204" s="643"/>
      <c r="U204" s="643"/>
      <c r="V204" s="643"/>
      <c r="W204" s="643"/>
      <c r="X204" s="643"/>
      <c r="Y204" s="643"/>
      <c r="Z204" s="643"/>
      <c r="AA204" s="643"/>
      <c r="AB204" s="643"/>
      <c r="AC204" s="643"/>
      <c r="AD204" s="643"/>
      <c r="AE204" s="643"/>
      <c r="AF204" s="643"/>
      <c r="AG204" s="643"/>
      <c r="AH204" s="643"/>
      <c r="AI204" s="686"/>
      <c r="AJ204" s="686"/>
      <c r="AK204" s="686"/>
      <c r="AL204" s="686"/>
      <c r="AM204" s="686"/>
      <c r="AN204" s="643"/>
      <c r="AO204" s="14"/>
      <c r="AP204" s="14"/>
      <c r="AQ204" s="14"/>
      <c r="AR204" s="14"/>
      <c r="AS204" s="14"/>
      <c r="AT204" s="14"/>
      <c r="AU204" s="14"/>
      <c r="AV204" s="14"/>
      <c r="AW204" s="14"/>
      <c r="AX204" s="14"/>
      <c r="AY204" s="14"/>
      <c r="AZ204" s="14"/>
      <c r="BA204" s="14"/>
      <c r="BB204" s="14"/>
      <c r="BC204" s="14"/>
      <c r="BD204" s="361"/>
      <c r="BE204" s="165" t="s">
        <v>17</v>
      </c>
      <c r="BF204" s="23">
        <v>22</v>
      </c>
      <c r="BG204" s="23">
        <v>4</v>
      </c>
      <c r="BH204" s="23">
        <v>7</v>
      </c>
      <c r="BI204" s="90" t="b">
        <f t="shared" si="224"/>
        <v>0</v>
      </c>
      <c r="BJ204" s="46" t="b">
        <f t="shared" si="262"/>
        <v>0</v>
      </c>
      <c r="BK204" s="166">
        <f t="shared" si="263"/>
        <v>0</v>
      </c>
      <c r="BL204" s="175">
        <f>IF(SUM(BL$201:BL203,BK204)&gt;$BP$4,0,BK204)</f>
        <v>0</v>
      </c>
      <c r="BM204" s="23">
        <f t="shared" si="209"/>
        <v>0</v>
      </c>
      <c r="BN204" s="90">
        <f t="shared" si="210"/>
        <v>0</v>
      </c>
      <c r="BO204" s="24">
        <f t="shared" si="229"/>
        <v>0</v>
      </c>
      <c r="BP204" s="349">
        <f t="shared" si="264"/>
        <v>0</v>
      </c>
      <c r="BQ204" s="171">
        <f t="shared" si="265"/>
        <v>0</v>
      </c>
      <c r="BR204" s="170">
        <f t="shared" si="211"/>
        <v>0</v>
      </c>
      <c r="BS204" s="168">
        <f t="shared" si="266"/>
        <v>0</v>
      </c>
      <c r="BT204" s="171">
        <f t="shared" si="267"/>
        <v>0</v>
      </c>
      <c r="BU204" s="170">
        <f t="shared" si="212"/>
        <v>0</v>
      </c>
      <c r="BV204" s="168">
        <f t="shared" si="268"/>
        <v>0</v>
      </c>
      <c r="BW204" s="171">
        <f t="shared" si="269"/>
        <v>0</v>
      </c>
      <c r="BX204" s="170">
        <f t="shared" si="213"/>
        <v>0</v>
      </c>
      <c r="BY204" s="168">
        <f t="shared" si="270"/>
        <v>0</v>
      </c>
      <c r="BZ204" s="171">
        <f t="shared" si="271"/>
        <v>0</v>
      </c>
      <c r="CA204" s="170">
        <f t="shared" si="214"/>
        <v>0</v>
      </c>
      <c r="CB204" s="90">
        <f t="shared" si="272"/>
        <v>0</v>
      </c>
      <c r="CC204" s="171">
        <f t="shared" si="273"/>
        <v>0</v>
      </c>
      <c r="CD204" s="170">
        <f t="shared" si="215"/>
        <v>0</v>
      </c>
      <c r="CE204" s="90">
        <f t="shared" si="274"/>
        <v>0</v>
      </c>
      <c r="CF204" s="171">
        <f t="shared" si="275"/>
        <v>0</v>
      </c>
      <c r="CG204" s="170">
        <f t="shared" si="216"/>
        <v>0</v>
      </c>
      <c r="CH204" s="90">
        <f t="shared" si="276"/>
        <v>0</v>
      </c>
      <c r="CI204" s="171">
        <f t="shared" si="277"/>
        <v>0</v>
      </c>
      <c r="CJ204" s="170">
        <f t="shared" si="217"/>
        <v>0</v>
      </c>
      <c r="CK204" s="90">
        <f t="shared" si="278"/>
        <v>0</v>
      </c>
      <c r="CL204" s="171">
        <f t="shared" si="279"/>
        <v>0</v>
      </c>
      <c r="CM204" s="170">
        <f t="shared" si="218"/>
        <v>0</v>
      </c>
      <c r="CN204" s="90">
        <f t="shared" si="280"/>
        <v>0</v>
      </c>
      <c r="CO204" s="171">
        <f t="shared" si="281"/>
        <v>0</v>
      </c>
      <c r="CP204" s="170">
        <f t="shared" si="219"/>
        <v>0</v>
      </c>
      <c r="CQ204" s="90">
        <f t="shared" si="282"/>
        <v>0</v>
      </c>
      <c r="CR204" s="171">
        <f t="shared" si="283"/>
        <v>0</v>
      </c>
      <c r="CS204" s="170">
        <f t="shared" si="220"/>
        <v>0</v>
      </c>
      <c r="CT204" s="90">
        <f t="shared" si="284"/>
        <v>0</v>
      </c>
      <c r="CU204" s="171">
        <f t="shared" si="285"/>
        <v>0</v>
      </c>
      <c r="CV204" s="170">
        <f t="shared" si="221"/>
        <v>0</v>
      </c>
      <c r="CW204" s="90">
        <f t="shared" si="286"/>
        <v>0</v>
      </c>
      <c r="CX204" s="171">
        <f t="shared" si="287"/>
        <v>0</v>
      </c>
      <c r="CY204" s="170">
        <f t="shared" si="222"/>
        <v>0</v>
      </c>
      <c r="CZ204" s="168">
        <f t="shared" si="223"/>
        <v>0</v>
      </c>
      <c r="DA204" s="172">
        <f t="shared" si="225"/>
        <v>0</v>
      </c>
      <c r="DB204" s="173">
        <f t="shared" si="226"/>
        <v>0</v>
      </c>
      <c r="DC204" s="172">
        <f t="shared" si="261"/>
        <v>0</v>
      </c>
      <c r="DD204" s="172">
        <f t="shared" si="261"/>
        <v>0</v>
      </c>
      <c r="DE204" s="172">
        <f t="shared" si="261"/>
        <v>0</v>
      </c>
      <c r="DF204" s="172">
        <f t="shared" si="228"/>
        <v>0</v>
      </c>
      <c r="DG204" s="136"/>
      <c r="DH204" s="136"/>
      <c r="DI204" s="3"/>
      <c r="DJ204" s="362" t="s">
        <v>376</v>
      </c>
      <c r="DK204" s="363">
        <v>1.3</v>
      </c>
      <c r="DL204" s="8"/>
      <c r="DM204" s="8"/>
      <c r="DN204" s="340" t="s">
        <v>377</v>
      </c>
      <c r="DO204" s="346">
        <v>0.85</v>
      </c>
      <c r="DP204" s="8"/>
      <c r="DQ204" s="3"/>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row>
    <row r="205" spans="1:155" s="566" customFormat="1" ht="15" customHeight="1">
      <c r="A205" s="197"/>
      <c r="B205" s="70"/>
      <c r="C205" s="3"/>
      <c r="D205" s="70"/>
      <c r="E205" s="180"/>
      <c r="F205" s="180"/>
      <c r="G205" s="180"/>
      <c r="H205" s="180"/>
      <c r="I205" s="180"/>
      <c r="J205" s="180"/>
      <c r="K205" s="180"/>
      <c r="L205" s="70"/>
      <c r="M205" s="70"/>
      <c r="N205" s="14"/>
      <c r="O205" s="234" t="s">
        <v>168</v>
      </c>
      <c r="P205" s="364">
        <v>31</v>
      </c>
      <c r="Q205" s="365">
        <f>'Potable Water Calculator'!D36</f>
        <v>125</v>
      </c>
      <c r="R205" s="366">
        <f>'Potable Water Calculator'!C207</f>
        <v>0.5</v>
      </c>
      <c r="S205" s="90">
        <f t="shared" ref="S205:S216" si="288">$S$195*$P205</f>
        <v>132.85714285714286</v>
      </c>
      <c r="T205" s="90">
        <f t="shared" ref="T205:T216" si="289">S205*$U$195+S205*$R205*$V$195+(S205-$Q205*$DO$195)*$W$195*(($Q205*$DO$195)&lt;S205)</f>
        <v>66.428571428571431</v>
      </c>
      <c r="U205" s="90">
        <f t="shared" ref="U205:U216" si="290">(T205*T$202)/(1000*$T$195)</f>
        <v>0</v>
      </c>
      <c r="V205" s="90">
        <f t="shared" ref="V205:V216" si="291">$S$196*$P205</f>
        <v>132.85714285714286</v>
      </c>
      <c r="W205" s="90">
        <f t="shared" ref="W205:W216" si="292">V205*$U$196+V205*$R205*$V$196+(V205-$Q205*$DO$195)*$W$196*(($Q205*$DO$195)&lt;V205)</f>
        <v>66.428571428571431</v>
      </c>
      <c r="X205" s="90">
        <f t="shared" ref="X205:X216" si="293">(W205*W$202)/(1000*$T$196)</f>
        <v>0</v>
      </c>
      <c r="Y205" s="90">
        <f t="shared" ref="Y205:Y216" si="294">$S$197*$P205</f>
        <v>132.85714285714286</v>
      </c>
      <c r="Z205" s="90">
        <f t="shared" ref="Z205:Z216" si="295">Y205*$U$197+Y205*$R205*$V$197+(Y205-$Q205*$DO$195)*$W$197*(($Q205*$DO$195)&lt;Y205)</f>
        <v>66.428571428571431</v>
      </c>
      <c r="AA205" s="90">
        <f t="shared" ref="AA205:AA216" si="296">(Z205*Z$202)/(1000*$T$197)</f>
        <v>0</v>
      </c>
      <c r="AB205" s="90">
        <f t="shared" ref="AB205:AB216" si="297">$S$198*$P205</f>
        <v>132.85714285714286</v>
      </c>
      <c r="AC205" s="90">
        <f t="shared" ref="AC205:AC216" si="298">AB205*$U$198+AB205*$R205*$V$198+(AB205-$Q205*$DO$195)*$W$198*(($Q205*$DO$195)&lt;AB205)</f>
        <v>66.428571428571431</v>
      </c>
      <c r="AD205" s="90">
        <f t="shared" ref="AD205:AD216" si="299">(AC205*AC$202)/(1000*$T$198)</f>
        <v>0</v>
      </c>
      <c r="AE205" s="90">
        <f t="shared" ref="AE205:AE216" si="300">$S$199*$P205</f>
        <v>132.85714285714286</v>
      </c>
      <c r="AF205" s="90">
        <f t="shared" ref="AF205:AF216" si="301">AE205*$U$199+AE205*$R205*$V$199+(AE205-$Q205*$DO$195)*$W$199*(($Q205*$DO$195)&lt;AE205)</f>
        <v>66.428571428571431</v>
      </c>
      <c r="AG205" s="90">
        <f t="shared" ref="AG205:AG216" si="302">(AF205*AF$202)/(1000*$T$199)</f>
        <v>0</v>
      </c>
      <c r="AH205" s="23">
        <f t="shared" ref="AH205:AH216" si="303">AG205+AD205+AA205+X205+U205</f>
        <v>0</v>
      </c>
      <c r="AI205" s="90">
        <f t="shared" ref="AI205:AI216" si="304">$AL$195*$P205/1000*$P$195*$R205/$AM$195</f>
        <v>0</v>
      </c>
      <c r="AJ205" s="90">
        <f t="shared" ref="AJ205:AJ216" si="305">$AL$195*$P205/1000*$P$196*$R205/$AM$195</f>
        <v>0</v>
      </c>
      <c r="AK205" s="90">
        <f t="shared" ref="AK205:AK216" si="306">$AL$195*$P205/1000*$P$197*$R205/$AM$195</f>
        <v>0</v>
      </c>
      <c r="AL205" s="90">
        <f t="shared" ref="AL205:AL216" si="307">$AL$195*$P205/1000*$P$198*$R205/$AM$195</f>
        <v>0</v>
      </c>
      <c r="AM205" s="90">
        <f t="shared" ref="AM205:AM216" si="308">$AL$195*$P205/1000*$P$199*$R205/$AM$195</f>
        <v>0</v>
      </c>
      <c r="AN205" s="90">
        <f t="shared" ref="AN205:AN216" si="309">SUM(AI205:AM205)</f>
        <v>0</v>
      </c>
      <c r="AO205" s="14"/>
      <c r="AP205" s="14"/>
      <c r="AQ205" s="14"/>
      <c r="AR205" s="14"/>
      <c r="AS205" s="14"/>
      <c r="AT205" s="14"/>
      <c r="AU205" s="14"/>
      <c r="AV205" s="14"/>
      <c r="AW205" s="14"/>
      <c r="AX205" s="14"/>
      <c r="AY205" s="14"/>
      <c r="AZ205" s="14"/>
      <c r="BA205" s="14"/>
      <c r="BB205" s="14"/>
      <c r="BC205" s="14"/>
      <c r="BD205" s="361"/>
      <c r="BE205" s="165" t="s">
        <v>17</v>
      </c>
      <c r="BF205" s="23">
        <v>22</v>
      </c>
      <c r="BG205" s="23">
        <v>5</v>
      </c>
      <c r="BH205" s="23">
        <v>1</v>
      </c>
      <c r="BI205" s="90" t="b">
        <f t="shared" si="224"/>
        <v>1</v>
      </c>
      <c r="BJ205" s="46" t="b">
        <f t="shared" si="262"/>
        <v>0</v>
      </c>
      <c r="BK205" s="166">
        <f t="shared" si="263"/>
        <v>0</v>
      </c>
      <c r="BL205" s="175">
        <f>IF(SUM(BL$201:BL204,BK205)&gt;$BP$4,0,BK205)</f>
        <v>0</v>
      </c>
      <c r="BM205" s="23">
        <f t="shared" si="209"/>
        <v>0</v>
      </c>
      <c r="BN205" s="90">
        <f t="shared" si="210"/>
        <v>0</v>
      </c>
      <c r="BO205" s="24">
        <f t="shared" si="229"/>
        <v>0</v>
      </c>
      <c r="BP205" s="349">
        <f t="shared" si="264"/>
        <v>0</v>
      </c>
      <c r="BQ205" s="171">
        <f t="shared" si="265"/>
        <v>0</v>
      </c>
      <c r="BR205" s="170">
        <f t="shared" si="211"/>
        <v>0</v>
      </c>
      <c r="BS205" s="168">
        <f t="shared" si="266"/>
        <v>0</v>
      </c>
      <c r="BT205" s="171">
        <f t="shared" si="267"/>
        <v>0</v>
      </c>
      <c r="BU205" s="170">
        <f t="shared" si="212"/>
        <v>0</v>
      </c>
      <c r="BV205" s="168">
        <f t="shared" si="268"/>
        <v>0</v>
      </c>
      <c r="BW205" s="171">
        <f t="shared" si="269"/>
        <v>0</v>
      </c>
      <c r="BX205" s="170">
        <f t="shared" si="213"/>
        <v>0</v>
      </c>
      <c r="BY205" s="168">
        <f t="shared" si="270"/>
        <v>0</v>
      </c>
      <c r="BZ205" s="171">
        <f t="shared" si="271"/>
        <v>0</v>
      </c>
      <c r="CA205" s="170">
        <f t="shared" si="214"/>
        <v>0</v>
      </c>
      <c r="CB205" s="90">
        <f t="shared" si="272"/>
        <v>0</v>
      </c>
      <c r="CC205" s="171">
        <f t="shared" si="273"/>
        <v>0</v>
      </c>
      <c r="CD205" s="170">
        <f t="shared" si="215"/>
        <v>0</v>
      </c>
      <c r="CE205" s="90">
        <f t="shared" si="274"/>
        <v>0</v>
      </c>
      <c r="CF205" s="171">
        <f t="shared" si="275"/>
        <v>0</v>
      </c>
      <c r="CG205" s="170">
        <f t="shared" si="216"/>
        <v>0</v>
      </c>
      <c r="CH205" s="90">
        <f t="shared" si="276"/>
        <v>0</v>
      </c>
      <c r="CI205" s="171">
        <f t="shared" si="277"/>
        <v>0</v>
      </c>
      <c r="CJ205" s="170">
        <f t="shared" si="217"/>
        <v>0</v>
      </c>
      <c r="CK205" s="90">
        <f t="shared" si="278"/>
        <v>0</v>
      </c>
      <c r="CL205" s="171">
        <f t="shared" si="279"/>
        <v>0</v>
      </c>
      <c r="CM205" s="170">
        <f t="shared" si="218"/>
        <v>0</v>
      </c>
      <c r="CN205" s="90">
        <f t="shared" si="280"/>
        <v>0</v>
      </c>
      <c r="CO205" s="171">
        <f t="shared" si="281"/>
        <v>0</v>
      </c>
      <c r="CP205" s="170">
        <f t="shared" si="219"/>
        <v>0</v>
      </c>
      <c r="CQ205" s="90">
        <f t="shared" si="282"/>
        <v>0</v>
      </c>
      <c r="CR205" s="171">
        <f t="shared" si="283"/>
        <v>0</v>
      </c>
      <c r="CS205" s="170">
        <f t="shared" si="220"/>
        <v>0</v>
      </c>
      <c r="CT205" s="90">
        <f t="shared" si="284"/>
        <v>0</v>
      </c>
      <c r="CU205" s="171">
        <f t="shared" si="285"/>
        <v>0</v>
      </c>
      <c r="CV205" s="170">
        <f t="shared" si="221"/>
        <v>0</v>
      </c>
      <c r="CW205" s="90">
        <f t="shared" si="286"/>
        <v>0</v>
      </c>
      <c r="CX205" s="171">
        <f t="shared" si="287"/>
        <v>0</v>
      </c>
      <c r="CY205" s="170">
        <f t="shared" si="222"/>
        <v>0</v>
      </c>
      <c r="CZ205" s="168">
        <f t="shared" si="223"/>
        <v>0</v>
      </c>
      <c r="DA205" s="172">
        <f t="shared" si="225"/>
        <v>0</v>
      </c>
      <c r="DB205" s="173">
        <f t="shared" si="226"/>
        <v>0</v>
      </c>
      <c r="DC205" s="172">
        <f t="shared" si="261"/>
        <v>0</v>
      </c>
      <c r="DD205" s="172">
        <f t="shared" si="261"/>
        <v>0</v>
      </c>
      <c r="DE205" s="172">
        <f t="shared" si="261"/>
        <v>0</v>
      </c>
      <c r="DF205" s="172">
        <f t="shared" si="228"/>
        <v>0</v>
      </c>
      <c r="DG205" s="136"/>
      <c r="DH205" s="136"/>
      <c r="DI205" s="3"/>
      <c r="DJ205" s="362" t="s">
        <v>378</v>
      </c>
      <c r="DK205" s="360">
        <v>1</v>
      </c>
      <c r="DL205" s="8"/>
      <c r="DM205" s="8"/>
      <c r="DN205" s="340" t="s">
        <v>379</v>
      </c>
      <c r="DO205" s="346">
        <v>0.9</v>
      </c>
      <c r="DP205" s="8"/>
      <c r="DQ205" s="3"/>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row>
    <row r="206" spans="1:155" s="566" customFormat="1" ht="15" customHeight="1">
      <c r="A206" s="197"/>
      <c r="B206" s="70"/>
      <c r="C206" s="190" t="s">
        <v>380</v>
      </c>
      <c r="D206" s="3"/>
      <c r="E206" s="273" t="str">
        <f>D178</f>
        <v>Notional Building</v>
      </c>
      <c r="F206" s="180"/>
      <c r="G206" s="180"/>
      <c r="H206" s="180"/>
      <c r="I206" s="180"/>
      <c r="J206" s="180"/>
      <c r="K206" s="180"/>
      <c r="L206" s="70"/>
      <c r="M206" s="70"/>
      <c r="N206" s="14"/>
      <c r="O206" s="234" t="s">
        <v>172</v>
      </c>
      <c r="P206" s="364">
        <v>28</v>
      </c>
      <c r="Q206" s="365">
        <f>'Potable Water Calculator'!D37</f>
        <v>90</v>
      </c>
      <c r="R206" s="366">
        <f>'Potable Water Calculator'!C208</f>
        <v>0.5</v>
      </c>
      <c r="S206" s="90">
        <f t="shared" si="288"/>
        <v>120</v>
      </c>
      <c r="T206" s="90">
        <f t="shared" si="289"/>
        <v>60</v>
      </c>
      <c r="U206" s="90">
        <f t="shared" si="290"/>
        <v>0</v>
      </c>
      <c r="V206" s="90">
        <f t="shared" si="291"/>
        <v>120</v>
      </c>
      <c r="W206" s="90">
        <f t="shared" si="292"/>
        <v>60</v>
      </c>
      <c r="X206" s="90">
        <f t="shared" si="293"/>
        <v>0</v>
      </c>
      <c r="Y206" s="90">
        <f t="shared" si="294"/>
        <v>120</v>
      </c>
      <c r="Z206" s="90">
        <f t="shared" si="295"/>
        <v>60</v>
      </c>
      <c r="AA206" s="90">
        <f t="shared" si="296"/>
        <v>0</v>
      </c>
      <c r="AB206" s="90">
        <f t="shared" si="297"/>
        <v>120</v>
      </c>
      <c r="AC206" s="90">
        <f t="shared" si="298"/>
        <v>60</v>
      </c>
      <c r="AD206" s="90">
        <f t="shared" si="299"/>
        <v>0</v>
      </c>
      <c r="AE206" s="90">
        <f t="shared" si="300"/>
        <v>120</v>
      </c>
      <c r="AF206" s="90">
        <f t="shared" si="301"/>
        <v>60</v>
      </c>
      <c r="AG206" s="90">
        <f t="shared" si="302"/>
        <v>0</v>
      </c>
      <c r="AH206" s="23">
        <f t="shared" si="303"/>
        <v>0</v>
      </c>
      <c r="AI206" s="90">
        <f t="shared" si="304"/>
        <v>0</v>
      </c>
      <c r="AJ206" s="90">
        <f t="shared" si="305"/>
        <v>0</v>
      </c>
      <c r="AK206" s="90">
        <f t="shared" si="306"/>
        <v>0</v>
      </c>
      <c r="AL206" s="90">
        <f t="shared" si="307"/>
        <v>0</v>
      </c>
      <c r="AM206" s="90">
        <f t="shared" si="308"/>
        <v>0</v>
      </c>
      <c r="AN206" s="90">
        <f t="shared" si="309"/>
        <v>0</v>
      </c>
      <c r="AO206" s="14"/>
      <c r="AP206" s="14"/>
      <c r="AQ206" s="14"/>
      <c r="AR206" s="14"/>
      <c r="AS206" s="14"/>
      <c r="AT206" s="14"/>
      <c r="AU206" s="14"/>
      <c r="AV206" s="14"/>
      <c r="AW206" s="14"/>
      <c r="AX206" s="14"/>
      <c r="AY206" s="14"/>
      <c r="AZ206" s="14"/>
      <c r="BA206" s="14"/>
      <c r="BB206" s="14"/>
      <c r="BC206" s="14"/>
      <c r="BD206" s="361"/>
      <c r="BE206" s="165" t="s">
        <v>17</v>
      </c>
      <c r="BF206" s="23">
        <v>22</v>
      </c>
      <c r="BG206" s="23">
        <v>6</v>
      </c>
      <c r="BH206" s="23">
        <v>2</v>
      </c>
      <c r="BI206" s="90" t="b">
        <f t="shared" si="224"/>
        <v>1</v>
      </c>
      <c r="BJ206" s="46" t="b">
        <f t="shared" si="262"/>
        <v>0</v>
      </c>
      <c r="BK206" s="166">
        <f t="shared" si="263"/>
        <v>0</v>
      </c>
      <c r="BL206" s="175">
        <f>IF(SUM(BL$201:BL205,BK206)&gt;$BP$4,0,BK206)</f>
        <v>0</v>
      </c>
      <c r="BM206" s="23">
        <f t="shared" si="209"/>
        <v>0</v>
      </c>
      <c r="BN206" s="90">
        <f t="shared" si="210"/>
        <v>0</v>
      </c>
      <c r="BO206" s="24">
        <f t="shared" si="229"/>
        <v>0</v>
      </c>
      <c r="BP206" s="349">
        <f t="shared" si="264"/>
        <v>0</v>
      </c>
      <c r="BQ206" s="171">
        <f t="shared" si="265"/>
        <v>0</v>
      </c>
      <c r="BR206" s="170">
        <f t="shared" si="211"/>
        <v>0</v>
      </c>
      <c r="BS206" s="168">
        <f t="shared" si="266"/>
        <v>0</v>
      </c>
      <c r="BT206" s="171">
        <f t="shared" si="267"/>
        <v>0</v>
      </c>
      <c r="BU206" s="170">
        <f t="shared" si="212"/>
        <v>0</v>
      </c>
      <c r="BV206" s="168">
        <f t="shared" si="268"/>
        <v>0</v>
      </c>
      <c r="BW206" s="171">
        <f t="shared" si="269"/>
        <v>0</v>
      </c>
      <c r="BX206" s="170">
        <f t="shared" si="213"/>
        <v>0</v>
      </c>
      <c r="BY206" s="168">
        <f t="shared" si="270"/>
        <v>0</v>
      </c>
      <c r="BZ206" s="171">
        <f t="shared" si="271"/>
        <v>0</v>
      </c>
      <c r="CA206" s="170">
        <f t="shared" si="214"/>
        <v>0</v>
      </c>
      <c r="CB206" s="90">
        <f t="shared" si="272"/>
        <v>0</v>
      </c>
      <c r="CC206" s="171">
        <f t="shared" si="273"/>
        <v>0</v>
      </c>
      <c r="CD206" s="170">
        <f t="shared" si="215"/>
        <v>0</v>
      </c>
      <c r="CE206" s="90">
        <f t="shared" si="274"/>
        <v>0</v>
      </c>
      <c r="CF206" s="171">
        <f t="shared" si="275"/>
        <v>0</v>
      </c>
      <c r="CG206" s="170">
        <f t="shared" si="216"/>
        <v>0</v>
      </c>
      <c r="CH206" s="90">
        <f t="shared" si="276"/>
        <v>0</v>
      </c>
      <c r="CI206" s="171">
        <f t="shared" si="277"/>
        <v>0</v>
      </c>
      <c r="CJ206" s="170">
        <f t="shared" si="217"/>
        <v>0</v>
      </c>
      <c r="CK206" s="90">
        <f t="shared" si="278"/>
        <v>0</v>
      </c>
      <c r="CL206" s="171">
        <f t="shared" si="279"/>
        <v>0</v>
      </c>
      <c r="CM206" s="170">
        <f t="shared" si="218"/>
        <v>0</v>
      </c>
      <c r="CN206" s="90">
        <f t="shared" si="280"/>
        <v>0</v>
      </c>
      <c r="CO206" s="171">
        <f t="shared" si="281"/>
        <v>0</v>
      </c>
      <c r="CP206" s="170">
        <f t="shared" si="219"/>
        <v>0</v>
      </c>
      <c r="CQ206" s="90">
        <f t="shared" si="282"/>
        <v>0</v>
      </c>
      <c r="CR206" s="171">
        <f t="shared" si="283"/>
        <v>0</v>
      </c>
      <c r="CS206" s="170">
        <f t="shared" si="220"/>
        <v>0</v>
      </c>
      <c r="CT206" s="90">
        <f t="shared" si="284"/>
        <v>0</v>
      </c>
      <c r="CU206" s="171">
        <f t="shared" si="285"/>
        <v>0</v>
      </c>
      <c r="CV206" s="170">
        <f t="shared" si="221"/>
        <v>0</v>
      </c>
      <c r="CW206" s="90">
        <f t="shared" si="286"/>
        <v>0</v>
      </c>
      <c r="CX206" s="171">
        <f t="shared" si="287"/>
        <v>0</v>
      </c>
      <c r="CY206" s="170">
        <f t="shared" si="222"/>
        <v>0</v>
      </c>
      <c r="CZ206" s="168">
        <f t="shared" si="223"/>
        <v>0</v>
      </c>
      <c r="DA206" s="172">
        <f t="shared" si="225"/>
        <v>0</v>
      </c>
      <c r="DB206" s="173">
        <f t="shared" si="226"/>
        <v>0</v>
      </c>
      <c r="DC206" s="172">
        <f t="shared" si="261"/>
        <v>0</v>
      </c>
      <c r="DD206" s="172">
        <f t="shared" si="261"/>
        <v>0</v>
      </c>
      <c r="DE206" s="172">
        <f t="shared" si="261"/>
        <v>0</v>
      </c>
      <c r="DF206" s="172">
        <f t="shared" si="228"/>
        <v>0</v>
      </c>
      <c r="DG206" s="136"/>
      <c r="DH206" s="136"/>
      <c r="DI206" s="3"/>
      <c r="DJ206" s="362" t="s">
        <v>381</v>
      </c>
      <c r="DK206" s="360">
        <v>0.7</v>
      </c>
      <c r="DL206" s="8"/>
      <c r="DM206" s="8"/>
      <c r="DN206" s="340" t="s">
        <v>382</v>
      </c>
      <c r="DO206" s="346">
        <v>0.5</v>
      </c>
      <c r="DP206" s="8"/>
      <c r="DQ206" s="3"/>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c r="EV206" s="8"/>
      <c r="EW206" s="8"/>
      <c r="EX206" s="8"/>
      <c r="EY206" s="8"/>
    </row>
    <row r="207" spans="1:155" s="566" customFormat="1" ht="15" customHeight="1">
      <c r="A207" s="197"/>
      <c r="B207" s="194" t="s">
        <v>168</v>
      </c>
      <c r="C207" s="267">
        <f>IFERROR(VLOOKUP($D$32,'Rainfall data'!$R$6:$AD$11,N224,FALSE),"")</f>
        <v>0.5</v>
      </c>
      <c r="D207" s="195"/>
      <c r="E207" s="195">
        <f t="shared" ref="E207:E218" si="310">AN205</f>
        <v>0</v>
      </c>
      <c r="F207" s="180"/>
      <c r="G207" s="180"/>
      <c r="H207" s="180"/>
      <c r="I207" s="180"/>
      <c r="J207" s="180"/>
      <c r="K207" s="180"/>
      <c r="L207" s="70"/>
      <c r="M207" s="70"/>
      <c r="N207" s="14"/>
      <c r="O207" s="234" t="s">
        <v>177</v>
      </c>
      <c r="P207" s="364">
        <v>31</v>
      </c>
      <c r="Q207" s="365">
        <f>'Potable Water Calculator'!D38</f>
        <v>91</v>
      </c>
      <c r="R207" s="366">
        <f>'Potable Water Calculator'!C209</f>
        <v>0.5</v>
      </c>
      <c r="S207" s="90">
        <f t="shared" si="288"/>
        <v>132.85714285714286</v>
      </c>
      <c r="T207" s="90">
        <f t="shared" si="289"/>
        <v>66.428571428571431</v>
      </c>
      <c r="U207" s="90">
        <f t="shared" si="290"/>
        <v>0</v>
      </c>
      <c r="V207" s="90">
        <f t="shared" si="291"/>
        <v>132.85714285714286</v>
      </c>
      <c r="W207" s="90">
        <f t="shared" si="292"/>
        <v>66.428571428571431</v>
      </c>
      <c r="X207" s="90">
        <f t="shared" si="293"/>
        <v>0</v>
      </c>
      <c r="Y207" s="90">
        <f t="shared" si="294"/>
        <v>132.85714285714286</v>
      </c>
      <c r="Z207" s="90">
        <f t="shared" si="295"/>
        <v>66.428571428571431</v>
      </c>
      <c r="AA207" s="90">
        <f t="shared" si="296"/>
        <v>0</v>
      </c>
      <c r="AB207" s="90">
        <f t="shared" si="297"/>
        <v>132.85714285714286</v>
      </c>
      <c r="AC207" s="90">
        <f t="shared" si="298"/>
        <v>66.428571428571431</v>
      </c>
      <c r="AD207" s="90">
        <f t="shared" si="299"/>
        <v>0</v>
      </c>
      <c r="AE207" s="90">
        <f t="shared" si="300"/>
        <v>132.85714285714286</v>
      </c>
      <c r="AF207" s="90">
        <f t="shared" si="301"/>
        <v>66.428571428571431</v>
      </c>
      <c r="AG207" s="90">
        <f t="shared" si="302"/>
        <v>0</v>
      </c>
      <c r="AH207" s="23">
        <f t="shared" si="303"/>
        <v>0</v>
      </c>
      <c r="AI207" s="90">
        <f t="shared" si="304"/>
        <v>0</v>
      </c>
      <c r="AJ207" s="90">
        <f t="shared" si="305"/>
        <v>0</v>
      </c>
      <c r="AK207" s="90">
        <f t="shared" si="306"/>
        <v>0</v>
      </c>
      <c r="AL207" s="90">
        <f t="shared" si="307"/>
        <v>0</v>
      </c>
      <c r="AM207" s="90">
        <f t="shared" si="308"/>
        <v>0</v>
      </c>
      <c r="AN207" s="90">
        <f t="shared" si="309"/>
        <v>0</v>
      </c>
      <c r="AO207" s="14"/>
      <c r="AP207" s="14"/>
      <c r="AQ207" s="14"/>
      <c r="AR207" s="14"/>
      <c r="AS207" s="14"/>
      <c r="AT207" s="14"/>
      <c r="AU207" s="14"/>
      <c r="AV207" s="14"/>
      <c r="AW207" s="14"/>
      <c r="AX207" s="14"/>
      <c r="AY207" s="14"/>
      <c r="AZ207" s="14"/>
      <c r="BA207" s="14"/>
      <c r="BB207" s="14"/>
      <c r="BC207" s="14"/>
      <c r="BD207" s="361"/>
      <c r="BE207" s="165" t="s">
        <v>17</v>
      </c>
      <c r="BF207" s="23">
        <v>22</v>
      </c>
      <c r="BG207" s="23">
        <v>7</v>
      </c>
      <c r="BH207" s="23">
        <v>3</v>
      </c>
      <c r="BI207" s="90" t="b">
        <f t="shared" si="224"/>
        <v>1</v>
      </c>
      <c r="BJ207" s="46" t="b">
        <f t="shared" si="262"/>
        <v>0</v>
      </c>
      <c r="BK207" s="166">
        <f t="shared" si="263"/>
        <v>0</v>
      </c>
      <c r="BL207" s="175">
        <f>IF(SUM(BL$201:BL206,BK207)&gt;$BP$4,0,BK207)</f>
        <v>0</v>
      </c>
      <c r="BM207" s="23">
        <f t="shared" si="209"/>
        <v>0</v>
      </c>
      <c r="BN207" s="90">
        <f t="shared" si="210"/>
        <v>0</v>
      </c>
      <c r="BO207" s="24">
        <f t="shared" si="229"/>
        <v>0</v>
      </c>
      <c r="BP207" s="349">
        <f t="shared" si="264"/>
        <v>0</v>
      </c>
      <c r="BQ207" s="171">
        <f t="shared" si="265"/>
        <v>0</v>
      </c>
      <c r="BR207" s="170">
        <f t="shared" si="211"/>
        <v>0</v>
      </c>
      <c r="BS207" s="168">
        <f t="shared" si="266"/>
        <v>0</v>
      </c>
      <c r="BT207" s="171">
        <f t="shared" si="267"/>
        <v>0</v>
      </c>
      <c r="BU207" s="170">
        <f t="shared" si="212"/>
        <v>0</v>
      </c>
      <c r="BV207" s="168">
        <f t="shared" si="268"/>
        <v>0</v>
      </c>
      <c r="BW207" s="171">
        <f t="shared" si="269"/>
        <v>0</v>
      </c>
      <c r="BX207" s="170">
        <f t="shared" si="213"/>
        <v>0</v>
      </c>
      <c r="BY207" s="168">
        <f t="shared" si="270"/>
        <v>0</v>
      </c>
      <c r="BZ207" s="171">
        <f t="shared" si="271"/>
        <v>0</v>
      </c>
      <c r="CA207" s="170">
        <f t="shared" si="214"/>
        <v>0</v>
      </c>
      <c r="CB207" s="90">
        <f t="shared" si="272"/>
        <v>0</v>
      </c>
      <c r="CC207" s="171">
        <f t="shared" si="273"/>
        <v>0</v>
      </c>
      <c r="CD207" s="170">
        <f t="shared" si="215"/>
        <v>0</v>
      </c>
      <c r="CE207" s="90">
        <f t="shared" si="274"/>
        <v>0</v>
      </c>
      <c r="CF207" s="171">
        <f t="shared" si="275"/>
        <v>0</v>
      </c>
      <c r="CG207" s="170">
        <f t="shared" si="216"/>
        <v>0</v>
      </c>
      <c r="CH207" s="90">
        <f t="shared" si="276"/>
        <v>0</v>
      </c>
      <c r="CI207" s="171">
        <f t="shared" si="277"/>
        <v>0</v>
      </c>
      <c r="CJ207" s="170">
        <f t="shared" si="217"/>
        <v>0</v>
      </c>
      <c r="CK207" s="90">
        <f t="shared" si="278"/>
        <v>0</v>
      </c>
      <c r="CL207" s="171">
        <f t="shared" si="279"/>
        <v>0</v>
      </c>
      <c r="CM207" s="170">
        <f t="shared" si="218"/>
        <v>0</v>
      </c>
      <c r="CN207" s="90">
        <f t="shared" si="280"/>
        <v>0</v>
      </c>
      <c r="CO207" s="171">
        <f t="shared" si="281"/>
        <v>0</v>
      </c>
      <c r="CP207" s="170">
        <f t="shared" si="219"/>
        <v>0</v>
      </c>
      <c r="CQ207" s="90">
        <f t="shared" si="282"/>
        <v>0</v>
      </c>
      <c r="CR207" s="171">
        <f t="shared" si="283"/>
        <v>0</v>
      </c>
      <c r="CS207" s="170">
        <f t="shared" si="220"/>
        <v>0</v>
      </c>
      <c r="CT207" s="90">
        <f t="shared" si="284"/>
        <v>0</v>
      </c>
      <c r="CU207" s="171">
        <f t="shared" si="285"/>
        <v>0</v>
      </c>
      <c r="CV207" s="170">
        <f t="shared" si="221"/>
        <v>0</v>
      </c>
      <c r="CW207" s="90">
        <f t="shared" si="286"/>
        <v>0</v>
      </c>
      <c r="CX207" s="171">
        <f t="shared" si="287"/>
        <v>0</v>
      </c>
      <c r="CY207" s="170">
        <f t="shared" si="222"/>
        <v>0</v>
      </c>
      <c r="CZ207" s="168">
        <f t="shared" si="223"/>
        <v>0</v>
      </c>
      <c r="DA207" s="172">
        <f t="shared" si="225"/>
        <v>0</v>
      </c>
      <c r="DB207" s="173">
        <f t="shared" si="226"/>
        <v>0</v>
      </c>
      <c r="DC207" s="172">
        <f t="shared" si="261"/>
        <v>0</v>
      </c>
      <c r="DD207" s="172">
        <f t="shared" si="261"/>
        <v>0</v>
      </c>
      <c r="DE207" s="172">
        <f t="shared" si="261"/>
        <v>0</v>
      </c>
      <c r="DF207" s="172">
        <f t="shared" si="228"/>
        <v>0</v>
      </c>
      <c r="DG207" s="136"/>
      <c r="DH207" s="136"/>
      <c r="DI207" s="3"/>
      <c r="DJ207" s="8"/>
      <c r="DK207" s="8"/>
      <c r="DL207" s="8"/>
      <c r="DM207" s="8"/>
      <c r="DN207" s="294"/>
      <c r="DO207" s="294"/>
      <c r="DP207" s="8"/>
      <c r="DQ207" s="3"/>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c r="EV207" s="8"/>
      <c r="EW207" s="8"/>
      <c r="EX207" s="8"/>
      <c r="EY207" s="8"/>
    </row>
    <row r="208" spans="1:155" s="566" customFormat="1" ht="15" customHeight="1">
      <c r="A208" s="197"/>
      <c r="B208" s="194" t="s">
        <v>172</v>
      </c>
      <c r="C208" s="267">
        <f>IFERROR(VLOOKUP($D$32,'Rainfall data'!$R$6:$AD$11,N225,FALSE),"")</f>
        <v>0.5</v>
      </c>
      <c r="D208" s="195"/>
      <c r="E208" s="195">
        <f t="shared" si="310"/>
        <v>0</v>
      </c>
      <c r="F208" s="180"/>
      <c r="G208" s="180"/>
      <c r="H208" s="180"/>
      <c r="I208" s="180"/>
      <c r="J208" s="180"/>
      <c r="K208" s="180"/>
      <c r="L208" s="70"/>
      <c r="M208" s="70"/>
      <c r="N208" s="14"/>
      <c r="O208" s="234" t="s">
        <v>180</v>
      </c>
      <c r="P208" s="364">
        <v>30</v>
      </c>
      <c r="Q208" s="365">
        <f>'Potable Water Calculator'!D39</f>
        <v>54</v>
      </c>
      <c r="R208" s="366">
        <f>'Potable Water Calculator'!C210</f>
        <v>1</v>
      </c>
      <c r="S208" s="90">
        <f t="shared" si="288"/>
        <v>128.57142857142856</v>
      </c>
      <c r="T208" s="90">
        <f t="shared" si="289"/>
        <v>128.57142857142856</v>
      </c>
      <c r="U208" s="90">
        <f t="shared" si="290"/>
        <v>0</v>
      </c>
      <c r="V208" s="90">
        <f t="shared" si="291"/>
        <v>128.57142857142856</v>
      </c>
      <c r="W208" s="90">
        <f t="shared" si="292"/>
        <v>128.57142857142856</v>
      </c>
      <c r="X208" s="90">
        <f t="shared" si="293"/>
        <v>0</v>
      </c>
      <c r="Y208" s="90">
        <f t="shared" si="294"/>
        <v>128.57142857142856</v>
      </c>
      <c r="Z208" s="90">
        <f t="shared" si="295"/>
        <v>128.57142857142856</v>
      </c>
      <c r="AA208" s="90">
        <f t="shared" si="296"/>
        <v>0</v>
      </c>
      <c r="AB208" s="90">
        <f t="shared" si="297"/>
        <v>128.57142857142856</v>
      </c>
      <c r="AC208" s="90">
        <f t="shared" si="298"/>
        <v>128.57142857142856</v>
      </c>
      <c r="AD208" s="90">
        <f t="shared" si="299"/>
        <v>0</v>
      </c>
      <c r="AE208" s="90">
        <f t="shared" si="300"/>
        <v>128.57142857142856</v>
      </c>
      <c r="AF208" s="90">
        <f t="shared" si="301"/>
        <v>128.57142857142856</v>
      </c>
      <c r="AG208" s="90">
        <f t="shared" si="302"/>
        <v>0</v>
      </c>
      <c r="AH208" s="23">
        <f t="shared" si="303"/>
        <v>0</v>
      </c>
      <c r="AI208" s="90">
        <f t="shared" si="304"/>
        <v>0</v>
      </c>
      <c r="AJ208" s="90">
        <f t="shared" si="305"/>
        <v>0</v>
      </c>
      <c r="AK208" s="90">
        <f t="shared" si="306"/>
        <v>0</v>
      </c>
      <c r="AL208" s="90">
        <f t="shared" si="307"/>
        <v>0</v>
      </c>
      <c r="AM208" s="90">
        <f t="shared" si="308"/>
        <v>0</v>
      </c>
      <c r="AN208" s="90">
        <f t="shared" si="309"/>
        <v>0</v>
      </c>
      <c r="AO208" s="14"/>
      <c r="AP208" s="14"/>
      <c r="AQ208" s="14"/>
      <c r="AR208" s="14"/>
      <c r="AS208" s="14"/>
      <c r="AT208" s="14"/>
      <c r="AU208" s="14"/>
      <c r="AV208" s="14"/>
      <c r="AW208" s="14"/>
      <c r="AX208" s="14"/>
      <c r="AY208" s="14"/>
      <c r="AZ208" s="14"/>
      <c r="BA208" s="14"/>
      <c r="BB208" s="14"/>
      <c r="BC208" s="14"/>
      <c r="BD208" s="307"/>
      <c r="BE208" s="165" t="s">
        <v>17</v>
      </c>
      <c r="BF208" s="23">
        <v>22</v>
      </c>
      <c r="BG208" s="23">
        <v>8</v>
      </c>
      <c r="BH208" s="23">
        <v>4</v>
      </c>
      <c r="BI208" s="90" t="b">
        <f t="shared" si="224"/>
        <v>1</v>
      </c>
      <c r="BJ208" s="46" t="b">
        <f t="shared" si="262"/>
        <v>0</v>
      </c>
      <c r="BK208" s="166">
        <f t="shared" si="263"/>
        <v>0</v>
      </c>
      <c r="BL208" s="175">
        <f>IF(SUM(BL$201:BL207,BK208)&gt;$BP$4,0,BK208)</f>
        <v>0</v>
      </c>
      <c r="BM208" s="23">
        <f t="shared" si="209"/>
        <v>0</v>
      </c>
      <c r="BN208" s="90">
        <f t="shared" si="210"/>
        <v>0</v>
      </c>
      <c r="BO208" s="24">
        <f t="shared" si="229"/>
        <v>0</v>
      </c>
      <c r="BP208" s="349">
        <f t="shared" si="264"/>
        <v>0</v>
      </c>
      <c r="BQ208" s="171">
        <f t="shared" si="265"/>
        <v>0</v>
      </c>
      <c r="BR208" s="170">
        <f t="shared" si="211"/>
        <v>0</v>
      </c>
      <c r="BS208" s="168">
        <f t="shared" si="266"/>
        <v>0</v>
      </c>
      <c r="BT208" s="171">
        <f t="shared" si="267"/>
        <v>0</v>
      </c>
      <c r="BU208" s="170">
        <f t="shared" si="212"/>
        <v>0</v>
      </c>
      <c r="BV208" s="168">
        <f t="shared" si="268"/>
        <v>0</v>
      </c>
      <c r="BW208" s="171">
        <f t="shared" si="269"/>
        <v>0</v>
      </c>
      <c r="BX208" s="170">
        <f t="shared" si="213"/>
        <v>0</v>
      </c>
      <c r="BY208" s="168">
        <f t="shared" si="270"/>
        <v>0</v>
      </c>
      <c r="BZ208" s="171">
        <f t="shared" si="271"/>
        <v>0</v>
      </c>
      <c r="CA208" s="170">
        <f t="shared" si="214"/>
        <v>0</v>
      </c>
      <c r="CB208" s="90">
        <f t="shared" si="272"/>
        <v>0</v>
      </c>
      <c r="CC208" s="171">
        <f t="shared" si="273"/>
        <v>0</v>
      </c>
      <c r="CD208" s="170">
        <f t="shared" si="215"/>
        <v>0</v>
      </c>
      <c r="CE208" s="90">
        <f t="shared" si="274"/>
        <v>0</v>
      </c>
      <c r="CF208" s="171">
        <f t="shared" si="275"/>
        <v>0</v>
      </c>
      <c r="CG208" s="170">
        <f t="shared" si="216"/>
        <v>0</v>
      </c>
      <c r="CH208" s="90">
        <f t="shared" si="276"/>
        <v>0</v>
      </c>
      <c r="CI208" s="171">
        <f t="shared" si="277"/>
        <v>0</v>
      </c>
      <c r="CJ208" s="170">
        <f t="shared" si="217"/>
        <v>0</v>
      </c>
      <c r="CK208" s="90">
        <f t="shared" si="278"/>
        <v>0</v>
      </c>
      <c r="CL208" s="171">
        <f t="shared" si="279"/>
        <v>0</v>
      </c>
      <c r="CM208" s="170">
        <f t="shared" si="218"/>
        <v>0</v>
      </c>
      <c r="CN208" s="90">
        <f t="shared" si="280"/>
        <v>0</v>
      </c>
      <c r="CO208" s="171">
        <f t="shared" si="281"/>
        <v>0</v>
      </c>
      <c r="CP208" s="170">
        <f t="shared" si="219"/>
        <v>0</v>
      </c>
      <c r="CQ208" s="90">
        <f t="shared" si="282"/>
        <v>0</v>
      </c>
      <c r="CR208" s="171">
        <f t="shared" si="283"/>
        <v>0</v>
      </c>
      <c r="CS208" s="170">
        <f t="shared" si="220"/>
        <v>0</v>
      </c>
      <c r="CT208" s="90">
        <f t="shared" si="284"/>
        <v>0</v>
      </c>
      <c r="CU208" s="171">
        <f t="shared" si="285"/>
        <v>0</v>
      </c>
      <c r="CV208" s="170">
        <f t="shared" si="221"/>
        <v>0</v>
      </c>
      <c r="CW208" s="90">
        <f t="shared" si="286"/>
        <v>0</v>
      </c>
      <c r="CX208" s="171">
        <f t="shared" si="287"/>
        <v>0</v>
      </c>
      <c r="CY208" s="170">
        <f t="shared" si="222"/>
        <v>0</v>
      </c>
      <c r="CZ208" s="168">
        <f t="shared" si="223"/>
        <v>0</v>
      </c>
      <c r="DA208" s="172">
        <f t="shared" si="225"/>
        <v>0</v>
      </c>
      <c r="DB208" s="173">
        <f t="shared" si="226"/>
        <v>0</v>
      </c>
      <c r="DC208" s="172">
        <f t="shared" si="261"/>
        <v>0</v>
      </c>
      <c r="DD208" s="172">
        <f t="shared" si="261"/>
        <v>0</v>
      </c>
      <c r="DE208" s="172">
        <f t="shared" si="261"/>
        <v>0</v>
      </c>
      <c r="DF208" s="172">
        <f t="shared" si="228"/>
        <v>0</v>
      </c>
      <c r="DG208" s="136"/>
      <c r="DH208" s="136"/>
      <c r="DI208" s="3"/>
      <c r="DJ208" s="367" t="s">
        <v>383</v>
      </c>
      <c r="DK208" s="367"/>
      <c r="DL208" s="8"/>
      <c r="DM208" s="8"/>
      <c r="DN208" s="367"/>
      <c r="DO208" s="368" t="str">
        <f>'Potable Water Calculator'!X56</f>
        <v>Notional Building</v>
      </c>
      <c r="DP208" s="8"/>
      <c r="DQ208" s="3"/>
      <c r="DR208" s="67"/>
      <c r="DS208" s="67"/>
      <c r="DT208" s="67"/>
      <c r="DU208" s="67"/>
      <c r="DV208" s="67"/>
      <c r="DW208" s="67"/>
      <c r="DX208" s="67"/>
      <c r="DY208" s="67"/>
      <c r="DZ208" s="67"/>
      <c r="EA208" s="67"/>
      <c r="EB208" s="67"/>
      <c r="EC208" s="67"/>
      <c r="ED208" s="67"/>
      <c r="EE208" s="67"/>
      <c r="EF208" s="67"/>
      <c r="EG208" s="67"/>
      <c r="EH208" s="67"/>
      <c r="EI208" s="67"/>
      <c r="EJ208" s="67"/>
      <c r="EK208" s="67"/>
      <c r="EL208" s="67"/>
      <c r="EM208" s="67"/>
      <c r="EN208" s="67"/>
      <c r="EO208" s="67"/>
      <c r="EP208" s="67"/>
      <c r="EQ208" s="67"/>
      <c r="ER208" s="67"/>
      <c r="ES208" s="67"/>
      <c r="ET208" s="67"/>
      <c r="EU208" s="67"/>
      <c r="EV208" s="67"/>
      <c r="EW208" s="67"/>
      <c r="EX208" s="67"/>
      <c r="EY208" s="67"/>
    </row>
    <row r="209" spans="1:155" s="566" customFormat="1" ht="15" customHeight="1">
      <c r="A209" s="197"/>
      <c r="B209" s="194" t="s">
        <v>177</v>
      </c>
      <c r="C209" s="267">
        <f>IFERROR(VLOOKUP($D$32,'Rainfall data'!$R$6:$AD$11,N226,FALSE),"")</f>
        <v>0.5</v>
      </c>
      <c r="D209" s="195"/>
      <c r="E209" s="195">
        <f t="shared" si="310"/>
        <v>0</v>
      </c>
      <c r="F209" s="180"/>
      <c r="G209" s="180"/>
      <c r="H209" s="180"/>
      <c r="I209" s="180"/>
      <c r="J209" s="180"/>
      <c r="K209" s="180"/>
      <c r="L209" s="70"/>
      <c r="M209" s="70"/>
      <c r="N209" s="14"/>
      <c r="O209" s="234" t="s">
        <v>15</v>
      </c>
      <c r="P209" s="364">
        <v>31</v>
      </c>
      <c r="Q209" s="365">
        <f>'Potable Water Calculator'!D40</f>
        <v>13</v>
      </c>
      <c r="R209" s="366">
        <f>'Potable Water Calculator'!C211</f>
        <v>1</v>
      </c>
      <c r="S209" s="90">
        <f t="shared" si="288"/>
        <v>132.85714285714286</v>
      </c>
      <c r="T209" s="90">
        <f t="shared" si="289"/>
        <v>132.85714285714286</v>
      </c>
      <c r="U209" s="90">
        <f t="shared" si="290"/>
        <v>0</v>
      </c>
      <c r="V209" s="90">
        <f t="shared" si="291"/>
        <v>132.85714285714286</v>
      </c>
      <c r="W209" s="90">
        <f t="shared" si="292"/>
        <v>132.85714285714286</v>
      </c>
      <c r="X209" s="90">
        <f t="shared" si="293"/>
        <v>0</v>
      </c>
      <c r="Y209" s="90">
        <f t="shared" si="294"/>
        <v>132.85714285714286</v>
      </c>
      <c r="Z209" s="90">
        <f t="shared" si="295"/>
        <v>132.85714285714286</v>
      </c>
      <c r="AA209" s="90">
        <f t="shared" si="296"/>
        <v>0</v>
      </c>
      <c r="AB209" s="90">
        <f t="shared" si="297"/>
        <v>132.85714285714286</v>
      </c>
      <c r="AC209" s="90">
        <f t="shared" si="298"/>
        <v>132.85714285714286</v>
      </c>
      <c r="AD209" s="90">
        <f t="shared" si="299"/>
        <v>0</v>
      </c>
      <c r="AE209" s="90">
        <f t="shared" si="300"/>
        <v>132.85714285714286</v>
      </c>
      <c r="AF209" s="90">
        <f t="shared" si="301"/>
        <v>132.85714285714286</v>
      </c>
      <c r="AG209" s="90">
        <f t="shared" si="302"/>
        <v>0</v>
      </c>
      <c r="AH209" s="23">
        <f t="shared" si="303"/>
        <v>0</v>
      </c>
      <c r="AI209" s="90">
        <f t="shared" si="304"/>
        <v>0</v>
      </c>
      <c r="AJ209" s="90">
        <f t="shared" si="305"/>
        <v>0</v>
      </c>
      <c r="AK209" s="90">
        <f t="shared" si="306"/>
        <v>0</v>
      </c>
      <c r="AL209" s="90">
        <f t="shared" si="307"/>
        <v>0</v>
      </c>
      <c r="AM209" s="90">
        <f t="shared" si="308"/>
        <v>0</v>
      </c>
      <c r="AN209" s="90">
        <f t="shared" si="309"/>
        <v>0</v>
      </c>
      <c r="AO209" s="14"/>
      <c r="AP209" s="14"/>
      <c r="AQ209" s="14"/>
      <c r="AR209" s="14"/>
      <c r="AS209" s="14"/>
      <c r="AT209" s="14"/>
      <c r="AU209" s="14"/>
      <c r="AV209" s="14"/>
      <c r="AW209" s="14"/>
      <c r="AX209" s="14"/>
      <c r="AY209" s="14"/>
      <c r="AZ209" s="14"/>
      <c r="BA209" s="14"/>
      <c r="BB209" s="14"/>
      <c r="BC209" s="14"/>
      <c r="BD209" s="307"/>
      <c r="BE209" s="165" t="s">
        <v>17</v>
      </c>
      <c r="BF209" s="23">
        <v>22</v>
      </c>
      <c r="BG209" s="23">
        <v>9</v>
      </c>
      <c r="BH209" s="23">
        <v>5</v>
      </c>
      <c r="BI209" s="90" t="b">
        <f t="shared" si="224"/>
        <v>1</v>
      </c>
      <c r="BJ209" s="46" t="b">
        <f t="shared" si="262"/>
        <v>0</v>
      </c>
      <c r="BK209" s="166">
        <f t="shared" si="263"/>
        <v>0</v>
      </c>
      <c r="BL209" s="175">
        <f>IF(SUM(BL$201:BL208,BK209)&gt;$BP$4,0,BK209)</f>
        <v>0</v>
      </c>
      <c r="BM209" s="23">
        <f t="shared" si="209"/>
        <v>0</v>
      </c>
      <c r="BN209" s="90">
        <f t="shared" si="210"/>
        <v>0</v>
      </c>
      <c r="BO209" s="24">
        <f t="shared" si="229"/>
        <v>0</v>
      </c>
      <c r="BP209" s="349">
        <f t="shared" si="264"/>
        <v>0</v>
      </c>
      <c r="BQ209" s="171">
        <f t="shared" si="265"/>
        <v>0</v>
      </c>
      <c r="BR209" s="170">
        <f t="shared" si="211"/>
        <v>0</v>
      </c>
      <c r="BS209" s="168">
        <f t="shared" si="266"/>
        <v>0</v>
      </c>
      <c r="BT209" s="171">
        <f t="shared" si="267"/>
        <v>0</v>
      </c>
      <c r="BU209" s="170">
        <f t="shared" si="212"/>
        <v>0</v>
      </c>
      <c r="BV209" s="168">
        <f t="shared" si="268"/>
        <v>0</v>
      </c>
      <c r="BW209" s="171">
        <f t="shared" si="269"/>
        <v>0</v>
      </c>
      <c r="BX209" s="170">
        <f t="shared" si="213"/>
        <v>0</v>
      </c>
      <c r="BY209" s="168">
        <f t="shared" si="270"/>
        <v>0</v>
      </c>
      <c r="BZ209" s="171">
        <f t="shared" si="271"/>
        <v>0</v>
      </c>
      <c r="CA209" s="170">
        <f t="shared" si="214"/>
        <v>0</v>
      </c>
      <c r="CB209" s="90">
        <f t="shared" si="272"/>
        <v>0</v>
      </c>
      <c r="CC209" s="171">
        <f t="shared" si="273"/>
        <v>0</v>
      </c>
      <c r="CD209" s="170">
        <f t="shared" si="215"/>
        <v>0</v>
      </c>
      <c r="CE209" s="90">
        <f t="shared" si="274"/>
        <v>0</v>
      </c>
      <c r="CF209" s="171">
        <f t="shared" si="275"/>
        <v>0</v>
      </c>
      <c r="CG209" s="170">
        <f t="shared" si="216"/>
        <v>0</v>
      </c>
      <c r="CH209" s="90">
        <f t="shared" si="276"/>
        <v>0</v>
      </c>
      <c r="CI209" s="171">
        <f t="shared" si="277"/>
        <v>0</v>
      </c>
      <c r="CJ209" s="170">
        <f t="shared" si="217"/>
        <v>0</v>
      </c>
      <c r="CK209" s="90">
        <f t="shared" si="278"/>
        <v>0</v>
      </c>
      <c r="CL209" s="171">
        <f t="shared" si="279"/>
        <v>0</v>
      </c>
      <c r="CM209" s="170">
        <f t="shared" si="218"/>
        <v>0</v>
      </c>
      <c r="CN209" s="90">
        <f t="shared" si="280"/>
        <v>0</v>
      </c>
      <c r="CO209" s="171">
        <f t="shared" si="281"/>
        <v>0</v>
      </c>
      <c r="CP209" s="170">
        <f t="shared" si="219"/>
        <v>0</v>
      </c>
      <c r="CQ209" s="90">
        <f t="shared" si="282"/>
        <v>0</v>
      </c>
      <c r="CR209" s="171">
        <f t="shared" si="283"/>
        <v>0</v>
      </c>
      <c r="CS209" s="170">
        <f t="shared" si="220"/>
        <v>0</v>
      </c>
      <c r="CT209" s="90">
        <f t="shared" si="284"/>
        <v>0</v>
      </c>
      <c r="CU209" s="171">
        <f t="shared" si="285"/>
        <v>0</v>
      </c>
      <c r="CV209" s="170">
        <f t="shared" si="221"/>
        <v>0</v>
      </c>
      <c r="CW209" s="90">
        <f t="shared" si="286"/>
        <v>0</v>
      </c>
      <c r="CX209" s="171">
        <f t="shared" si="287"/>
        <v>0</v>
      </c>
      <c r="CY209" s="170">
        <f t="shared" si="222"/>
        <v>0</v>
      </c>
      <c r="CZ209" s="168">
        <f t="shared" si="223"/>
        <v>0</v>
      </c>
      <c r="DA209" s="172">
        <f t="shared" si="225"/>
        <v>0</v>
      </c>
      <c r="DB209" s="173">
        <f t="shared" si="226"/>
        <v>0</v>
      </c>
      <c r="DC209" s="172">
        <f t="shared" si="261"/>
        <v>0</v>
      </c>
      <c r="DD209" s="172">
        <f t="shared" si="261"/>
        <v>0</v>
      </c>
      <c r="DE209" s="172">
        <f t="shared" si="261"/>
        <v>0</v>
      </c>
      <c r="DF209" s="172">
        <f t="shared" si="228"/>
        <v>0</v>
      </c>
      <c r="DG209" s="136"/>
      <c r="DH209" s="136"/>
      <c r="DI209" s="3"/>
      <c r="DJ209" s="340" t="s">
        <v>84</v>
      </c>
      <c r="DK209" s="363">
        <v>0</v>
      </c>
      <c r="DL209" s="8"/>
      <c r="DM209" s="8"/>
      <c r="DN209" s="340" t="s">
        <v>384</v>
      </c>
      <c r="DO209" s="369" t="s">
        <v>385</v>
      </c>
      <c r="DP209" s="8"/>
      <c r="DQ209" s="3"/>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row>
    <row r="210" spans="1:155" s="566" customFormat="1" ht="15" customHeight="1">
      <c r="A210" s="197"/>
      <c r="B210" s="194" t="s">
        <v>180</v>
      </c>
      <c r="C210" s="267">
        <f>IFERROR(VLOOKUP($D$32,'Rainfall data'!$R$6:$AD$11,N227,FALSE),"")</f>
        <v>1</v>
      </c>
      <c r="D210" s="195"/>
      <c r="E210" s="195">
        <f t="shared" si="310"/>
        <v>0</v>
      </c>
      <c r="F210" s="180"/>
      <c r="G210" s="180"/>
      <c r="H210" s="180"/>
      <c r="I210" s="180"/>
      <c r="J210" s="180"/>
      <c r="K210" s="180"/>
      <c r="L210" s="70"/>
      <c r="M210" s="70"/>
      <c r="N210" s="14"/>
      <c r="O210" s="234" t="s">
        <v>185</v>
      </c>
      <c r="P210" s="364">
        <v>30</v>
      </c>
      <c r="Q210" s="365">
        <f>'Potable Water Calculator'!D41</f>
        <v>9</v>
      </c>
      <c r="R210" s="366">
        <f>'Potable Water Calculator'!C212</f>
        <v>1</v>
      </c>
      <c r="S210" s="90">
        <f t="shared" si="288"/>
        <v>128.57142857142856</v>
      </c>
      <c r="T210" s="90">
        <f t="shared" si="289"/>
        <v>128.57142857142856</v>
      </c>
      <c r="U210" s="90">
        <f t="shared" si="290"/>
        <v>0</v>
      </c>
      <c r="V210" s="90">
        <f t="shared" si="291"/>
        <v>128.57142857142856</v>
      </c>
      <c r="W210" s="90">
        <f t="shared" si="292"/>
        <v>128.57142857142856</v>
      </c>
      <c r="X210" s="90">
        <f t="shared" si="293"/>
        <v>0</v>
      </c>
      <c r="Y210" s="90">
        <f t="shared" si="294"/>
        <v>128.57142857142856</v>
      </c>
      <c r="Z210" s="90">
        <f t="shared" si="295"/>
        <v>128.57142857142856</v>
      </c>
      <c r="AA210" s="90">
        <f t="shared" si="296"/>
        <v>0</v>
      </c>
      <c r="AB210" s="90">
        <f t="shared" si="297"/>
        <v>128.57142857142856</v>
      </c>
      <c r="AC210" s="90">
        <f t="shared" si="298"/>
        <v>128.57142857142856</v>
      </c>
      <c r="AD210" s="90">
        <f t="shared" si="299"/>
        <v>0</v>
      </c>
      <c r="AE210" s="90">
        <f t="shared" si="300"/>
        <v>128.57142857142856</v>
      </c>
      <c r="AF210" s="90">
        <f t="shared" si="301"/>
        <v>128.57142857142856</v>
      </c>
      <c r="AG210" s="90">
        <f t="shared" si="302"/>
        <v>0</v>
      </c>
      <c r="AH210" s="23">
        <f t="shared" si="303"/>
        <v>0</v>
      </c>
      <c r="AI210" s="90">
        <f t="shared" si="304"/>
        <v>0</v>
      </c>
      <c r="AJ210" s="90">
        <f t="shared" si="305"/>
        <v>0</v>
      </c>
      <c r="AK210" s="90">
        <f t="shared" si="306"/>
        <v>0</v>
      </c>
      <c r="AL210" s="90">
        <f t="shared" si="307"/>
        <v>0</v>
      </c>
      <c r="AM210" s="90">
        <f t="shared" si="308"/>
        <v>0</v>
      </c>
      <c r="AN210" s="90">
        <f t="shared" si="309"/>
        <v>0</v>
      </c>
      <c r="AO210" s="14"/>
      <c r="AP210" s="14"/>
      <c r="AQ210" s="14"/>
      <c r="AR210" s="14"/>
      <c r="AS210" s="14"/>
      <c r="AT210" s="14"/>
      <c r="AU210" s="14"/>
      <c r="AV210" s="14"/>
      <c r="AW210" s="14"/>
      <c r="AX210" s="14"/>
      <c r="AY210" s="14"/>
      <c r="AZ210" s="14"/>
      <c r="BA210" s="14"/>
      <c r="BB210" s="14"/>
      <c r="BC210" s="14"/>
      <c r="BD210" s="307"/>
      <c r="BE210" s="165" t="s">
        <v>17</v>
      </c>
      <c r="BF210" s="23">
        <v>22</v>
      </c>
      <c r="BG210" s="23">
        <v>10</v>
      </c>
      <c r="BH210" s="23">
        <v>6</v>
      </c>
      <c r="BI210" s="90" t="b">
        <f t="shared" si="224"/>
        <v>0</v>
      </c>
      <c r="BJ210" s="46" t="b">
        <f t="shared" si="262"/>
        <v>0</v>
      </c>
      <c r="BK210" s="166">
        <f t="shared" si="263"/>
        <v>0</v>
      </c>
      <c r="BL210" s="175">
        <f>IF(SUM(BL$201:BL209,BK210)&gt;$BP$4,0,BK210)</f>
        <v>0</v>
      </c>
      <c r="BM210" s="23">
        <f t="shared" si="209"/>
        <v>0</v>
      </c>
      <c r="BN210" s="90">
        <f t="shared" si="210"/>
        <v>0</v>
      </c>
      <c r="BO210" s="24">
        <f t="shared" si="229"/>
        <v>0</v>
      </c>
      <c r="BP210" s="349">
        <f t="shared" si="264"/>
        <v>0</v>
      </c>
      <c r="BQ210" s="171">
        <f t="shared" si="265"/>
        <v>0</v>
      </c>
      <c r="BR210" s="170">
        <f t="shared" si="211"/>
        <v>0</v>
      </c>
      <c r="BS210" s="168">
        <f t="shared" si="266"/>
        <v>0</v>
      </c>
      <c r="BT210" s="171">
        <f t="shared" si="267"/>
        <v>0</v>
      </c>
      <c r="BU210" s="170">
        <f t="shared" si="212"/>
        <v>0</v>
      </c>
      <c r="BV210" s="168">
        <f t="shared" si="268"/>
        <v>0</v>
      </c>
      <c r="BW210" s="171">
        <f t="shared" si="269"/>
        <v>0</v>
      </c>
      <c r="BX210" s="170">
        <f t="shared" si="213"/>
        <v>0</v>
      </c>
      <c r="BY210" s="168">
        <f t="shared" si="270"/>
        <v>0</v>
      </c>
      <c r="BZ210" s="171">
        <f t="shared" si="271"/>
        <v>0</v>
      </c>
      <c r="CA210" s="170">
        <f t="shared" si="214"/>
        <v>0</v>
      </c>
      <c r="CB210" s="90">
        <f t="shared" si="272"/>
        <v>0</v>
      </c>
      <c r="CC210" s="171">
        <f t="shared" si="273"/>
        <v>0</v>
      </c>
      <c r="CD210" s="170">
        <f t="shared" si="215"/>
        <v>0</v>
      </c>
      <c r="CE210" s="90">
        <f t="shared" si="274"/>
        <v>0</v>
      </c>
      <c r="CF210" s="171">
        <f t="shared" si="275"/>
        <v>0</v>
      </c>
      <c r="CG210" s="170">
        <f t="shared" si="216"/>
        <v>0</v>
      </c>
      <c r="CH210" s="90">
        <f t="shared" si="276"/>
        <v>0</v>
      </c>
      <c r="CI210" s="171">
        <f t="shared" si="277"/>
        <v>0</v>
      </c>
      <c r="CJ210" s="170">
        <f t="shared" si="217"/>
        <v>0</v>
      </c>
      <c r="CK210" s="90">
        <f t="shared" si="278"/>
        <v>0</v>
      </c>
      <c r="CL210" s="171">
        <f t="shared" si="279"/>
        <v>0</v>
      </c>
      <c r="CM210" s="170">
        <f t="shared" si="218"/>
        <v>0</v>
      </c>
      <c r="CN210" s="90">
        <f t="shared" si="280"/>
        <v>0</v>
      </c>
      <c r="CO210" s="171">
        <f t="shared" si="281"/>
        <v>0</v>
      </c>
      <c r="CP210" s="170">
        <f t="shared" si="219"/>
        <v>0</v>
      </c>
      <c r="CQ210" s="90">
        <f t="shared" si="282"/>
        <v>0</v>
      </c>
      <c r="CR210" s="171">
        <f t="shared" si="283"/>
        <v>0</v>
      </c>
      <c r="CS210" s="170">
        <f t="shared" si="220"/>
        <v>0</v>
      </c>
      <c r="CT210" s="90">
        <f t="shared" si="284"/>
        <v>0</v>
      </c>
      <c r="CU210" s="171">
        <f t="shared" si="285"/>
        <v>0</v>
      </c>
      <c r="CV210" s="170">
        <f t="shared" si="221"/>
        <v>0</v>
      </c>
      <c r="CW210" s="90">
        <f t="shared" si="286"/>
        <v>0</v>
      </c>
      <c r="CX210" s="171">
        <f t="shared" si="287"/>
        <v>0</v>
      </c>
      <c r="CY210" s="170">
        <f t="shared" si="222"/>
        <v>0</v>
      </c>
      <c r="CZ210" s="168">
        <f t="shared" si="223"/>
        <v>0</v>
      </c>
      <c r="DA210" s="172">
        <f t="shared" si="225"/>
        <v>0</v>
      </c>
      <c r="DB210" s="173">
        <f t="shared" si="226"/>
        <v>0</v>
      </c>
      <c r="DC210" s="172">
        <f t="shared" si="261"/>
        <v>0</v>
      </c>
      <c r="DD210" s="172">
        <f t="shared" si="261"/>
        <v>0</v>
      </c>
      <c r="DE210" s="172">
        <f t="shared" si="261"/>
        <v>0</v>
      </c>
      <c r="DF210" s="172">
        <f t="shared" si="228"/>
        <v>0</v>
      </c>
      <c r="DG210" s="136"/>
      <c r="DH210" s="136"/>
      <c r="DI210" s="22"/>
      <c r="DJ210" s="340" t="s">
        <v>386</v>
      </c>
      <c r="DK210" s="363">
        <v>1.2</v>
      </c>
      <c r="DL210" s="8"/>
      <c r="DM210" s="67"/>
      <c r="DN210" s="340" t="s">
        <v>387</v>
      </c>
      <c r="DO210" s="370" t="s">
        <v>385</v>
      </c>
      <c r="DP210" s="67"/>
      <c r="DQ210" s="22"/>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row>
    <row r="211" spans="1:155" s="566" customFormat="1" ht="15" customHeight="1">
      <c r="A211" s="197"/>
      <c r="B211" s="194" t="s">
        <v>15</v>
      </c>
      <c r="C211" s="267">
        <f>IFERROR(VLOOKUP($D$32,'Rainfall data'!$R$6:$AD$11,N228,FALSE),"")</f>
        <v>1</v>
      </c>
      <c r="D211" s="195"/>
      <c r="E211" s="195">
        <f t="shared" si="310"/>
        <v>0</v>
      </c>
      <c r="F211" s="180"/>
      <c r="G211" s="180"/>
      <c r="H211" s="180"/>
      <c r="I211" s="180"/>
      <c r="J211" s="180"/>
      <c r="K211" s="180"/>
      <c r="L211" s="70"/>
      <c r="M211" s="70"/>
      <c r="N211" s="14"/>
      <c r="O211" s="234" t="s">
        <v>186</v>
      </c>
      <c r="P211" s="364">
        <v>31</v>
      </c>
      <c r="Q211" s="365">
        <f>'Potable Water Calculator'!D42</f>
        <v>4</v>
      </c>
      <c r="R211" s="366">
        <f>'Potable Water Calculator'!C213</f>
        <v>1</v>
      </c>
      <c r="S211" s="90">
        <f t="shared" si="288"/>
        <v>132.85714285714286</v>
      </c>
      <c r="T211" s="90">
        <f t="shared" si="289"/>
        <v>132.85714285714286</v>
      </c>
      <c r="U211" s="90">
        <f t="shared" si="290"/>
        <v>0</v>
      </c>
      <c r="V211" s="90">
        <f t="shared" si="291"/>
        <v>132.85714285714286</v>
      </c>
      <c r="W211" s="90">
        <f t="shared" si="292"/>
        <v>132.85714285714286</v>
      </c>
      <c r="X211" s="90">
        <f t="shared" si="293"/>
        <v>0</v>
      </c>
      <c r="Y211" s="90">
        <f t="shared" si="294"/>
        <v>132.85714285714286</v>
      </c>
      <c r="Z211" s="90">
        <f t="shared" si="295"/>
        <v>132.85714285714286</v>
      </c>
      <c r="AA211" s="90">
        <f t="shared" si="296"/>
        <v>0</v>
      </c>
      <c r="AB211" s="90">
        <f t="shared" si="297"/>
        <v>132.85714285714286</v>
      </c>
      <c r="AC211" s="90">
        <f t="shared" si="298"/>
        <v>132.85714285714286</v>
      </c>
      <c r="AD211" s="90">
        <f t="shared" si="299"/>
        <v>0</v>
      </c>
      <c r="AE211" s="90">
        <f t="shared" si="300"/>
        <v>132.85714285714286</v>
      </c>
      <c r="AF211" s="90">
        <f t="shared" si="301"/>
        <v>132.85714285714286</v>
      </c>
      <c r="AG211" s="90">
        <f t="shared" si="302"/>
        <v>0</v>
      </c>
      <c r="AH211" s="23">
        <f t="shared" si="303"/>
        <v>0</v>
      </c>
      <c r="AI211" s="90">
        <f t="shared" si="304"/>
        <v>0</v>
      </c>
      <c r="AJ211" s="90">
        <f t="shared" si="305"/>
        <v>0</v>
      </c>
      <c r="AK211" s="90">
        <f t="shared" si="306"/>
        <v>0</v>
      </c>
      <c r="AL211" s="90">
        <f t="shared" si="307"/>
        <v>0</v>
      </c>
      <c r="AM211" s="90">
        <f t="shared" si="308"/>
        <v>0</v>
      </c>
      <c r="AN211" s="90">
        <f t="shared" si="309"/>
        <v>0</v>
      </c>
      <c r="AO211" s="14"/>
      <c r="AP211" s="14"/>
      <c r="AQ211" s="14"/>
      <c r="AR211" s="14"/>
      <c r="AS211" s="14"/>
      <c r="AT211" s="14"/>
      <c r="AU211" s="14"/>
      <c r="AV211" s="14"/>
      <c r="AW211" s="14"/>
      <c r="AX211" s="14"/>
      <c r="AY211" s="14"/>
      <c r="AZ211" s="14"/>
      <c r="BA211" s="14"/>
      <c r="BB211" s="14"/>
      <c r="BC211" s="14"/>
      <c r="BD211" s="307"/>
      <c r="BE211" s="165" t="s">
        <v>17</v>
      </c>
      <c r="BF211" s="23">
        <v>22</v>
      </c>
      <c r="BG211" s="23">
        <v>11</v>
      </c>
      <c r="BH211" s="23">
        <v>7</v>
      </c>
      <c r="BI211" s="90" t="b">
        <f t="shared" si="224"/>
        <v>0</v>
      </c>
      <c r="BJ211" s="46" t="b">
        <f t="shared" si="262"/>
        <v>0</v>
      </c>
      <c r="BK211" s="166">
        <f t="shared" si="263"/>
        <v>0</v>
      </c>
      <c r="BL211" s="175">
        <f>IF(SUM(BL$201:BL210,BK211)&gt;$BP$4,0,BK211)</f>
        <v>0</v>
      </c>
      <c r="BM211" s="23">
        <f t="shared" si="209"/>
        <v>0</v>
      </c>
      <c r="BN211" s="90">
        <f t="shared" si="210"/>
        <v>0</v>
      </c>
      <c r="BO211" s="24">
        <f t="shared" si="229"/>
        <v>0</v>
      </c>
      <c r="BP211" s="349">
        <f t="shared" si="264"/>
        <v>0</v>
      </c>
      <c r="BQ211" s="171">
        <f t="shared" si="265"/>
        <v>0</v>
      </c>
      <c r="BR211" s="170">
        <f t="shared" si="211"/>
        <v>0</v>
      </c>
      <c r="BS211" s="168">
        <f t="shared" si="266"/>
        <v>0</v>
      </c>
      <c r="BT211" s="171">
        <f t="shared" si="267"/>
        <v>0</v>
      </c>
      <c r="BU211" s="170">
        <f t="shared" si="212"/>
        <v>0</v>
      </c>
      <c r="BV211" s="168">
        <f t="shared" si="268"/>
        <v>0</v>
      </c>
      <c r="BW211" s="171">
        <f t="shared" si="269"/>
        <v>0</v>
      </c>
      <c r="BX211" s="170">
        <f t="shared" si="213"/>
        <v>0</v>
      </c>
      <c r="BY211" s="168">
        <f t="shared" si="270"/>
        <v>0</v>
      </c>
      <c r="BZ211" s="171">
        <f t="shared" si="271"/>
        <v>0</v>
      </c>
      <c r="CA211" s="170">
        <f t="shared" si="214"/>
        <v>0</v>
      </c>
      <c r="CB211" s="90">
        <f t="shared" si="272"/>
        <v>0</v>
      </c>
      <c r="CC211" s="171">
        <f t="shared" si="273"/>
        <v>0</v>
      </c>
      <c r="CD211" s="170">
        <f t="shared" si="215"/>
        <v>0</v>
      </c>
      <c r="CE211" s="90">
        <f t="shared" si="274"/>
        <v>0</v>
      </c>
      <c r="CF211" s="171">
        <f t="shared" si="275"/>
        <v>0</v>
      </c>
      <c r="CG211" s="170">
        <f t="shared" si="216"/>
        <v>0</v>
      </c>
      <c r="CH211" s="90">
        <f t="shared" si="276"/>
        <v>0</v>
      </c>
      <c r="CI211" s="171">
        <f t="shared" si="277"/>
        <v>0</v>
      </c>
      <c r="CJ211" s="170">
        <f t="shared" si="217"/>
        <v>0</v>
      </c>
      <c r="CK211" s="90">
        <f t="shared" si="278"/>
        <v>0</v>
      </c>
      <c r="CL211" s="171">
        <f t="shared" si="279"/>
        <v>0</v>
      </c>
      <c r="CM211" s="170">
        <f t="shared" si="218"/>
        <v>0</v>
      </c>
      <c r="CN211" s="90">
        <f t="shared" si="280"/>
        <v>0</v>
      </c>
      <c r="CO211" s="171">
        <f t="shared" si="281"/>
        <v>0</v>
      </c>
      <c r="CP211" s="170">
        <f t="shared" si="219"/>
        <v>0</v>
      </c>
      <c r="CQ211" s="90">
        <f t="shared" si="282"/>
        <v>0</v>
      </c>
      <c r="CR211" s="171">
        <f t="shared" si="283"/>
        <v>0</v>
      </c>
      <c r="CS211" s="170">
        <f t="shared" si="220"/>
        <v>0</v>
      </c>
      <c r="CT211" s="90">
        <f t="shared" si="284"/>
        <v>0</v>
      </c>
      <c r="CU211" s="171">
        <f t="shared" si="285"/>
        <v>0</v>
      </c>
      <c r="CV211" s="170">
        <f t="shared" si="221"/>
        <v>0</v>
      </c>
      <c r="CW211" s="90">
        <f t="shared" si="286"/>
        <v>0</v>
      </c>
      <c r="CX211" s="171">
        <f t="shared" si="287"/>
        <v>0</v>
      </c>
      <c r="CY211" s="170">
        <f t="shared" si="222"/>
        <v>0</v>
      </c>
      <c r="CZ211" s="168">
        <f t="shared" si="223"/>
        <v>0</v>
      </c>
      <c r="DA211" s="172">
        <f t="shared" si="225"/>
        <v>0</v>
      </c>
      <c r="DB211" s="173">
        <f t="shared" si="226"/>
        <v>0</v>
      </c>
      <c r="DC211" s="172">
        <f t="shared" si="261"/>
        <v>0</v>
      </c>
      <c r="DD211" s="172">
        <f t="shared" si="261"/>
        <v>0</v>
      </c>
      <c r="DE211" s="172">
        <f t="shared" si="261"/>
        <v>0</v>
      </c>
      <c r="DF211" s="172">
        <f t="shared" si="228"/>
        <v>0</v>
      </c>
      <c r="DG211" s="136"/>
      <c r="DH211" s="136"/>
      <c r="DI211" s="3"/>
      <c r="DJ211" s="340" t="s">
        <v>378</v>
      </c>
      <c r="DK211" s="360">
        <v>1</v>
      </c>
      <c r="DL211" s="67"/>
      <c r="DM211" s="8"/>
      <c r="DN211" s="340" t="s">
        <v>388</v>
      </c>
      <c r="DO211" s="370" t="s">
        <v>385</v>
      </c>
      <c r="DP211" s="8"/>
      <c r="DQ211" s="3"/>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row>
    <row r="212" spans="1:155" s="566" customFormat="1" ht="15" customHeight="1">
      <c r="A212" s="197"/>
      <c r="B212" s="194" t="s">
        <v>185</v>
      </c>
      <c r="C212" s="267">
        <f>IFERROR(VLOOKUP($D$32,'Rainfall data'!$R$6:$AD$11,N229,FALSE),"")</f>
        <v>1</v>
      </c>
      <c r="D212" s="195"/>
      <c r="E212" s="195">
        <f t="shared" si="310"/>
        <v>0</v>
      </c>
      <c r="F212" s="180"/>
      <c r="G212" s="180"/>
      <c r="H212" s="180"/>
      <c r="I212" s="180"/>
      <c r="J212" s="180"/>
      <c r="K212" s="180"/>
      <c r="L212" s="70"/>
      <c r="M212" s="70"/>
      <c r="N212" s="14"/>
      <c r="O212" s="234" t="s">
        <v>187</v>
      </c>
      <c r="P212" s="364">
        <v>31</v>
      </c>
      <c r="Q212" s="365">
        <f>'Potable Water Calculator'!D43</f>
        <v>6</v>
      </c>
      <c r="R212" s="366">
        <f>'Potable Water Calculator'!C214</f>
        <v>1</v>
      </c>
      <c r="S212" s="90">
        <f t="shared" si="288"/>
        <v>132.85714285714286</v>
      </c>
      <c r="T212" s="90">
        <f t="shared" si="289"/>
        <v>132.85714285714286</v>
      </c>
      <c r="U212" s="90">
        <f t="shared" si="290"/>
        <v>0</v>
      </c>
      <c r="V212" s="90">
        <f t="shared" si="291"/>
        <v>132.85714285714286</v>
      </c>
      <c r="W212" s="90">
        <f t="shared" si="292"/>
        <v>132.85714285714286</v>
      </c>
      <c r="X212" s="90">
        <f t="shared" si="293"/>
        <v>0</v>
      </c>
      <c r="Y212" s="90">
        <f t="shared" si="294"/>
        <v>132.85714285714286</v>
      </c>
      <c r="Z212" s="90">
        <f t="shared" si="295"/>
        <v>132.85714285714286</v>
      </c>
      <c r="AA212" s="90">
        <f t="shared" si="296"/>
        <v>0</v>
      </c>
      <c r="AB212" s="90">
        <f t="shared" si="297"/>
        <v>132.85714285714286</v>
      </c>
      <c r="AC212" s="90">
        <f t="shared" si="298"/>
        <v>132.85714285714286</v>
      </c>
      <c r="AD212" s="90">
        <f t="shared" si="299"/>
        <v>0</v>
      </c>
      <c r="AE212" s="90">
        <f t="shared" si="300"/>
        <v>132.85714285714286</v>
      </c>
      <c r="AF212" s="90">
        <f t="shared" si="301"/>
        <v>132.85714285714286</v>
      </c>
      <c r="AG212" s="90">
        <f t="shared" si="302"/>
        <v>0</v>
      </c>
      <c r="AH212" s="23">
        <f t="shared" si="303"/>
        <v>0</v>
      </c>
      <c r="AI212" s="90">
        <f t="shared" si="304"/>
        <v>0</v>
      </c>
      <c r="AJ212" s="90">
        <f t="shared" si="305"/>
        <v>0</v>
      </c>
      <c r="AK212" s="90">
        <f t="shared" si="306"/>
        <v>0</v>
      </c>
      <c r="AL212" s="90">
        <f t="shared" si="307"/>
        <v>0</v>
      </c>
      <c r="AM212" s="90">
        <f t="shared" si="308"/>
        <v>0</v>
      </c>
      <c r="AN212" s="90">
        <f t="shared" si="309"/>
        <v>0</v>
      </c>
      <c r="AO212" s="14"/>
      <c r="AP212" s="14"/>
      <c r="AQ212" s="14"/>
      <c r="AR212" s="14"/>
      <c r="AS212" s="14"/>
      <c r="AT212" s="14"/>
      <c r="AU212" s="14"/>
      <c r="AV212" s="14"/>
      <c r="AW212" s="14"/>
      <c r="AX212" s="14"/>
      <c r="AY212" s="14"/>
      <c r="AZ212" s="14"/>
      <c r="BA212" s="14"/>
      <c r="BB212" s="14"/>
      <c r="BC212" s="14"/>
      <c r="BD212" s="307"/>
      <c r="BE212" s="165" t="s">
        <v>17</v>
      </c>
      <c r="BF212" s="23">
        <v>22</v>
      </c>
      <c r="BG212" s="23">
        <v>12</v>
      </c>
      <c r="BH212" s="23">
        <v>1</v>
      </c>
      <c r="BI212" s="90" t="b">
        <f t="shared" si="224"/>
        <v>1</v>
      </c>
      <c r="BJ212" s="46" t="b">
        <f t="shared" si="262"/>
        <v>0</v>
      </c>
      <c r="BK212" s="166">
        <f t="shared" si="263"/>
        <v>0</v>
      </c>
      <c r="BL212" s="175">
        <f>IF(SUM(BL$201:BL211,BK212)&gt;$BP$4,0,BK212)</f>
        <v>0</v>
      </c>
      <c r="BM212" s="23">
        <f t="shared" ref="BM212:BM275" si="311">BL212*$BJ$13</f>
        <v>0</v>
      </c>
      <c r="BN212" s="90">
        <f t="shared" ref="BN212:BN275" si="312">$BJ$14*(BL212&gt;0)</f>
        <v>0</v>
      </c>
      <c r="BO212" s="24">
        <f t="shared" si="229"/>
        <v>0</v>
      </c>
      <c r="BP212" s="349">
        <f t="shared" si="264"/>
        <v>0</v>
      </c>
      <c r="BQ212" s="171">
        <f t="shared" si="265"/>
        <v>0</v>
      </c>
      <c r="BR212" s="170">
        <f t="shared" ref="BR212:BR275" si="313">IF(BP212-(BQ212*$BR$17)&gt;0,BP212-(BQ212*$BR$17),0)</f>
        <v>0</v>
      </c>
      <c r="BS212" s="168">
        <f t="shared" si="266"/>
        <v>0</v>
      </c>
      <c r="BT212" s="171">
        <f t="shared" si="267"/>
        <v>0</v>
      </c>
      <c r="BU212" s="170">
        <f t="shared" ref="BU212:BU275" si="314">IF(BS212-(BT212*BU$17)&gt;0,BS212-(BT212*BU$17),0)</f>
        <v>0</v>
      </c>
      <c r="BV212" s="168">
        <f t="shared" si="268"/>
        <v>0</v>
      </c>
      <c r="BW212" s="171">
        <f t="shared" si="269"/>
        <v>0</v>
      </c>
      <c r="BX212" s="170">
        <f t="shared" ref="BX212:BX275" si="315">IF(BV212-(BW212*BX$17)&gt;0,BV212-(BW212*BX$17),0)</f>
        <v>0</v>
      </c>
      <c r="BY212" s="168">
        <f t="shared" si="270"/>
        <v>0</v>
      </c>
      <c r="BZ212" s="171">
        <f t="shared" si="271"/>
        <v>0</v>
      </c>
      <c r="CA212" s="170">
        <f t="shared" ref="CA212:CA275" si="316">IF(BY212-(BZ212*CA$17)&gt;0,BY212-(BZ212*CA$17),0)</f>
        <v>0</v>
      </c>
      <c r="CB212" s="90">
        <f t="shared" si="272"/>
        <v>0</v>
      </c>
      <c r="CC212" s="171">
        <f t="shared" si="273"/>
        <v>0</v>
      </c>
      <c r="CD212" s="170">
        <f t="shared" ref="CD212:CD275" si="317">IF(CB212-(CC212*CD$17)&gt;0,CB212-(CC212*CD$17),0)</f>
        <v>0</v>
      </c>
      <c r="CE212" s="90">
        <f t="shared" si="274"/>
        <v>0</v>
      </c>
      <c r="CF212" s="171">
        <f t="shared" si="275"/>
        <v>0</v>
      </c>
      <c r="CG212" s="170">
        <f t="shared" ref="CG212:CG275" si="318">IF(CE212-(CF212*CG$17)&gt;0,CE212-(CF212*CG$17),0)</f>
        <v>0</v>
      </c>
      <c r="CH212" s="90">
        <f t="shared" si="276"/>
        <v>0</v>
      </c>
      <c r="CI212" s="171">
        <f t="shared" si="277"/>
        <v>0</v>
      </c>
      <c r="CJ212" s="170">
        <f t="shared" ref="CJ212:CJ275" si="319">IF(CH212-(CI212*CJ$17)&gt;0,CH212-(CI212*CJ$17),0)</f>
        <v>0</v>
      </c>
      <c r="CK212" s="90">
        <f t="shared" si="278"/>
        <v>0</v>
      </c>
      <c r="CL212" s="171">
        <f t="shared" si="279"/>
        <v>0</v>
      </c>
      <c r="CM212" s="170">
        <f t="shared" ref="CM212:CM275" si="320">IF(CK212-(CL212*CM$17)&gt;0,CK212-(CL212*CM$17),0)</f>
        <v>0</v>
      </c>
      <c r="CN212" s="90">
        <f t="shared" si="280"/>
        <v>0</v>
      </c>
      <c r="CO212" s="171">
        <f t="shared" si="281"/>
        <v>0</v>
      </c>
      <c r="CP212" s="170">
        <f t="shared" ref="CP212:CP275" si="321">IF(CN212-(CO212*CP$17)&gt;0,CN212-(CO212*CP$17),0)</f>
        <v>0</v>
      </c>
      <c r="CQ212" s="90">
        <f t="shared" si="282"/>
        <v>0</v>
      </c>
      <c r="CR212" s="171">
        <f t="shared" si="283"/>
        <v>0</v>
      </c>
      <c r="CS212" s="170">
        <f t="shared" ref="CS212:CS275" si="322">IF(CQ212-(CR212*CS$17)&gt;0,CQ212-(CR212*CS$17),0)</f>
        <v>0</v>
      </c>
      <c r="CT212" s="90">
        <f t="shared" si="284"/>
        <v>0</v>
      </c>
      <c r="CU212" s="171">
        <f t="shared" si="285"/>
        <v>0</v>
      </c>
      <c r="CV212" s="170">
        <f t="shared" ref="CV212:CV275" si="323">IF(CT212-(CU212*CV$17)&gt;0,CT212-(CU212*CV$17),0)</f>
        <v>0</v>
      </c>
      <c r="CW212" s="90">
        <f t="shared" si="286"/>
        <v>0</v>
      </c>
      <c r="CX212" s="171">
        <f t="shared" si="287"/>
        <v>0</v>
      </c>
      <c r="CY212" s="170">
        <f t="shared" ref="CY212:CY275" si="324">IF(CW212-(CX212*CY$17)&gt;0,CW212-(CX212*CY$17),0)</f>
        <v>0</v>
      </c>
      <c r="CZ212" s="168">
        <f t="shared" ref="CZ212:CZ275" si="325">BO212</f>
        <v>0</v>
      </c>
      <c r="DA212" s="172">
        <f t="shared" si="225"/>
        <v>0</v>
      </c>
      <c r="DB212" s="173">
        <f t="shared" si="226"/>
        <v>0</v>
      </c>
      <c r="DC212" s="172">
        <f t="shared" si="261"/>
        <v>0</v>
      </c>
      <c r="DD212" s="172">
        <f t="shared" si="261"/>
        <v>0</v>
      </c>
      <c r="DE212" s="172">
        <f t="shared" si="261"/>
        <v>0</v>
      </c>
      <c r="DF212" s="172">
        <f t="shared" si="228"/>
        <v>0</v>
      </c>
      <c r="DG212" s="136"/>
      <c r="DH212" s="136"/>
      <c r="DI212" s="3"/>
      <c r="DJ212" s="340" t="s">
        <v>389</v>
      </c>
      <c r="DK212" s="360">
        <v>0.8</v>
      </c>
      <c r="DL212" s="8"/>
      <c r="DM212" s="8"/>
      <c r="DN212" s="340" t="s">
        <v>390</v>
      </c>
      <c r="DO212" s="370" t="s">
        <v>391</v>
      </c>
      <c r="DP212" s="8"/>
      <c r="DQ212" s="3"/>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row>
    <row r="213" spans="1:155" s="566" customFormat="1">
      <c r="A213" s="181"/>
      <c r="B213" s="194" t="s">
        <v>186</v>
      </c>
      <c r="C213" s="267">
        <f>IFERROR(VLOOKUP($D$32,'Rainfall data'!$R$6:$AD$11,N230,FALSE),"")</f>
        <v>1</v>
      </c>
      <c r="D213" s="195"/>
      <c r="E213" s="195">
        <f t="shared" si="310"/>
        <v>0</v>
      </c>
      <c r="F213" s="180"/>
      <c r="G213" s="180"/>
      <c r="H213" s="180"/>
      <c r="I213" s="180"/>
      <c r="J213" s="180"/>
      <c r="K213" s="180"/>
      <c r="L213" s="70"/>
      <c r="M213" s="70"/>
      <c r="N213" s="56"/>
      <c r="O213" s="234" t="s">
        <v>188</v>
      </c>
      <c r="P213" s="364">
        <v>30</v>
      </c>
      <c r="Q213" s="365">
        <f>'Potable Water Calculator'!D44</f>
        <v>27</v>
      </c>
      <c r="R213" s="366">
        <f>'Potable Water Calculator'!C215</f>
        <v>1</v>
      </c>
      <c r="S213" s="90">
        <f t="shared" si="288"/>
        <v>128.57142857142856</v>
      </c>
      <c r="T213" s="90">
        <f t="shared" si="289"/>
        <v>128.57142857142856</v>
      </c>
      <c r="U213" s="90">
        <f t="shared" si="290"/>
        <v>0</v>
      </c>
      <c r="V213" s="90">
        <f t="shared" si="291"/>
        <v>128.57142857142856</v>
      </c>
      <c r="W213" s="90">
        <f t="shared" si="292"/>
        <v>128.57142857142856</v>
      </c>
      <c r="X213" s="90">
        <f t="shared" si="293"/>
        <v>0</v>
      </c>
      <c r="Y213" s="90">
        <f t="shared" si="294"/>
        <v>128.57142857142856</v>
      </c>
      <c r="Z213" s="90">
        <f t="shared" si="295"/>
        <v>128.57142857142856</v>
      </c>
      <c r="AA213" s="90">
        <f t="shared" si="296"/>
        <v>0</v>
      </c>
      <c r="AB213" s="90">
        <f t="shared" si="297"/>
        <v>128.57142857142856</v>
      </c>
      <c r="AC213" s="90">
        <f t="shared" si="298"/>
        <v>128.57142857142856</v>
      </c>
      <c r="AD213" s="90">
        <f t="shared" si="299"/>
        <v>0</v>
      </c>
      <c r="AE213" s="90">
        <f t="shared" si="300"/>
        <v>128.57142857142856</v>
      </c>
      <c r="AF213" s="90">
        <f t="shared" si="301"/>
        <v>128.57142857142856</v>
      </c>
      <c r="AG213" s="90">
        <f t="shared" si="302"/>
        <v>0</v>
      </c>
      <c r="AH213" s="23">
        <f t="shared" si="303"/>
        <v>0</v>
      </c>
      <c r="AI213" s="90">
        <f t="shared" si="304"/>
        <v>0</v>
      </c>
      <c r="AJ213" s="90">
        <f t="shared" si="305"/>
        <v>0</v>
      </c>
      <c r="AK213" s="90">
        <f t="shared" si="306"/>
        <v>0</v>
      </c>
      <c r="AL213" s="90">
        <f t="shared" si="307"/>
        <v>0</v>
      </c>
      <c r="AM213" s="90">
        <f t="shared" si="308"/>
        <v>0</v>
      </c>
      <c r="AN213" s="90">
        <f t="shared" si="309"/>
        <v>0</v>
      </c>
      <c r="AO213" s="14"/>
      <c r="AP213" s="14"/>
      <c r="AQ213" s="14"/>
      <c r="AR213" s="14"/>
      <c r="AS213" s="14"/>
      <c r="AT213" s="14"/>
      <c r="AU213" s="14"/>
      <c r="AV213" s="14"/>
      <c r="AW213" s="14"/>
      <c r="AX213" s="14"/>
      <c r="AY213" s="14"/>
      <c r="AZ213" s="14"/>
      <c r="BA213" s="14"/>
      <c r="BB213" s="14"/>
      <c r="BC213" s="14"/>
      <c r="BD213" s="307"/>
      <c r="BE213" s="165" t="s">
        <v>17</v>
      </c>
      <c r="BF213" s="23">
        <v>22</v>
      </c>
      <c r="BG213" s="23">
        <v>13</v>
      </c>
      <c r="BH213" s="23">
        <v>2</v>
      </c>
      <c r="BI213" s="90" t="b">
        <f t="shared" ref="BI213:BI276" si="326">BH213&lt;=5</f>
        <v>1</v>
      </c>
      <c r="BJ213" s="46" t="b">
        <f t="shared" si="262"/>
        <v>0</v>
      </c>
      <c r="BK213" s="166">
        <f t="shared" si="263"/>
        <v>0</v>
      </c>
      <c r="BL213" s="175">
        <f>IF(SUM(BL$201:BL212,BK213)&gt;$BP$4,0,BK213)</f>
        <v>0</v>
      </c>
      <c r="BM213" s="23">
        <f t="shared" si="311"/>
        <v>0</v>
      </c>
      <c r="BN213" s="90">
        <f t="shared" si="312"/>
        <v>0</v>
      </c>
      <c r="BO213" s="24">
        <f t="shared" si="229"/>
        <v>0</v>
      </c>
      <c r="BP213" s="349">
        <f t="shared" si="264"/>
        <v>0</v>
      </c>
      <c r="BQ213" s="171">
        <f t="shared" si="265"/>
        <v>0</v>
      </c>
      <c r="BR213" s="170">
        <f t="shared" si="313"/>
        <v>0</v>
      </c>
      <c r="BS213" s="168">
        <f t="shared" si="266"/>
        <v>0</v>
      </c>
      <c r="BT213" s="171">
        <f t="shared" si="267"/>
        <v>0</v>
      </c>
      <c r="BU213" s="170">
        <f t="shared" si="314"/>
        <v>0</v>
      </c>
      <c r="BV213" s="168">
        <f t="shared" si="268"/>
        <v>0</v>
      </c>
      <c r="BW213" s="171">
        <f t="shared" si="269"/>
        <v>0</v>
      </c>
      <c r="BX213" s="170">
        <f t="shared" si="315"/>
        <v>0</v>
      </c>
      <c r="BY213" s="168">
        <f t="shared" si="270"/>
        <v>0</v>
      </c>
      <c r="BZ213" s="171">
        <f t="shared" si="271"/>
        <v>0</v>
      </c>
      <c r="CA213" s="170">
        <f t="shared" si="316"/>
        <v>0</v>
      </c>
      <c r="CB213" s="90">
        <f t="shared" si="272"/>
        <v>0</v>
      </c>
      <c r="CC213" s="171">
        <f t="shared" si="273"/>
        <v>0</v>
      </c>
      <c r="CD213" s="170">
        <f t="shared" si="317"/>
        <v>0</v>
      </c>
      <c r="CE213" s="90">
        <f t="shared" si="274"/>
        <v>0</v>
      </c>
      <c r="CF213" s="171">
        <f t="shared" si="275"/>
        <v>0</v>
      </c>
      <c r="CG213" s="170">
        <f t="shared" si="318"/>
        <v>0</v>
      </c>
      <c r="CH213" s="90">
        <f t="shared" si="276"/>
        <v>0</v>
      </c>
      <c r="CI213" s="171">
        <f t="shared" si="277"/>
        <v>0</v>
      </c>
      <c r="CJ213" s="170">
        <f t="shared" si="319"/>
        <v>0</v>
      </c>
      <c r="CK213" s="90">
        <f t="shared" si="278"/>
        <v>0</v>
      </c>
      <c r="CL213" s="171">
        <f t="shared" si="279"/>
        <v>0</v>
      </c>
      <c r="CM213" s="170">
        <f t="shared" si="320"/>
        <v>0</v>
      </c>
      <c r="CN213" s="90">
        <f t="shared" si="280"/>
        <v>0</v>
      </c>
      <c r="CO213" s="171">
        <f t="shared" si="281"/>
        <v>0</v>
      </c>
      <c r="CP213" s="170">
        <f t="shared" si="321"/>
        <v>0</v>
      </c>
      <c r="CQ213" s="90">
        <f t="shared" si="282"/>
        <v>0</v>
      </c>
      <c r="CR213" s="171">
        <f t="shared" si="283"/>
        <v>0</v>
      </c>
      <c r="CS213" s="170">
        <f t="shared" si="322"/>
        <v>0</v>
      </c>
      <c r="CT213" s="90">
        <f t="shared" si="284"/>
        <v>0</v>
      </c>
      <c r="CU213" s="171">
        <f t="shared" si="285"/>
        <v>0</v>
      </c>
      <c r="CV213" s="170">
        <f t="shared" si="323"/>
        <v>0</v>
      </c>
      <c r="CW213" s="90">
        <f t="shared" si="286"/>
        <v>0</v>
      </c>
      <c r="CX213" s="171">
        <f t="shared" si="287"/>
        <v>0</v>
      </c>
      <c r="CY213" s="170">
        <f t="shared" si="324"/>
        <v>0</v>
      </c>
      <c r="CZ213" s="168">
        <f t="shared" si="325"/>
        <v>0</v>
      </c>
      <c r="DA213" s="172">
        <f t="shared" ref="DA213:DA276" si="327">BR213+BU213+BX213+CA213+CD213+CG213+CJ213+CM213+CP213+CS213+CV213+CY213</f>
        <v>0</v>
      </c>
      <c r="DB213" s="173">
        <f t="shared" ref="DB213:DB276" si="328">CZ213-DA213</f>
        <v>0</v>
      </c>
      <c r="DC213" s="172">
        <f t="shared" ref="DC213:DE228" si="329">IF(DC212+$DB213&lt;0,0,IF(DC212+$DB213&gt;$F$405,$F$405,DC212+$DB213))</f>
        <v>0</v>
      </c>
      <c r="DD213" s="172">
        <f t="shared" si="329"/>
        <v>0</v>
      </c>
      <c r="DE213" s="172">
        <f t="shared" si="329"/>
        <v>0</v>
      </c>
      <c r="DF213" s="172">
        <f t="shared" si="228"/>
        <v>0</v>
      </c>
      <c r="DG213" s="136"/>
      <c r="DH213" s="136"/>
      <c r="DI213" s="3"/>
      <c r="DJ213" s="8"/>
      <c r="DK213" s="8"/>
      <c r="DL213" s="8"/>
      <c r="DM213" s="8"/>
      <c r="DN213" s="340" t="s">
        <v>392</v>
      </c>
      <c r="DO213" s="370" t="s">
        <v>385</v>
      </c>
      <c r="DP213" s="8"/>
      <c r="DQ213" s="3"/>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row>
    <row r="214" spans="1:155" s="566" customFormat="1">
      <c r="A214" s="181"/>
      <c r="B214" s="194" t="s">
        <v>187</v>
      </c>
      <c r="C214" s="267">
        <f>IFERROR(VLOOKUP($D$32,'Rainfall data'!$R$6:$AD$11,N231,FALSE),"")</f>
        <v>1</v>
      </c>
      <c r="D214" s="195"/>
      <c r="E214" s="195">
        <f t="shared" si="310"/>
        <v>0</v>
      </c>
      <c r="F214" s="70"/>
      <c r="G214" s="70"/>
      <c r="H214" s="70"/>
      <c r="I214" s="180"/>
      <c r="J214" s="180"/>
      <c r="K214" s="180"/>
      <c r="L214" s="308"/>
      <c r="M214" s="308"/>
      <c r="N214" s="14"/>
      <c r="O214" s="371" t="s">
        <v>189</v>
      </c>
      <c r="P214" s="372">
        <v>31</v>
      </c>
      <c r="Q214" s="373">
        <f>'Potable Water Calculator'!D45</f>
        <v>72</v>
      </c>
      <c r="R214" s="374">
        <f>'Potable Water Calculator'!C216</f>
        <v>0.5</v>
      </c>
      <c r="S214" s="208">
        <f t="shared" si="288"/>
        <v>132.85714285714286</v>
      </c>
      <c r="T214" s="208">
        <f t="shared" si="289"/>
        <v>66.428571428571431</v>
      </c>
      <c r="U214" s="208">
        <f t="shared" si="290"/>
        <v>0</v>
      </c>
      <c r="V214" s="208">
        <f t="shared" si="291"/>
        <v>132.85714285714286</v>
      </c>
      <c r="W214" s="208">
        <f t="shared" si="292"/>
        <v>66.428571428571431</v>
      </c>
      <c r="X214" s="208">
        <f t="shared" si="293"/>
        <v>0</v>
      </c>
      <c r="Y214" s="208">
        <f t="shared" si="294"/>
        <v>132.85714285714286</v>
      </c>
      <c r="Z214" s="208">
        <f t="shared" si="295"/>
        <v>66.428571428571431</v>
      </c>
      <c r="AA214" s="208">
        <f t="shared" si="296"/>
        <v>0</v>
      </c>
      <c r="AB214" s="208">
        <f t="shared" si="297"/>
        <v>132.85714285714286</v>
      </c>
      <c r="AC214" s="208">
        <f t="shared" si="298"/>
        <v>66.428571428571431</v>
      </c>
      <c r="AD214" s="208">
        <f t="shared" si="299"/>
        <v>0</v>
      </c>
      <c r="AE214" s="208">
        <f t="shared" si="300"/>
        <v>132.85714285714286</v>
      </c>
      <c r="AF214" s="208">
        <f t="shared" si="301"/>
        <v>66.428571428571431</v>
      </c>
      <c r="AG214" s="208">
        <f t="shared" si="302"/>
        <v>0</v>
      </c>
      <c r="AH214" s="207">
        <f t="shared" si="303"/>
        <v>0</v>
      </c>
      <c r="AI214" s="208">
        <f t="shared" si="304"/>
        <v>0</v>
      </c>
      <c r="AJ214" s="208">
        <f t="shared" si="305"/>
        <v>0</v>
      </c>
      <c r="AK214" s="208">
        <f t="shared" si="306"/>
        <v>0</v>
      </c>
      <c r="AL214" s="208">
        <f t="shared" si="307"/>
        <v>0</v>
      </c>
      <c r="AM214" s="208">
        <f t="shared" si="308"/>
        <v>0</v>
      </c>
      <c r="AN214" s="208">
        <f t="shared" si="309"/>
        <v>0</v>
      </c>
      <c r="AO214" s="14"/>
      <c r="AP214" s="14"/>
      <c r="AQ214" s="14"/>
      <c r="AR214" s="14"/>
      <c r="AS214" s="14"/>
      <c r="AT214" s="14"/>
      <c r="AU214" s="14"/>
      <c r="AV214" s="14"/>
      <c r="AW214" s="14"/>
      <c r="AX214" s="14"/>
      <c r="AY214" s="14"/>
      <c r="AZ214" s="14"/>
      <c r="BA214" s="14"/>
      <c r="BB214" s="14"/>
      <c r="BC214" s="14"/>
      <c r="BD214" s="307"/>
      <c r="BE214" s="165" t="s">
        <v>17</v>
      </c>
      <c r="BF214" s="23">
        <v>22</v>
      </c>
      <c r="BG214" s="23">
        <v>14</v>
      </c>
      <c r="BH214" s="23">
        <v>3</v>
      </c>
      <c r="BI214" s="90" t="b">
        <f t="shared" si="326"/>
        <v>1</v>
      </c>
      <c r="BJ214" s="46" t="b">
        <f t="shared" si="262"/>
        <v>0</v>
      </c>
      <c r="BK214" s="166">
        <f t="shared" si="263"/>
        <v>0</v>
      </c>
      <c r="BL214" s="175">
        <f>IF(SUM(BL$201:BL213,BK214)&gt;$BP$4,0,BK214)</f>
        <v>0</v>
      </c>
      <c r="BM214" s="23">
        <f t="shared" si="311"/>
        <v>0</v>
      </c>
      <c r="BN214" s="90">
        <f t="shared" si="312"/>
        <v>0</v>
      </c>
      <c r="BO214" s="24">
        <f t="shared" si="229"/>
        <v>0</v>
      </c>
      <c r="BP214" s="349">
        <f t="shared" si="264"/>
        <v>0</v>
      </c>
      <c r="BQ214" s="171">
        <f t="shared" si="265"/>
        <v>0</v>
      </c>
      <c r="BR214" s="170">
        <f t="shared" si="313"/>
        <v>0</v>
      </c>
      <c r="BS214" s="168">
        <f t="shared" si="266"/>
        <v>0</v>
      </c>
      <c r="BT214" s="171">
        <f t="shared" si="267"/>
        <v>0</v>
      </c>
      <c r="BU214" s="170">
        <f t="shared" si="314"/>
        <v>0</v>
      </c>
      <c r="BV214" s="168">
        <f t="shared" si="268"/>
        <v>0</v>
      </c>
      <c r="BW214" s="171">
        <f t="shared" si="269"/>
        <v>0</v>
      </c>
      <c r="BX214" s="170">
        <f t="shared" si="315"/>
        <v>0</v>
      </c>
      <c r="BY214" s="168">
        <f t="shared" si="270"/>
        <v>0</v>
      </c>
      <c r="BZ214" s="171">
        <f t="shared" si="271"/>
        <v>0</v>
      </c>
      <c r="CA214" s="170">
        <f t="shared" si="316"/>
        <v>0</v>
      </c>
      <c r="CB214" s="90">
        <f t="shared" si="272"/>
        <v>0</v>
      </c>
      <c r="CC214" s="171">
        <f t="shared" si="273"/>
        <v>0</v>
      </c>
      <c r="CD214" s="170">
        <f t="shared" si="317"/>
        <v>0</v>
      </c>
      <c r="CE214" s="90">
        <f t="shared" si="274"/>
        <v>0</v>
      </c>
      <c r="CF214" s="171">
        <f t="shared" si="275"/>
        <v>0</v>
      </c>
      <c r="CG214" s="170">
        <f t="shared" si="318"/>
        <v>0</v>
      </c>
      <c r="CH214" s="90">
        <f t="shared" si="276"/>
        <v>0</v>
      </c>
      <c r="CI214" s="171">
        <f t="shared" si="277"/>
        <v>0</v>
      </c>
      <c r="CJ214" s="170">
        <f t="shared" si="319"/>
        <v>0</v>
      </c>
      <c r="CK214" s="90">
        <f t="shared" si="278"/>
        <v>0</v>
      </c>
      <c r="CL214" s="171">
        <f t="shared" si="279"/>
        <v>0</v>
      </c>
      <c r="CM214" s="170">
        <f t="shared" si="320"/>
        <v>0</v>
      </c>
      <c r="CN214" s="90">
        <f t="shared" si="280"/>
        <v>0</v>
      </c>
      <c r="CO214" s="171">
        <f t="shared" si="281"/>
        <v>0</v>
      </c>
      <c r="CP214" s="170">
        <f t="shared" si="321"/>
        <v>0</v>
      </c>
      <c r="CQ214" s="90">
        <f t="shared" si="282"/>
        <v>0</v>
      </c>
      <c r="CR214" s="171">
        <f t="shared" si="283"/>
        <v>0</v>
      </c>
      <c r="CS214" s="170">
        <f t="shared" si="322"/>
        <v>0</v>
      </c>
      <c r="CT214" s="90">
        <f t="shared" si="284"/>
        <v>0</v>
      </c>
      <c r="CU214" s="171">
        <f t="shared" si="285"/>
        <v>0</v>
      </c>
      <c r="CV214" s="170">
        <f t="shared" si="323"/>
        <v>0</v>
      </c>
      <c r="CW214" s="90">
        <f t="shared" si="286"/>
        <v>0</v>
      </c>
      <c r="CX214" s="171">
        <f t="shared" si="287"/>
        <v>0</v>
      </c>
      <c r="CY214" s="170">
        <f t="shared" si="324"/>
        <v>0</v>
      </c>
      <c r="CZ214" s="168">
        <f t="shared" si="325"/>
        <v>0</v>
      </c>
      <c r="DA214" s="172">
        <f t="shared" si="327"/>
        <v>0</v>
      </c>
      <c r="DB214" s="173">
        <f t="shared" si="328"/>
        <v>0</v>
      </c>
      <c r="DC214" s="172">
        <f t="shared" si="329"/>
        <v>0</v>
      </c>
      <c r="DD214" s="172">
        <f t="shared" si="329"/>
        <v>0</v>
      </c>
      <c r="DE214" s="172">
        <f t="shared" si="329"/>
        <v>0</v>
      </c>
      <c r="DF214" s="172">
        <f t="shared" ref="DF214:DF277" si="330">IF(DA214-(DE213+CZ214)&lt;0,0,DA214-(DE213+CZ214))</f>
        <v>0</v>
      </c>
      <c r="DG214" s="136"/>
      <c r="DH214" s="136"/>
      <c r="DI214" s="3"/>
      <c r="DJ214" s="8"/>
      <c r="DK214" s="8"/>
      <c r="DL214" s="8"/>
      <c r="DM214" s="8"/>
      <c r="DN214" s="340" t="s">
        <v>322</v>
      </c>
      <c r="DO214" s="370">
        <v>1</v>
      </c>
      <c r="DP214" s="8"/>
      <c r="DQ214" s="3"/>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row>
    <row r="215" spans="1:155" s="566" customFormat="1">
      <c r="A215" s="181"/>
      <c r="B215" s="194" t="s">
        <v>188</v>
      </c>
      <c r="C215" s="267">
        <f>IFERROR(VLOOKUP($D$32,'Rainfall data'!$R$6:$AD$11,N232,FALSE),"")</f>
        <v>1</v>
      </c>
      <c r="D215" s="195"/>
      <c r="E215" s="195">
        <f t="shared" si="310"/>
        <v>0</v>
      </c>
      <c r="F215" s="70"/>
      <c r="G215" s="70"/>
      <c r="H215" s="70"/>
      <c r="I215" s="180"/>
      <c r="J215" s="180"/>
      <c r="K215" s="180"/>
      <c r="L215" s="308"/>
      <c r="M215" s="308"/>
      <c r="N215" s="14"/>
      <c r="O215" s="234" t="s">
        <v>190</v>
      </c>
      <c r="P215" s="364">
        <v>30</v>
      </c>
      <c r="Q215" s="365">
        <f>'Potable Water Calculator'!D46</f>
        <v>117</v>
      </c>
      <c r="R215" s="366">
        <f>'Potable Water Calculator'!C217</f>
        <v>0.5</v>
      </c>
      <c r="S215" s="90">
        <f t="shared" si="288"/>
        <v>128.57142857142856</v>
      </c>
      <c r="T215" s="90">
        <f t="shared" si="289"/>
        <v>64.285714285714278</v>
      </c>
      <c r="U215" s="90">
        <f t="shared" si="290"/>
        <v>0</v>
      </c>
      <c r="V215" s="90">
        <f t="shared" si="291"/>
        <v>128.57142857142856</v>
      </c>
      <c r="W215" s="90">
        <f t="shared" si="292"/>
        <v>64.285714285714278</v>
      </c>
      <c r="X215" s="90">
        <f t="shared" si="293"/>
        <v>0</v>
      </c>
      <c r="Y215" s="90">
        <f t="shared" si="294"/>
        <v>128.57142857142856</v>
      </c>
      <c r="Z215" s="90">
        <f t="shared" si="295"/>
        <v>64.285714285714278</v>
      </c>
      <c r="AA215" s="90">
        <f t="shared" si="296"/>
        <v>0</v>
      </c>
      <c r="AB215" s="90">
        <f t="shared" si="297"/>
        <v>128.57142857142856</v>
      </c>
      <c r="AC215" s="90">
        <f t="shared" si="298"/>
        <v>64.285714285714278</v>
      </c>
      <c r="AD215" s="90">
        <f t="shared" si="299"/>
        <v>0</v>
      </c>
      <c r="AE215" s="90">
        <f t="shared" si="300"/>
        <v>128.57142857142856</v>
      </c>
      <c r="AF215" s="90">
        <f t="shared" si="301"/>
        <v>64.285714285714278</v>
      </c>
      <c r="AG215" s="90">
        <f t="shared" si="302"/>
        <v>0</v>
      </c>
      <c r="AH215" s="23">
        <f t="shared" si="303"/>
        <v>0</v>
      </c>
      <c r="AI215" s="90">
        <f t="shared" si="304"/>
        <v>0</v>
      </c>
      <c r="AJ215" s="90">
        <f t="shared" si="305"/>
        <v>0</v>
      </c>
      <c r="AK215" s="90">
        <f t="shared" si="306"/>
        <v>0</v>
      </c>
      <c r="AL215" s="90">
        <f t="shared" si="307"/>
        <v>0</v>
      </c>
      <c r="AM215" s="90">
        <f t="shared" si="308"/>
        <v>0</v>
      </c>
      <c r="AN215" s="90">
        <f t="shared" si="309"/>
        <v>0</v>
      </c>
      <c r="AO215" s="14"/>
      <c r="AP215" s="14"/>
      <c r="AQ215" s="14"/>
      <c r="AR215" s="14"/>
      <c r="AS215" s="14"/>
      <c r="AT215" s="14"/>
      <c r="AU215" s="14"/>
      <c r="AV215" s="14"/>
      <c r="AW215" s="14"/>
      <c r="AX215" s="14"/>
      <c r="AY215" s="14"/>
      <c r="AZ215" s="14"/>
      <c r="BA215" s="14"/>
      <c r="BB215" s="14"/>
      <c r="BC215" s="14"/>
      <c r="BD215" s="307"/>
      <c r="BE215" s="165" t="s">
        <v>17</v>
      </c>
      <c r="BF215" s="23">
        <v>22</v>
      </c>
      <c r="BG215" s="23">
        <v>15</v>
      </c>
      <c r="BH215" s="23">
        <v>4</v>
      </c>
      <c r="BI215" s="90" t="b">
        <f t="shared" si="326"/>
        <v>1</v>
      </c>
      <c r="BJ215" s="46" t="b">
        <f t="shared" si="262"/>
        <v>0</v>
      </c>
      <c r="BK215" s="166">
        <f t="shared" si="263"/>
        <v>0</v>
      </c>
      <c r="BL215" s="175">
        <f>IF(SUM(BL$201:BL214,BK215)&gt;$BP$4,0,BK215)</f>
        <v>0</v>
      </c>
      <c r="BM215" s="23">
        <f t="shared" si="311"/>
        <v>0</v>
      </c>
      <c r="BN215" s="90">
        <f t="shared" si="312"/>
        <v>0</v>
      </c>
      <c r="BO215" s="24">
        <f t="shared" si="229"/>
        <v>0</v>
      </c>
      <c r="BP215" s="349">
        <f t="shared" si="264"/>
        <v>0</v>
      </c>
      <c r="BQ215" s="171">
        <f t="shared" si="265"/>
        <v>0</v>
      </c>
      <c r="BR215" s="170">
        <f t="shared" si="313"/>
        <v>0</v>
      </c>
      <c r="BS215" s="168">
        <f t="shared" si="266"/>
        <v>0</v>
      </c>
      <c r="BT215" s="171">
        <f t="shared" si="267"/>
        <v>0</v>
      </c>
      <c r="BU215" s="170">
        <f t="shared" si="314"/>
        <v>0</v>
      </c>
      <c r="BV215" s="168">
        <f t="shared" si="268"/>
        <v>0</v>
      </c>
      <c r="BW215" s="171">
        <f t="shared" si="269"/>
        <v>0</v>
      </c>
      <c r="BX215" s="170">
        <f t="shared" si="315"/>
        <v>0</v>
      </c>
      <c r="BY215" s="168">
        <f t="shared" si="270"/>
        <v>0</v>
      </c>
      <c r="BZ215" s="171">
        <f t="shared" si="271"/>
        <v>0</v>
      </c>
      <c r="CA215" s="170">
        <f t="shared" si="316"/>
        <v>0</v>
      </c>
      <c r="CB215" s="90">
        <f t="shared" si="272"/>
        <v>0</v>
      </c>
      <c r="CC215" s="171">
        <f t="shared" si="273"/>
        <v>0</v>
      </c>
      <c r="CD215" s="170">
        <f t="shared" si="317"/>
        <v>0</v>
      </c>
      <c r="CE215" s="90">
        <f t="shared" si="274"/>
        <v>0</v>
      </c>
      <c r="CF215" s="171">
        <f t="shared" si="275"/>
        <v>0</v>
      </c>
      <c r="CG215" s="170">
        <f t="shared" si="318"/>
        <v>0</v>
      </c>
      <c r="CH215" s="90">
        <f t="shared" si="276"/>
        <v>0</v>
      </c>
      <c r="CI215" s="171">
        <f t="shared" si="277"/>
        <v>0</v>
      </c>
      <c r="CJ215" s="170">
        <f t="shared" si="319"/>
        <v>0</v>
      </c>
      <c r="CK215" s="90">
        <f t="shared" si="278"/>
        <v>0</v>
      </c>
      <c r="CL215" s="171">
        <f t="shared" si="279"/>
        <v>0</v>
      </c>
      <c r="CM215" s="170">
        <f t="shared" si="320"/>
        <v>0</v>
      </c>
      <c r="CN215" s="90">
        <f t="shared" si="280"/>
        <v>0</v>
      </c>
      <c r="CO215" s="171">
        <f t="shared" si="281"/>
        <v>0</v>
      </c>
      <c r="CP215" s="170">
        <f t="shared" si="321"/>
        <v>0</v>
      </c>
      <c r="CQ215" s="90">
        <f t="shared" si="282"/>
        <v>0</v>
      </c>
      <c r="CR215" s="171">
        <f t="shared" si="283"/>
        <v>0</v>
      </c>
      <c r="CS215" s="170">
        <f t="shared" si="322"/>
        <v>0</v>
      </c>
      <c r="CT215" s="90">
        <f t="shared" si="284"/>
        <v>0</v>
      </c>
      <c r="CU215" s="171">
        <f t="shared" si="285"/>
        <v>0</v>
      </c>
      <c r="CV215" s="170">
        <f t="shared" si="323"/>
        <v>0</v>
      </c>
      <c r="CW215" s="90">
        <f t="shared" si="286"/>
        <v>0</v>
      </c>
      <c r="CX215" s="171">
        <f t="shared" si="287"/>
        <v>0</v>
      </c>
      <c r="CY215" s="170">
        <f t="shared" si="324"/>
        <v>0</v>
      </c>
      <c r="CZ215" s="168">
        <f t="shared" si="325"/>
        <v>0</v>
      </c>
      <c r="DA215" s="172">
        <f t="shared" si="327"/>
        <v>0</v>
      </c>
      <c r="DB215" s="173">
        <f t="shared" si="328"/>
        <v>0</v>
      </c>
      <c r="DC215" s="172">
        <f t="shared" si="329"/>
        <v>0</v>
      </c>
      <c r="DD215" s="172">
        <f t="shared" si="329"/>
        <v>0</v>
      </c>
      <c r="DE215" s="172">
        <f t="shared" si="329"/>
        <v>0</v>
      </c>
      <c r="DF215" s="172">
        <f t="shared" si="330"/>
        <v>0</v>
      </c>
      <c r="DG215" s="136"/>
      <c r="DH215" s="136"/>
      <c r="DI215" s="3"/>
      <c r="DJ215" s="8"/>
      <c r="DK215" s="8"/>
      <c r="DL215" s="8"/>
      <c r="DM215" s="8"/>
      <c r="DN215" s="340" t="s">
        <v>393</v>
      </c>
      <c r="DO215" s="369">
        <v>1</v>
      </c>
      <c r="DP215" s="8"/>
      <c r="DQ215" s="3"/>
      <c r="DR215" s="8"/>
      <c r="DS215" s="8"/>
      <c r="DT215" s="8"/>
      <c r="DU215" s="8"/>
      <c r="DV215" s="8"/>
      <c r="DW215" s="8"/>
      <c r="DX215" s="8"/>
      <c r="DY215" s="8"/>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row>
    <row r="216" spans="1:155" s="566" customFormat="1">
      <c r="A216" s="221"/>
      <c r="B216" s="194" t="s">
        <v>189</v>
      </c>
      <c r="C216" s="267">
        <f>IFERROR(VLOOKUP($D$32,'Rainfall data'!$R$6:$AD$11,N233,FALSE),"")</f>
        <v>0.5</v>
      </c>
      <c r="D216" s="195"/>
      <c r="E216" s="195">
        <f t="shared" si="310"/>
        <v>0</v>
      </c>
      <c r="F216" s="70"/>
      <c r="G216" s="70"/>
      <c r="H216" s="70"/>
      <c r="I216" s="180"/>
      <c r="J216" s="180"/>
      <c r="K216" s="180"/>
      <c r="L216" s="308"/>
      <c r="M216" s="308"/>
      <c r="N216" s="14"/>
      <c r="O216" s="234" t="s">
        <v>191</v>
      </c>
      <c r="P216" s="364">
        <v>31</v>
      </c>
      <c r="Q216" s="365">
        <f>'Potable Water Calculator'!D47</f>
        <v>105</v>
      </c>
      <c r="R216" s="366">
        <f>'Potable Water Calculator'!C218</f>
        <v>0.5</v>
      </c>
      <c r="S216" s="90">
        <f t="shared" si="288"/>
        <v>132.85714285714286</v>
      </c>
      <c r="T216" s="90">
        <f t="shared" si="289"/>
        <v>66.428571428571431</v>
      </c>
      <c r="U216" s="90">
        <f t="shared" si="290"/>
        <v>0</v>
      </c>
      <c r="V216" s="90">
        <f t="shared" si="291"/>
        <v>132.85714285714286</v>
      </c>
      <c r="W216" s="90">
        <f t="shared" si="292"/>
        <v>66.428571428571431</v>
      </c>
      <c r="X216" s="90">
        <f t="shared" si="293"/>
        <v>0</v>
      </c>
      <c r="Y216" s="90">
        <f t="shared" si="294"/>
        <v>132.85714285714286</v>
      </c>
      <c r="Z216" s="90">
        <f t="shared" si="295"/>
        <v>66.428571428571431</v>
      </c>
      <c r="AA216" s="90">
        <f t="shared" si="296"/>
        <v>0</v>
      </c>
      <c r="AB216" s="90">
        <f t="shared" si="297"/>
        <v>132.85714285714286</v>
      </c>
      <c r="AC216" s="90">
        <f t="shared" si="298"/>
        <v>66.428571428571431</v>
      </c>
      <c r="AD216" s="90">
        <f t="shared" si="299"/>
        <v>0</v>
      </c>
      <c r="AE216" s="90">
        <f t="shared" si="300"/>
        <v>132.85714285714286</v>
      </c>
      <c r="AF216" s="90">
        <f t="shared" si="301"/>
        <v>66.428571428571431</v>
      </c>
      <c r="AG216" s="90">
        <f t="shared" si="302"/>
        <v>0</v>
      </c>
      <c r="AH216" s="23">
        <f t="shared" si="303"/>
        <v>0</v>
      </c>
      <c r="AI216" s="90">
        <f t="shared" si="304"/>
        <v>0</v>
      </c>
      <c r="AJ216" s="90">
        <f t="shared" si="305"/>
        <v>0</v>
      </c>
      <c r="AK216" s="90">
        <f t="shared" si="306"/>
        <v>0</v>
      </c>
      <c r="AL216" s="90">
        <f t="shared" si="307"/>
        <v>0</v>
      </c>
      <c r="AM216" s="90">
        <f t="shared" si="308"/>
        <v>0</v>
      </c>
      <c r="AN216" s="90">
        <f t="shared" si="309"/>
        <v>0</v>
      </c>
      <c r="AO216" s="14"/>
      <c r="AP216" s="14"/>
      <c r="AQ216" s="14"/>
      <c r="AR216" s="14"/>
      <c r="AS216" s="14"/>
      <c r="AT216" s="14"/>
      <c r="AU216" s="14"/>
      <c r="AV216" s="14"/>
      <c r="AW216" s="14"/>
      <c r="AX216" s="14"/>
      <c r="AY216" s="14"/>
      <c r="AZ216" s="14"/>
      <c r="BA216" s="14"/>
      <c r="BB216" s="14"/>
      <c r="BC216" s="14"/>
      <c r="BD216" s="307"/>
      <c r="BE216" s="165" t="s">
        <v>17</v>
      </c>
      <c r="BF216" s="23">
        <v>22</v>
      </c>
      <c r="BG216" s="23">
        <v>16</v>
      </c>
      <c r="BH216" s="23">
        <v>5</v>
      </c>
      <c r="BI216" s="90" t="b">
        <f t="shared" si="326"/>
        <v>1</v>
      </c>
      <c r="BJ216" s="46" t="b">
        <f t="shared" si="262"/>
        <v>0</v>
      </c>
      <c r="BK216" s="166">
        <f t="shared" si="263"/>
        <v>0</v>
      </c>
      <c r="BL216" s="175">
        <f>IF(SUM(BL$201:BL215,BK216)&gt;$BP$4,0,BK216)</f>
        <v>0</v>
      </c>
      <c r="BM216" s="23">
        <f t="shared" si="311"/>
        <v>0</v>
      </c>
      <c r="BN216" s="90">
        <f t="shared" si="312"/>
        <v>0</v>
      </c>
      <c r="BO216" s="24">
        <f t="shared" si="229"/>
        <v>0</v>
      </c>
      <c r="BP216" s="349">
        <f t="shared" si="264"/>
        <v>0</v>
      </c>
      <c r="BQ216" s="171">
        <f t="shared" si="265"/>
        <v>0</v>
      </c>
      <c r="BR216" s="170">
        <f t="shared" si="313"/>
        <v>0</v>
      </c>
      <c r="BS216" s="168">
        <f t="shared" si="266"/>
        <v>0</v>
      </c>
      <c r="BT216" s="171">
        <f t="shared" si="267"/>
        <v>0</v>
      </c>
      <c r="BU216" s="170">
        <f t="shared" si="314"/>
        <v>0</v>
      </c>
      <c r="BV216" s="168">
        <f t="shared" si="268"/>
        <v>0</v>
      </c>
      <c r="BW216" s="171">
        <f t="shared" si="269"/>
        <v>0</v>
      </c>
      <c r="BX216" s="170">
        <f t="shared" si="315"/>
        <v>0</v>
      </c>
      <c r="BY216" s="168">
        <f t="shared" si="270"/>
        <v>0</v>
      </c>
      <c r="BZ216" s="171">
        <f t="shared" si="271"/>
        <v>0</v>
      </c>
      <c r="CA216" s="170">
        <f t="shared" si="316"/>
        <v>0</v>
      </c>
      <c r="CB216" s="90">
        <f t="shared" si="272"/>
        <v>0</v>
      </c>
      <c r="CC216" s="171">
        <f t="shared" si="273"/>
        <v>0</v>
      </c>
      <c r="CD216" s="170">
        <f t="shared" si="317"/>
        <v>0</v>
      </c>
      <c r="CE216" s="90">
        <f t="shared" si="274"/>
        <v>0</v>
      </c>
      <c r="CF216" s="171">
        <f t="shared" si="275"/>
        <v>0</v>
      </c>
      <c r="CG216" s="170">
        <f t="shared" si="318"/>
        <v>0</v>
      </c>
      <c r="CH216" s="90">
        <f t="shared" si="276"/>
        <v>0</v>
      </c>
      <c r="CI216" s="171">
        <f t="shared" si="277"/>
        <v>0</v>
      </c>
      <c r="CJ216" s="170">
        <f t="shared" si="319"/>
        <v>0</v>
      </c>
      <c r="CK216" s="90">
        <f t="shared" si="278"/>
        <v>0</v>
      </c>
      <c r="CL216" s="171">
        <f t="shared" si="279"/>
        <v>0</v>
      </c>
      <c r="CM216" s="170">
        <f t="shared" si="320"/>
        <v>0</v>
      </c>
      <c r="CN216" s="90">
        <f t="shared" si="280"/>
        <v>0</v>
      </c>
      <c r="CO216" s="171">
        <f t="shared" si="281"/>
        <v>0</v>
      </c>
      <c r="CP216" s="170">
        <f t="shared" si="321"/>
        <v>0</v>
      </c>
      <c r="CQ216" s="90">
        <f t="shared" si="282"/>
        <v>0</v>
      </c>
      <c r="CR216" s="171">
        <f t="shared" si="283"/>
        <v>0</v>
      </c>
      <c r="CS216" s="170">
        <f t="shared" si="322"/>
        <v>0</v>
      </c>
      <c r="CT216" s="90">
        <f t="shared" si="284"/>
        <v>0</v>
      </c>
      <c r="CU216" s="171">
        <f t="shared" si="285"/>
        <v>0</v>
      </c>
      <c r="CV216" s="170">
        <f t="shared" si="323"/>
        <v>0</v>
      </c>
      <c r="CW216" s="90">
        <f t="shared" si="286"/>
        <v>0</v>
      </c>
      <c r="CX216" s="171">
        <f t="shared" si="287"/>
        <v>0</v>
      </c>
      <c r="CY216" s="170">
        <f t="shared" si="324"/>
        <v>0</v>
      </c>
      <c r="CZ216" s="168">
        <f t="shared" si="325"/>
        <v>0</v>
      </c>
      <c r="DA216" s="172">
        <f t="shared" si="327"/>
        <v>0</v>
      </c>
      <c r="DB216" s="173">
        <f t="shared" si="328"/>
        <v>0</v>
      </c>
      <c r="DC216" s="172">
        <f t="shared" si="329"/>
        <v>0</v>
      </c>
      <c r="DD216" s="172">
        <f t="shared" si="329"/>
        <v>0</v>
      </c>
      <c r="DE216" s="172">
        <f t="shared" si="329"/>
        <v>0</v>
      </c>
      <c r="DF216" s="172">
        <f t="shared" si="330"/>
        <v>0</v>
      </c>
      <c r="DG216" s="136"/>
      <c r="DH216" s="136"/>
      <c r="DI216" s="3"/>
      <c r="DJ216" s="8"/>
      <c r="DK216" s="8"/>
      <c r="DL216" s="8"/>
      <c r="DM216" s="8"/>
      <c r="DN216" s="340" t="s">
        <v>394</v>
      </c>
      <c r="DO216" s="375">
        <v>0.75</v>
      </c>
      <c r="DP216" s="8"/>
      <c r="DQ216" s="3"/>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row>
    <row r="217" spans="1:155" s="566" customFormat="1">
      <c r="A217" s="51"/>
      <c r="B217" s="194" t="s">
        <v>190</v>
      </c>
      <c r="C217" s="267">
        <f>IFERROR(VLOOKUP($D$32,'Rainfall data'!$R$6:$AD$11,N234,FALSE),"")</f>
        <v>0.5</v>
      </c>
      <c r="D217" s="195"/>
      <c r="E217" s="195">
        <f t="shared" si="310"/>
        <v>0</v>
      </c>
      <c r="F217" s="70"/>
      <c r="G217" s="70"/>
      <c r="H217" s="70"/>
      <c r="I217" s="180"/>
      <c r="J217" s="180"/>
      <c r="K217" s="180"/>
      <c r="L217" s="308"/>
      <c r="M217" s="308"/>
      <c r="N217" s="14"/>
      <c r="O217" s="14"/>
      <c r="P217" s="14"/>
      <c r="Q217" s="14"/>
      <c r="R217" s="14"/>
      <c r="S217" s="376">
        <f>S195*365-SUM(S205:S216)</f>
        <v>0</v>
      </c>
      <c r="T217" s="14"/>
      <c r="U217" s="319">
        <f>SUM(U205:U216)</f>
        <v>0</v>
      </c>
      <c r="V217" s="377"/>
      <c r="W217" s="377"/>
      <c r="X217" s="319">
        <f>SUM(X205:X216)</f>
        <v>0</v>
      </c>
      <c r="Y217" s="377"/>
      <c r="Z217" s="377"/>
      <c r="AA217" s="319">
        <f>SUM(AA205:AA216)</f>
        <v>0</v>
      </c>
      <c r="AB217" s="377"/>
      <c r="AC217" s="377"/>
      <c r="AD217" s="319">
        <f>SUM(AD205:AD216)</f>
        <v>0</v>
      </c>
      <c r="AE217" s="377"/>
      <c r="AF217" s="377"/>
      <c r="AG217" s="319">
        <f>SUM(AG205:AG216)</f>
        <v>0</v>
      </c>
      <c r="AH217" s="319">
        <f>SUM(AH205:AH216)</f>
        <v>0</v>
      </c>
      <c r="AI217" s="31">
        <f t="shared" ref="AI217:AN217" si="331">SUM(AI205:AI216)</f>
        <v>0</v>
      </c>
      <c r="AJ217" s="31">
        <f t="shared" si="331"/>
        <v>0</v>
      </c>
      <c r="AK217" s="31">
        <f t="shared" si="331"/>
        <v>0</v>
      </c>
      <c r="AL217" s="31">
        <f t="shared" si="331"/>
        <v>0</v>
      </c>
      <c r="AM217" s="31">
        <f t="shared" si="331"/>
        <v>0</v>
      </c>
      <c r="AN217" s="31">
        <f t="shared" si="331"/>
        <v>0</v>
      </c>
      <c r="AO217" s="14"/>
      <c r="AP217" s="14"/>
      <c r="AQ217" s="14"/>
      <c r="AR217" s="14"/>
      <c r="AS217" s="14"/>
      <c r="AT217" s="14"/>
      <c r="AU217" s="14"/>
      <c r="AV217" s="14"/>
      <c r="AW217" s="14"/>
      <c r="AX217" s="14"/>
      <c r="AY217" s="14"/>
      <c r="AZ217" s="14"/>
      <c r="BA217" s="14"/>
      <c r="BB217" s="14"/>
      <c r="BC217" s="14"/>
      <c r="BD217" s="307"/>
      <c r="BE217" s="165" t="s">
        <v>17</v>
      </c>
      <c r="BF217" s="23">
        <v>22</v>
      </c>
      <c r="BG217" s="23">
        <v>17</v>
      </c>
      <c r="BH217" s="23">
        <v>6</v>
      </c>
      <c r="BI217" s="90" t="b">
        <f t="shared" si="326"/>
        <v>0</v>
      </c>
      <c r="BJ217" s="46" t="b">
        <f t="shared" si="262"/>
        <v>0</v>
      </c>
      <c r="BK217" s="166">
        <f t="shared" si="263"/>
        <v>0</v>
      </c>
      <c r="BL217" s="175">
        <f>IF(SUM(BL$201:BL216,BK217)&gt;$BP$4,0,BK217)</f>
        <v>0</v>
      </c>
      <c r="BM217" s="23">
        <f t="shared" si="311"/>
        <v>0</v>
      </c>
      <c r="BN217" s="90">
        <f t="shared" si="312"/>
        <v>0</v>
      </c>
      <c r="BO217" s="24">
        <f t="shared" ref="BO217:BO280" si="332">BM217-BN217</f>
        <v>0</v>
      </c>
      <c r="BP217" s="349">
        <f t="shared" si="264"/>
        <v>0</v>
      </c>
      <c r="BQ217" s="171">
        <f t="shared" si="265"/>
        <v>0</v>
      </c>
      <c r="BR217" s="170">
        <f t="shared" si="313"/>
        <v>0</v>
      </c>
      <c r="BS217" s="168">
        <f t="shared" si="266"/>
        <v>0</v>
      </c>
      <c r="BT217" s="171">
        <f t="shared" si="267"/>
        <v>0</v>
      </c>
      <c r="BU217" s="170">
        <f t="shared" si="314"/>
        <v>0</v>
      </c>
      <c r="BV217" s="168">
        <f t="shared" si="268"/>
        <v>0</v>
      </c>
      <c r="BW217" s="171">
        <f t="shared" si="269"/>
        <v>0</v>
      </c>
      <c r="BX217" s="170">
        <f t="shared" si="315"/>
        <v>0</v>
      </c>
      <c r="BY217" s="168">
        <f t="shared" si="270"/>
        <v>0</v>
      </c>
      <c r="BZ217" s="171">
        <f t="shared" si="271"/>
        <v>0</v>
      </c>
      <c r="CA217" s="170">
        <f t="shared" si="316"/>
        <v>0</v>
      </c>
      <c r="CB217" s="90">
        <f t="shared" si="272"/>
        <v>0</v>
      </c>
      <c r="CC217" s="171">
        <f t="shared" si="273"/>
        <v>0</v>
      </c>
      <c r="CD217" s="170">
        <f t="shared" si="317"/>
        <v>0</v>
      </c>
      <c r="CE217" s="90">
        <f t="shared" si="274"/>
        <v>0</v>
      </c>
      <c r="CF217" s="171">
        <f t="shared" si="275"/>
        <v>0</v>
      </c>
      <c r="CG217" s="170">
        <f t="shared" si="318"/>
        <v>0</v>
      </c>
      <c r="CH217" s="90">
        <f t="shared" si="276"/>
        <v>0</v>
      </c>
      <c r="CI217" s="171">
        <f t="shared" si="277"/>
        <v>0</v>
      </c>
      <c r="CJ217" s="170">
        <f t="shared" si="319"/>
        <v>0</v>
      </c>
      <c r="CK217" s="90">
        <f t="shared" si="278"/>
        <v>0</v>
      </c>
      <c r="CL217" s="171">
        <f t="shared" si="279"/>
        <v>0</v>
      </c>
      <c r="CM217" s="170">
        <f t="shared" si="320"/>
        <v>0</v>
      </c>
      <c r="CN217" s="90">
        <f t="shared" si="280"/>
        <v>0</v>
      </c>
      <c r="CO217" s="171">
        <f t="shared" si="281"/>
        <v>0</v>
      </c>
      <c r="CP217" s="170">
        <f t="shared" si="321"/>
        <v>0</v>
      </c>
      <c r="CQ217" s="90">
        <f t="shared" si="282"/>
        <v>0</v>
      </c>
      <c r="CR217" s="171">
        <f t="shared" si="283"/>
        <v>0</v>
      </c>
      <c r="CS217" s="170">
        <f t="shared" si="322"/>
        <v>0</v>
      </c>
      <c r="CT217" s="90">
        <f t="shared" si="284"/>
        <v>0</v>
      </c>
      <c r="CU217" s="171">
        <f t="shared" si="285"/>
        <v>0</v>
      </c>
      <c r="CV217" s="170">
        <f t="shared" si="323"/>
        <v>0</v>
      </c>
      <c r="CW217" s="90">
        <f t="shared" si="286"/>
        <v>0</v>
      </c>
      <c r="CX217" s="171">
        <f t="shared" si="287"/>
        <v>0</v>
      </c>
      <c r="CY217" s="170">
        <f t="shared" si="324"/>
        <v>0</v>
      </c>
      <c r="CZ217" s="168">
        <f t="shared" si="325"/>
        <v>0</v>
      </c>
      <c r="DA217" s="172">
        <f t="shared" si="327"/>
        <v>0</v>
      </c>
      <c r="DB217" s="173">
        <f t="shared" si="328"/>
        <v>0</v>
      </c>
      <c r="DC217" s="172">
        <f t="shared" si="329"/>
        <v>0</v>
      </c>
      <c r="DD217" s="172">
        <f t="shared" si="329"/>
        <v>0</v>
      </c>
      <c r="DE217" s="172">
        <f t="shared" si="329"/>
        <v>0</v>
      </c>
      <c r="DF217" s="172">
        <f t="shared" si="330"/>
        <v>0</v>
      </c>
      <c r="DG217" s="136"/>
      <c r="DH217" s="136"/>
      <c r="DI217" s="3"/>
      <c r="DJ217" s="8"/>
      <c r="DK217" s="8"/>
      <c r="DL217" s="8"/>
      <c r="DM217" s="8"/>
      <c r="DN217" s="8"/>
      <c r="DO217" s="8"/>
      <c r="DP217" s="8"/>
      <c r="DQ217" s="3"/>
      <c r="DR217" s="274"/>
      <c r="DS217" s="274"/>
      <c r="DT217" s="274"/>
      <c r="DU217" s="274"/>
      <c r="DV217" s="274"/>
      <c r="DW217" s="274"/>
      <c r="DX217" s="274"/>
      <c r="DY217" s="274"/>
      <c r="DZ217" s="274"/>
      <c r="EA217" s="274"/>
      <c r="EB217" s="274"/>
      <c r="EC217" s="274"/>
      <c r="ED217" s="274"/>
      <c r="EE217" s="274"/>
      <c r="EF217" s="274"/>
      <c r="EG217" s="274"/>
      <c r="EH217" s="274"/>
      <c r="EI217" s="274"/>
      <c r="EJ217" s="274"/>
      <c r="EK217" s="274"/>
      <c r="EL217" s="274"/>
      <c r="EM217" s="274"/>
      <c r="EN217" s="274"/>
      <c r="EO217" s="274"/>
      <c r="EP217" s="274"/>
      <c r="EQ217" s="274"/>
      <c r="ER217" s="274"/>
      <c r="ES217" s="274"/>
      <c r="ET217" s="274"/>
      <c r="EU217" s="274"/>
      <c r="EV217" s="274"/>
      <c r="EW217" s="274"/>
      <c r="EX217" s="8"/>
      <c r="EY217" s="8"/>
    </row>
    <row r="218" spans="1:155" s="566" customFormat="1">
      <c r="A218" s="51"/>
      <c r="B218" s="194" t="s">
        <v>191</v>
      </c>
      <c r="C218" s="267">
        <f>IFERROR(VLOOKUP($D$32,'Rainfall data'!$R$6:$AD$11,N235,FALSE),"")</f>
        <v>0.5</v>
      </c>
      <c r="D218" s="195"/>
      <c r="E218" s="195">
        <f t="shared" si="310"/>
        <v>0</v>
      </c>
      <c r="F218" s="70"/>
      <c r="G218" s="70"/>
      <c r="H218" s="70"/>
      <c r="I218" s="180"/>
      <c r="J218" s="180"/>
      <c r="K218" s="180"/>
      <c r="L218" s="308"/>
      <c r="M218" s="308"/>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293"/>
      <c r="AL218" s="14"/>
      <c r="AM218" s="14"/>
      <c r="AN218" s="14"/>
      <c r="AO218" s="14"/>
      <c r="AP218" s="14"/>
      <c r="AQ218" s="14"/>
      <c r="AR218" s="14"/>
      <c r="AS218" s="14"/>
      <c r="AT218" s="14"/>
      <c r="AU218" s="14"/>
      <c r="AV218" s="14"/>
      <c r="AW218" s="14"/>
      <c r="AX218" s="14"/>
      <c r="AY218" s="14"/>
      <c r="AZ218" s="14"/>
      <c r="BA218" s="14"/>
      <c r="BB218" s="14"/>
      <c r="BC218" s="14"/>
      <c r="BD218" s="307"/>
      <c r="BE218" s="165" t="s">
        <v>17</v>
      </c>
      <c r="BF218" s="23">
        <v>22</v>
      </c>
      <c r="BG218" s="23">
        <v>18</v>
      </c>
      <c r="BH218" s="23">
        <v>7</v>
      </c>
      <c r="BI218" s="90" t="b">
        <f t="shared" si="326"/>
        <v>0</v>
      </c>
      <c r="BJ218" s="46" t="b">
        <f t="shared" si="262"/>
        <v>0</v>
      </c>
      <c r="BK218" s="166">
        <f t="shared" si="263"/>
        <v>0</v>
      </c>
      <c r="BL218" s="175">
        <f>IF(SUM(BL$201:BL217,BK218)&gt;$BP$4,0,BK218)</f>
        <v>0</v>
      </c>
      <c r="BM218" s="23">
        <f t="shared" si="311"/>
        <v>0</v>
      </c>
      <c r="BN218" s="90">
        <f t="shared" si="312"/>
        <v>0</v>
      </c>
      <c r="BO218" s="24">
        <f t="shared" si="332"/>
        <v>0</v>
      </c>
      <c r="BP218" s="349">
        <f t="shared" si="264"/>
        <v>0</v>
      </c>
      <c r="BQ218" s="171">
        <f t="shared" si="265"/>
        <v>0</v>
      </c>
      <c r="BR218" s="170">
        <f t="shared" si="313"/>
        <v>0</v>
      </c>
      <c r="BS218" s="168">
        <f t="shared" si="266"/>
        <v>0</v>
      </c>
      <c r="BT218" s="171">
        <f t="shared" si="267"/>
        <v>0</v>
      </c>
      <c r="BU218" s="170">
        <f t="shared" si="314"/>
        <v>0</v>
      </c>
      <c r="BV218" s="168">
        <f t="shared" si="268"/>
        <v>0</v>
      </c>
      <c r="BW218" s="171">
        <f t="shared" si="269"/>
        <v>0</v>
      </c>
      <c r="BX218" s="170">
        <f t="shared" si="315"/>
        <v>0</v>
      </c>
      <c r="BY218" s="168">
        <f t="shared" si="270"/>
        <v>0</v>
      </c>
      <c r="BZ218" s="171">
        <f t="shared" si="271"/>
        <v>0</v>
      </c>
      <c r="CA218" s="170">
        <f t="shared" si="316"/>
        <v>0</v>
      </c>
      <c r="CB218" s="90">
        <f t="shared" si="272"/>
        <v>0</v>
      </c>
      <c r="CC218" s="171">
        <f t="shared" si="273"/>
        <v>0</v>
      </c>
      <c r="CD218" s="170">
        <f t="shared" si="317"/>
        <v>0</v>
      </c>
      <c r="CE218" s="90">
        <f t="shared" si="274"/>
        <v>0</v>
      </c>
      <c r="CF218" s="171">
        <f t="shared" si="275"/>
        <v>0</v>
      </c>
      <c r="CG218" s="170">
        <f t="shared" si="318"/>
        <v>0</v>
      </c>
      <c r="CH218" s="90">
        <f t="shared" si="276"/>
        <v>0</v>
      </c>
      <c r="CI218" s="171">
        <f t="shared" si="277"/>
        <v>0</v>
      </c>
      <c r="CJ218" s="170">
        <f t="shared" si="319"/>
        <v>0</v>
      </c>
      <c r="CK218" s="90">
        <f t="shared" si="278"/>
        <v>0</v>
      </c>
      <c r="CL218" s="171">
        <f t="shared" si="279"/>
        <v>0</v>
      </c>
      <c r="CM218" s="170">
        <f t="shared" si="320"/>
        <v>0</v>
      </c>
      <c r="CN218" s="90">
        <f t="shared" si="280"/>
        <v>0</v>
      </c>
      <c r="CO218" s="171">
        <f t="shared" si="281"/>
        <v>0</v>
      </c>
      <c r="CP218" s="170">
        <f t="shared" si="321"/>
        <v>0</v>
      </c>
      <c r="CQ218" s="90">
        <f t="shared" si="282"/>
        <v>0</v>
      </c>
      <c r="CR218" s="171">
        <f t="shared" si="283"/>
        <v>0</v>
      </c>
      <c r="CS218" s="170">
        <f t="shared" si="322"/>
        <v>0</v>
      </c>
      <c r="CT218" s="90">
        <f t="shared" si="284"/>
        <v>0</v>
      </c>
      <c r="CU218" s="171">
        <f t="shared" si="285"/>
        <v>0</v>
      </c>
      <c r="CV218" s="170">
        <f t="shared" si="323"/>
        <v>0</v>
      </c>
      <c r="CW218" s="90">
        <f t="shared" si="286"/>
        <v>0</v>
      </c>
      <c r="CX218" s="171">
        <f t="shared" si="287"/>
        <v>0</v>
      </c>
      <c r="CY218" s="170">
        <f t="shared" si="324"/>
        <v>0</v>
      </c>
      <c r="CZ218" s="168">
        <f t="shared" si="325"/>
        <v>0</v>
      </c>
      <c r="DA218" s="172">
        <f t="shared" si="327"/>
        <v>0</v>
      </c>
      <c r="DB218" s="173">
        <f t="shared" si="328"/>
        <v>0</v>
      </c>
      <c r="DC218" s="172">
        <f t="shared" si="329"/>
        <v>0</v>
      </c>
      <c r="DD218" s="172">
        <f t="shared" si="329"/>
        <v>0</v>
      </c>
      <c r="DE218" s="172">
        <f t="shared" si="329"/>
        <v>0</v>
      </c>
      <c r="DF218" s="172">
        <f t="shared" si="330"/>
        <v>0</v>
      </c>
      <c r="DG218" s="136"/>
      <c r="DH218" s="136"/>
      <c r="DI218" s="3"/>
      <c r="DJ218" s="8"/>
      <c r="DK218" s="8"/>
      <c r="DL218" s="8"/>
      <c r="DM218" s="8"/>
      <c r="DN218" s="8"/>
      <c r="DO218" s="8"/>
      <c r="DP218" s="8"/>
      <c r="DQ218" s="3"/>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row>
    <row r="219" spans="1:155" s="566" customFormat="1" ht="17.25" customHeight="1">
      <c r="A219" s="51"/>
      <c r="B219" s="70"/>
      <c r="C219" s="3"/>
      <c r="D219" s="3"/>
      <c r="E219" s="273">
        <f>SUM(E207:E218)</f>
        <v>0</v>
      </c>
      <c r="F219" s="70"/>
      <c r="G219" s="70"/>
      <c r="H219" s="70"/>
      <c r="I219" s="180"/>
      <c r="J219" s="180"/>
      <c r="K219" s="180"/>
      <c r="L219" s="308"/>
      <c r="M219" s="308"/>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293"/>
      <c r="AL219" s="14"/>
      <c r="AM219" s="14"/>
      <c r="AN219" s="14"/>
      <c r="AO219" s="14"/>
      <c r="AP219" s="14"/>
      <c r="AQ219" s="14"/>
      <c r="AR219" s="14"/>
      <c r="AS219" s="14"/>
      <c r="AT219" s="14"/>
      <c r="AU219" s="14"/>
      <c r="AV219" s="14"/>
      <c r="AW219" s="14"/>
      <c r="AX219" s="14"/>
      <c r="AY219" s="14"/>
      <c r="AZ219" s="14"/>
      <c r="BA219" s="14"/>
      <c r="BB219" s="14"/>
      <c r="BC219" s="14"/>
      <c r="BD219" s="307"/>
      <c r="BE219" s="165" t="s">
        <v>17</v>
      </c>
      <c r="BF219" s="23">
        <v>22</v>
      </c>
      <c r="BG219" s="23">
        <v>19</v>
      </c>
      <c r="BH219" s="23">
        <v>1</v>
      </c>
      <c r="BI219" s="90" t="b">
        <f t="shared" si="326"/>
        <v>1</v>
      </c>
      <c r="BJ219" s="46" t="b">
        <f t="shared" si="262"/>
        <v>0</v>
      </c>
      <c r="BK219" s="166">
        <f t="shared" si="263"/>
        <v>0</v>
      </c>
      <c r="BL219" s="175">
        <f>IF(SUM(BL$201:BL218,BK219)&gt;$BP$4,0,BK219)</f>
        <v>0</v>
      </c>
      <c r="BM219" s="23">
        <f t="shared" si="311"/>
        <v>0</v>
      </c>
      <c r="BN219" s="90">
        <f t="shared" si="312"/>
        <v>0</v>
      </c>
      <c r="BO219" s="24">
        <f t="shared" si="332"/>
        <v>0</v>
      </c>
      <c r="BP219" s="349">
        <f t="shared" si="264"/>
        <v>0</v>
      </c>
      <c r="BQ219" s="171">
        <f t="shared" si="265"/>
        <v>0</v>
      </c>
      <c r="BR219" s="170">
        <f t="shared" si="313"/>
        <v>0</v>
      </c>
      <c r="BS219" s="168">
        <f t="shared" si="266"/>
        <v>0</v>
      </c>
      <c r="BT219" s="171">
        <f t="shared" si="267"/>
        <v>0</v>
      </c>
      <c r="BU219" s="170">
        <f t="shared" si="314"/>
        <v>0</v>
      </c>
      <c r="BV219" s="168">
        <f t="shared" si="268"/>
        <v>0</v>
      </c>
      <c r="BW219" s="171">
        <f t="shared" si="269"/>
        <v>0</v>
      </c>
      <c r="BX219" s="170">
        <f t="shared" si="315"/>
        <v>0</v>
      </c>
      <c r="BY219" s="168">
        <f t="shared" si="270"/>
        <v>0</v>
      </c>
      <c r="BZ219" s="171">
        <f t="shared" si="271"/>
        <v>0</v>
      </c>
      <c r="CA219" s="170">
        <f t="shared" si="316"/>
        <v>0</v>
      </c>
      <c r="CB219" s="90">
        <f t="shared" si="272"/>
        <v>0</v>
      </c>
      <c r="CC219" s="171">
        <f t="shared" si="273"/>
        <v>0</v>
      </c>
      <c r="CD219" s="170">
        <f t="shared" si="317"/>
        <v>0</v>
      </c>
      <c r="CE219" s="90">
        <f t="shared" si="274"/>
        <v>0</v>
      </c>
      <c r="CF219" s="171">
        <f t="shared" si="275"/>
        <v>0</v>
      </c>
      <c r="CG219" s="170">
        <f t="shared" si="318"/>
        <v>0</v>
      </c>
      <c r="CH219" s="90">
        <f t="shared" si="276"/>
        <v>0</v>
      </c>
      <c r="CI219" s="171">
        <f t="shared" si="277"/>
        <v>0</v>
      </c>
      <c r="CJ219" s="170">
        <f t="shared" si="319"/>
        <v>0</v>
      </c>
      <c r="CK219" s="90">
        <f t="shared" si="278"/>
        <v>0</v>
      </c>
      <c r="CL219" s="171">
        <f t="shared" si="279"/>
        <v>0</v>
      </c>
      <c r="CM219" s="170">
        <f t="shared" si="320"/>
        <v>0</v>
      </c>
      <c r="CN219" s="90">
        <f t="shared" si="280"/>
        <v>0</v>
      </c>
      <c r="CO219" s="171">
        <f t="shared" si="281"/>
        <v>0</v>
      </c>
      <c r="CP219" s="170">
        <f t="shared" si="321"/>
        <v>0</v>
      </c>
      <c r="CQ219" s="90">
        <f t="shared" si="282"/>
        <v>0</v>
      </c>
      <c r="CR219" s="171">
        <f t="shared" si="283"/>
        <v>0</v>
      </c>
      <c r="CS219" s="170">
        <f t="shared" si="322"/>
        <v>0</v>
      </c>
      <c r="CT219" s="90">
        <f t="shared" si="284"/>
        <v>0</v>
      </c>
      <c r="CU219" s="171">
        <f t="shared" si="285"/>
        <v>0</v>
      </c>
      <c r="CV219" s="170">
        <f t="shared" si="323"/>
        <v>0</v>
      </c>
      <c r="CW219" s="90">
        <f t="shared" si="286"/>
        <v>0</v>
      </c>
      <c r="CX219" s="171">
        <f t="shared" si="287"/>
        <v>0</v>
      </c>
      <c r="CY219" s="170">
        <f t="shared" si="324"/>
        <v>0</v>
      </c>
      <c r="CZ219" s="168">
        <f t="shared" si="325"/>
        <v>0</v>
      </c>
      <c r="DA219" s="172">
        <f t="shared" si="327"/>
        <v>0</v>
      </c>
      <c r="DB219" s="173">
        <f t="shared" si="328"/>
        <v>0</v>
      </c>
      <c r="DC219" s="172">
        <f t="shared" si="329"/>
        <v>0</v>
      </c>
      <c r="DD219" s="172">
        <f t="shared" si="329"/>
        <v>0</v>
      </c>
      <c r="DE219" s="172">
        <f t="shared" si="329"/>
        <v>0</v>
      </c>
      <c r="DF219" s="172">
        <f t="shared" si="330"/>
        <v>0</v>
      </c>
      <c r="DG219" s="136"/>
      <c r="DH219" s="136"/>
      <c r="DI219" s="276"/>
      <c r="DJ219" s="274"/>
      <c r="DK219" s="274"/>
      <c r="DL219" s="8"/>
      <c r="DM219" s="274"/>
      <c r="DN219" s="274"/>
      <c r="DO219" s="274"/>
      <c r="DP219" s="274"/>
      <c r="DQ219" s="276"/>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row>
    <row r="220" spans="1:155" s="566" customFormat="1">
      <c r="A220" s="51"/>
      <c r="B220" s="205"/>
      <c r="C220" s="70"/>
      <c r="D220" s="70"/>
      <c r="E220" s="180"/>
      <c r="F220" s="180"/>
      <c r="G220" s="180"/>
      <c r="H220" s="180"/>
      <c r="I220" s="180"/>
      <c r="J220" s="378"/>
      <c r="K220" s="308"/>
      <c r="L220" s="308"/>
      <c r="M220" s="308"/>
      <c r="N220" s="222" t="str">
        <f>B222</f>
        <v>Building Specific Major Water Uses - Swimming Pools</v>
      </c>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218"/>
      <c r="AK220" s="218"/>
      <c r="AL220" s="218"/>
      <c r="AM220" s="218"/>
      <c r="AN220" s="218"/>
      <c r="AO220" s="218"/>
      <c r="AP220" s="218"/>
      <c r="AQ220" s="218"/>
      <c r="AR220" s="218"/>
      <c r="AS220" s="218"/>
      <c r="AT220" s="218"/>
      <c r="AU220" s="218"/>
      <c r="AV220" s="218"/>
      <c r="AW220" s="218"/>
      <c r="AX220" s="218"/>
      <c r="AY220" s="218"/>
      <c r="AZ220" s="218"/>
      <c r="BA220" s="218"/>
      <c r="BB220" s="218"/>
      <c r="BC220" s="218"/>
      <c r="BD220" s="218"/>
      <c r="BE220" s="165" t="s">
        <v>17</v>
      </c>
      <c r="BF220" s="23">
        <v>22</v>
      </c>
      <c r="BG220" s="23">
        <v>20</v>
      </c>
      <c r="BH220" s="23">
        <v>2</v>
      </c>
      <c r="BI220" s="90" t="b">
        <f t="shared" si="326"/>
        <v>1</v>
      </c>
      <c r="BJ220" s="46" t="b">
        <f t="shared" si="262"/>
        <v>0</v>
      </c>
      <c r="BK220" s="166">
        <f t="shared" si="263"/>
        <v>0</v>
      </c>
      <c r="BL220" s="175">
        <f>IF(SUM(BL$201:BL219,BK220)&gt;$BP$4,0,BK220)</f>
        <v>0</v>
      </c>
      <c r="BM220" s="23">
        <f t="shared" si="311"/>
        <v>0</v>
      </c>
      <c r="BN220" s="90">
        <f t="shared" si="312"/>
        <v>0</v>
      </c>
      <c r="BO220" s="24">
        <f t="shared" si="332"/>
        <v>0</v>
      </c>
      <c r="BP220" s="349">
        <f t="shared" si="264"/>
        <v>0</v>
      </c>
      <c r="BQ220" s="171">
        <f t="shared" si="265"/>
        <v>0</v>
      </c>
      <c r="BR220" s="170">
        <f t="shared" si="313"/>
        <v>0</v>
      </c>
      <c r="BS220" s="168">
        <f t="shared" si="266"/>
        <v>0</v>
      </c>
      <c r="BT220" s="171">
        <f t="shared" si="267"/>
        <v>0</v>
      </c>
      <c r="BU220" s="170">
        <f t="shared" si="314"/>
        <v>0</v>
      </c>
      <c r="BV220" s="168">
        <f t="shared" si="268"/>
        <v>0</v>
      </c>
      <c r="BW220" s="171">
        <f t="shared" si="269"/>
        <v>0</v>
      </c>
      <c r="BX220" s="170">
        <f t="shared" si="315"/>
        <v>0</v>
      </c>
      <c r="BY220" s="168">
        <f t="shared" si="270"/>
        <v>0</v>
      </c>
      <c r="BZ220" s="171">
        <f t="shared" si="271"/>
        <v>0</v>
      </c>
      <c r="CA220" s="170">
        <f t="shared" si="316"/>
        <v>0</v>
      </c>
      <c r="CB220" s="90">
        <f t="shared" si="272"/>
        <v>0</v>
      </c>
      <c r="CC220" s="171">
        <f t="shared" si="273"/>
        <v>0</v>
      </c>
      <c r="CD220" s="170">
        <f t="shared" si="317"/>
        <v>0</v>
      </c>
      <c r="CE220" s="90">
        <f t="shared" si="274"/>
        <v>0</v>
      </c>
      <c r="CF220" s="171">
        <f t="shared" si="275"/>
        <v>0</v>
      </c>
      <c r="CG220" s="170">
        <f t="shared" si="318"/>
        <v>0</v>
      </c>
      <c r="CH220" s="90">
        <f t="shared" si="276"/>
        <v>0</v>
      </c>
      <c r="CI220" s="171">
        <f t="shared" si="277"/>
        <v>0</v>
      </c>
      <c r="CJ220" s="170">
        <f t="shared" si="319"/>
        <v>0</v>
      </c>
      <c r="CK220" s="90">
        <f t="shared" si="278"/>
        <v>0</v>
      </c>
      <c r="CL220" s="171">
        <f t="shared" si="279"/>
        <v>0</v>
      </c>
      <c r="CM220" s="170">
        <f t="shared" si="320"/>
        <v>0</v>
      </c>
      <c r="CN220" s="90">
        <f t="shared" si="280"/>
        <v>0</v>
      </c>
      <c r="CO220" s="171">
        <f t="shared" si="281"/>
        <v>0</v>
      </c>
      <c r="CP220" s="170">
        <f t="shared" si="321"/>
        <v>0</v>
      </c>
      <c r="CQ220" s="90">
        <f t="shared" si="282"/>
        <v>0</v>
      </c>
      <c r="CR220" s="171">
        <f t="shared" si="283"/>
        <v>0</v>
      </c>
      <c r="CS220" s="170">
        <f t="shared" si="322"/>
        <v>0</v>
      </c>
      <c r="CT220" s="90">
        <f t="shared" si="284"/>
        <v>0</v>
      </c>
      <c r="CU220" s="171">
        <f t="shared" si="285"/>
        <v>0</v>
      </c>
      <c r="CV220" s="170">
        <f t="shared" si="323"/>
        <v>0</v>
      </c>
      <c r="CW220" s="90">
        <f t="shared" si="286"/>
        <v>0</v>
      </c>
      <c r="CX220" s="171">
        <f t="shared" si="287"/>
        <v>0</v>
      </c>
      <c r="CY220" s="170">
        <f t="shared" si="324"/>
        <v>0</v>
      </c>
      <c r="CZ220" s="168">
        <f t="shared" si="325"/>
        <v>0</v>
      </c>
      <c r="DA220" s="172">
        <f t="shared" si="327"/>
        <v>0</v>
      </c>
      <c r="DB220" s="173">
        <f t="shared" si="328"/>
        <v>0</v>
      </c>
      <c r="DC220" s="172">
        <f t="shared" si="329"/>
        <v>0</v>
      </c>
      <c r="DD220" s="172">
        <f t="shared" si="329"/>
        <v>0</v>
      </c>
      <c r="DE220" s="172">
        <f t="shared" si="329"/>
        <v>0</v>
      </c>
      <c r="DF220" s="172">
        <f>IF(DA220-(DE219+CZ220)&lt;0,0,DA220-(DE219+CZ220))</f>
        <v>0</v>
      </c>
      <c r="DG220" s="136"/>
      <c r="DH220" s="136"/>
      <c r="DI220" s="3"/>
      <c r="DJ220" s="379"/>
      <c r="DK220" s="274"/>
      <c r="DL220" s="274"/>
      <c r="DM220" s="8"/>
      <c r="DN220" s="8"/>
      <c r="DO220" s="8"/>
      <c r="DP220" s="8"/>
      <c r="DQ220" s="3"/>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row>
    <row r="221" spans="1:155" s="566" customFormat="1" ht="25.5" thickBot="1">
      <c r="A221" s="51"/>
      <c r="B221" s="205"/>
      <c r="C221" s="70"/>
      <c r="D221" s="70"/>
      <c r="E221" s="180"/>
      <c r="F221" s="180"/>
      <c r="G221" s="180"/>
      <c r="H221" s="180"/>
      <c r="I221" s="180"/>
      <c r="J221" s="378"/>
      <c r="K221" s="308"/>
      <c r="L221" s="308"/>
      <c r="M221" s="308"/>
      <c r="N221" s="14"/>
      <c r="O221" s="289" t="s">
        <v>197</v>
      </c>
      <c r="P221" s="14"/>
      <c r="Q221" s="293" t="s">
        <v>395</v>
      </c>
      <c r="R221" s="16">
        <f>O243*DK238+O244*DK239</f>
        <v>1.5</v>
      </c>
      <c r="S221" s="14"/>
      <c r="T221" s="14"/>
      <c r="U221" s="14"/>
      <c r="V221" s="14"/>
      <c r="W221" s="293" t="s">
        <v>396</v>
      </c>
      <c r="X221" s="14">
        <f>(X239*DK245+X240*DK246)*(X241*DK247+X242*DK248)*(X243*DK249+(1-X243))</f>
        <v>5.5999999999999994E-2</v>
      </c>
      <c r="Y221" s="14"/>
      <c r="Z221" s="293" t="s">
        <v>397</v>
      </c>
      <c r="AA221" s="14">
        <f>(Z239*DK245+Z240*DK246)*O242</f>
        <v>0.4</v>
      </c>
      <c r="AB221" s="14"/>
      <c r="AC221" s="14"/>
      <c r="AD221" s="14"/>
      <c r="AE221" s="14"/>
      <c r="AF221" s="14"/>
      <c r="AG221" s="14"/>
      <c r="AH221" s="14"/>
      <c r="AI221" s="14"/>
      <c r="AJ221" s="14"/>
      <c r="AK221" s="14"/>
      <c r="AL221" s="14"/>
      <c r="AM221" s="14"/>
      <c r="AN221" s="14"/>
      <c r="AO221" s="14"/>
      <c r="AP221" s="14"/>
      <c r="AQ221" s="293"/>
      <c r="AR221" s="14"/>
      <c r="AS221" s="14"/>
      <c r="AT221" s="14"/>
      <c r="AU221" s="14"/>
      <c r="AV221" s="14"/>
      <c r="AW221" s="14"/>
      <c r="AX221" s="14"/>
      <c r="AY221" s="14"/>
      <c r="AZ221" s="14"/>
      <c r="BA221" s="14"/>
      <c r="BB221" s="14"/>
      <c r="BC221" s="14"/>
      <c r="BD221" s="307"/>
      <c r="BE221" s="165" t="s">
        <v>17</v>
      </c>
      <c r="BF221" s="23">
        <v>22</v>
      </c>
      <c r="BG221" s="23">
        <v>21</v>
      </c>
      <c r="BH221" s="23">
        <v>3</v>
      </c>
      <c r="BI221" s="90" t="b">
        <f t="shared" si="326"/>
        <v>1</v>
      </c>
      <c r="BJ221" s="46" t="b">
        <f t="shared" si="262"/>
        <v>0</v>
      </c>
      <c r="BK221" s="166">
        <f t="shared" si="263"/>
        <v>0</v>
      </c>
      <c r="BL221" s="175">
        <f>IF(SUM(BK$201:BK220,BK221)&gt;$BP$4,0,BK221)</f>
        <v>0</v>
      </c>
      <c r="BM221" s="23">
        <f t="shared" si="311"/>
        <v>0</v>
      </c>
      <c r="BN221" s="90">
        <f t="shared" si="312"/>
        <v>0</v>
      </c>
      <c r="BO221" s="24">
        <f t="shared" si="332"/>
        <v>0</v>
      </c>
      <c r="BP221" s="349">
        <f t="shared" si="264"/>
        <v>0</v>
      </c>
      <c r="BQ221" s="171">
        <f t="shared" si="265"/>
        <v>0</v>
      </c>
      <c r="BR221" s="170">
        <f t="shared" si="313"/>
        <v>0</v>
      </c>
      <c r="BS221" s="168">
        <f t="shared" si="266"/>
        <v>0</v>
      </c>
      <c r="BT221" s="171">
        <f t="shared" si="267"/>
        <v>0</v>
      </c>
      <c r="BU221" s="170">
        <f t="shared" si="314"/>
        <v>0</v>
      </c>
      <c r="BV221" s="168">
        <f t="shared" si="268"/>
        <v>0</v>
      </c>
      <c r="BW221" s="171">
        <f t="shared" si="269"/>
        <v>0</v>
      </c>
      <c r="BX221" s="170">
        <f t="shared" si="315"/>
        <v>0</v>
      </c>
      <c r="BY221" s="168">
        <f t="shared" si="270"/>
        <v>0</v>
      </c>
      <c r="BZ221" s="171">
        <f t="shared" si="271"/>
        <v>0</v>
      </c>
      <c r="CA221" s="170">
        <f t="shared" si="316"/>
        <v>0</v>
      </c>
      <c r="CB221" s="90">
        <f t="shared" si="272"/>
        <v>0</v>
      </c>
      <c r="CC221" s="171">
        <f t="shared" si="273"/>
        <v>0</v>
      </c>
      <c r="CD221" s="170">
        <f t="shared" si="317"/>
        <v>0</v>
      </c>
      <c r="CE221" s="90">
        <f t="shared" si="274"/>
        <v>0</v>
      </c>
      <c r="CF221" s="171">
        <f t="shared" si="275"/>
        <v>0</v>
      </c>
      <c r="CG221" s="170">
        <f t="shared" si="318"/>
        <v>0</v>
      </c>
      <c r="CH221" s="90">
        <f t="shared" si="276"/>
        <v>0</v>
      </c>
      <c r="CI221" s="171">
        <f t="shared" si="277"/>
        <v>0</v>
      </c>
      <c r="CJ221" s="170">
        <f t="shared" si="319"/>
        <v>0</v>
      </c>
      <c r="CK221" s="90">
        <f t="shared" si="278"/>
        <v>0</v>
      </c>
      <c r="CL221" s="171">
        <f t="shared" si="279"/>
        <v>0</v>
      </c>
      <c r="CM221" s="170">
        <f t="shared" si="320"/>
        <v>0</v>
      </c>
      <c r="CN221" s="90">
        <f t="shared" si="280"/>
        <v>0</v>
      </c>
      <c r="CO221" s="171">
        <f t="shared" si="281"/>
        <v>0</v>
      </c>
      <c r="CP221" s="170">
        <f t="shared" si="321"/>
        <v>0</v>
      </c>
      <c r="CQ221" s="90">
        <f t="shared" si="282"/>
        <v>0</v>
      </c>
      <c r="CR221" s="171">
        <f t="shared" si="283"/>
        <v>0</v>
      </c>
      <c r="CS221" s="170">
        <f t="shared" si="322"/>
        <v>0</v>
      </c>
      <c r="CT221" s="90">
        <f t="shared" si="284"/>
        <v>0</v>
      </c>
      <c r="CU221" s="171">
        <f t="shared" si="285"/>
        <v>0</v>
      </c>
      <c r="CV221" s="170">
        <f t="shared" si="323"/>
        <v>0</v>
      </c>
      <c r="CW221" s="90">
        <f t="shared" si="286"/>
        <v>0</v>
      </c>
      <c r="CX221" s="171">
        <f t="shared" si="287"/>
        <v>0</v>
      </c>
      <c r="CY221" s="170">
        <f t="shared" si="324"/>
        <v>0</v>
      </c>
      <c r="CZ221" s="168">
        <f t="shared" si="325"/>
        <v>0</v>
      </c>
      <c r="DA221" s="172">
        <f t="shared" si="327"/>
        <v>0</v>
      </c>
      <c r="DB221" s="173">
        <f t="shared" si="328"/>
        <v>0</v>
      </c>
      <c r="DC221" s="172">
        <f t="shared" si="329"/>
        <v>0</v>
      </c>
      <c r="DD221" s="172">
        <f t="shared" si="329"/>
        <v>0</v>
      </c>
      <c r="DE221" s="172">
        <f t="shared" si="329"/>
        <v>0</v>
      </c>
      <c r="DF221" s="172">
        <f>IF(DA221-(DE220+CZ221)&lt;0,0,DA221-(DE220+CZ221))</f>
        <v>0</v>
      </c>
      <c r="DG221" s="136"/>
      <c r="DH221" s="136"/>
      <c r="DI221" s="3"/>
      <c r="DJ221" s="8"/>
      <c r="DK221" s="8"/>
      <c r="DL221" s="8"/>
      <c r="DM221" s="380"/>
      <c r="DN221" s="380"/>
      <c r="DO221" s="8"/>
      <c r="DP221" s="8"/>
      <c r="DQ221" s="3"/>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row>
    <row r="222" spans="1:155" s="566" customFormat="1">
      <c r="A222" s="51"/>
      <c r="B222" s="217" t="s">
        <v>398</v>
      </c>
      <c r="C222" s="218"/>
      <c r="D222" s="218"/>
      <c r="E222" s="218"/>
      <c r="F222" s="218"/>
      <c r="G222" s="218"/>
      <c r="H222" s="218"/>
      <c r="I222" s="218"/>
      <c r="J222" s="218"/>
      <c r="K222" s="218"/>
      <c r="L222" s="218"/>
      <c r="M222" s="218"/>
      <c r="N222" s="71"/>
      <c r="O222" s="14"/>
      <c r="P222" s="687" t="s">
        <v>399</v>
      </c>
      <c r="Q222" s="688"/>
      <c r="R222" s="688"/>
      <c r="S222" s="688"/>
      <c r="T222" s="688"/>
      <c r="U222" s="689" t="s">
        <v>400</v>
      </c>
      <c r="V222" s="690" t="s">
        <v>401</v>
      </c>
      <c r="W222" s="690"/>
      <c r="X222" s="690"/>
      <c r="Y222" s="381" t="s">
        <v>402</v>
      </c>
      <c r="Z222" s="381"/>
      <c r="AA222" s="381"/>
      <c r="AB222" s="689" t="s">
        <v>403</v>
      </c>
      <c r="AC222" s="14"/>
      <c r="AD222" s="14"/>
      <c r="AE222" s="14"/>
      <c r="AF222" s="14"/>
      <c r="AG222" s="14"/>
      <c r="AH222" s="14"/>
      <c r="AI222" s="14"/>
      <c r="AJ222" s="14"/>
      <c r="AK222" s="14"/>
      <c r="AL222" s="14"/>
      <c r="AM222" s="14"/>
      <c r="AN222" s="14"/>
      <c r="AO222" s="14"/>
      <c r="AP222" s="14"/>
      <c r="AQ222" s="293"/>
      <c r="AR222" s="14"/>
      <c r="AS222" s="14"/>
      <c r="AT222" s="14"/>
      <c r="AU222" s="14"/>
      <c r="AV222" s="14"/>
      <c r="AW222" s="14"/>
      <c r="AX222" s="14"/>
      <c r="AY222" s="14"/>
      <c r="AZ222" s="14"/>
      <c r="BA222" s="14"/>
      <c r="BB222" s="14"/>
      <c r="BC222" s="14"/>
      <c r="BD222" s="307"/>
      <c r="BE222" s="165" t="s">
        <v>17</v>
      </c>
      <c r="BF222" s="23">
        <v>22</v>
      </c>
      <c r="BG222" s="23">
        <v>22</v>
      </c>
      <c r="BH222" s="23">
        <v>4</v>
      </c>
      <c r="BI222" s="90" t="b">
        <f t="shared" si="326"/>
        <v>1</v>
      </c>
      <c r="BJ222" s="46" t="b">
        <f t="shared" si="262"/>
        <v>0</v>
      </c>
      <c r="BK222" s="166">
        <f t="shared" si="263"/>
        <v>0</v>
      </c>
      <c r="BL222" s="175">
        <f>IF(SUM(BL$201:BL221,BK222)&gt;$BP$4,0,BK222)</f>
        <v>0</v>
      </c>
      <c r="BM222" s="23">
        <f t="shared" si="311"/>
        <v>0</v>
      </c>
      <c r="BN222" s="90">
        <f t="shared" si="312"/>
        <v>0</v>
      </c>
      <c r="BO222" s="24">
        <f t="shared" si="332"/>
        <v>0</v>
      </c>
      <c r="BP222" s="349">
        <f t="shared" si="264"/>
        <v>0</v>
      </c>
      <c r="BQ222" s="171">
        <f t="shared" si="265"/>
        <v>0</v>
      </c>
      <c r="BR222" s="170">
        <f t="shared" si="313"/>
        <v>0</v>
      </c>
      <c r="BS222" s="168">
        <f t="shared" si="266"/>
        <v>0</v>
      </c>
      <c r="BT222" s="171">
        <f t="shared" si="267"/>
        <v>0</v>
      </c>
      <c r="BU222" s="170">
        <f t="shared" si="314"/>
        <v>0</v>
      </c>
      <c r="BV222" s="168">
        <f t="shared" si="268"/>
        <v>0</v>
      </c>
      <c r="BW222" s="171">
        <f t="shared" si="269"/>
        <v>0</v>
      </c>
      <c r="BX222" s="170">
        <f t="shared" si="315"/>
        <v>0</v>
      </c>
      <c r="BY222" s="168">
        <f t="shared" si="270"/>
        <v>0</v>
      </c>
      <c r="BZ222" s="171">
        <f t="shared" si="271"/>
        <v>0</v>
      </c>
      <c r="CA222" s="170">
        <f t="shared" si="316"/>
        <v>0</v>
      </c>
      <c r="CB222" s="90">
        <f t="shared" si="272"/>
        <v>0</v>
      </c>
      <c r="CC222" s="171">
        <f t="shared" si="273"/>
        <v>0</v>
      </c>
      <c r="CD222" s="170">
        <f t="shared" si="317"/>
        <v>0</v>
      </c>
      <c r="CE222" s="90">
        <f t="shared" si="274"/>
        <v>0</v>
      </c>
      <c r="CF222" s="171">
        <f t="shared" si="275"/>
        <v>0</v>
      </c>
      <c r="CG222" s="170">
        <f t="shared" si="318"/>
        <v>0</v>
      </c>
      <c r="CH222" s="90">
        <f t="shared" si="276"/>
        <v>0</v>
      </c>
      <c r="CI222" s="171">
        <f t="shared" si="277"/>
        <v>0</v>
      </c>
      <c r="CJ222" s="170">
        <f t="shared" si="319"/>
        <v>0</v>
      </c>
      <c r="CK222" s="90">
        <f t="shared" si="278"/>
        <v>0</v>
      </c>
      <c r="CL222" s="171">
        <f t="shared" si="279"/>
        <v>0</v>
      </c>
      <c r="CM222" s="170">
        <f t="shared" si="320"/>
        <v>0</v>
      </c>
      <c r="CN222" s="90">
        <f t="shared" si="280"/>
        <v>0</v>
      </c>
      <c r="CO222" s="171">
        <f t="shared" si="281"/>
        <v>0</v>
      </c>
      <c r="CP222" s="170">
        <f t="shared" si="321"/>
        <v>0</v>
      </c>
      <c r="CQ222" s="90">
        <f t="shared" si="282"/>
        <v>0</v>
      </c>
      <c r="CR222" s="171">
        <f t="shared" si="283"/>
        <v>0</v>
      </c>
      <c r="CS222" s="170">
        <f t="shared" si="322"/>
        <v>0</v>
      </c>
      <c r="CT222" s="90">
        <f t="shared" si="284"/>
        <v>0</v>
      </c>
      <c r="CU222" s="171">
        <f t="shared" si="285"/>
        <v>0</v>
      </c>
      <c r="CV222" s="170">
        <f t="shared" si="323"/>
        <v>0</v>
      </c>
      <c r="CW222" s="90">
        <f t="shared" si="286"/>
        <v>0</v>
      </c>
      <c r="CX222" s="171">
        <f t="shared" si="287"/>
        <v>0</v>
      </c>
      <c r="CY222" s="170">
        <f t="shared" si="324"/>
        <v>0</v>
      </c>
      <c r="CZ222" s="168">
        <f t="shared" si="325"/>
        <v>0</v>
      </c>
      <c r="DA222" s="172">
        <f t="shared" si="327"/>
        <v>0</v>
      </c>
      <c r="DB222" s="173">
        <f t="shared" si="328"/>
        <v>0</v>
      </c>
      <c r="DC222" s="172">
        <f t="shared" si="329"/>
        <v>0</v>
      </c>
      <c r="DD222" s="172">
        <f t="shared" si="329"/>
        <v>0</v>
      </c>
      <c r="DE222" s="172">
        <f t="shared" si="329"/>
        <v>0</v>
      </c>
      <c r="DF222" s="172">
        <f t="shared" si="330"/>
        <v>0</v>
      </c>
      <c r="DG222" s="136"/>
      <c r="DH222" s="136"/>
      <c r="DI222" s="3"/>
      <c r="DJ222" s="380"/>
      <c r="DK222" s="380"/>
      <c r="DL222" s="380"/>
      <c r="DM222" s="380"/>
      <c r="DN222" s="380"/>
      <c r="DO222" s="8"/>
      <c r="DP222" s="8"/>
      <c r="DQ222" s="3"/>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row>
    <row r="223" spans="1:155" s="566" customFormat="1">
      <c r="A223" s="334"/>
      <c r="B223" s="277" t="s">
        <v>404</v>
      </c>
      <c r="C223" s="335"/>
      <c r="D223" s="22"/>
      <c r="E223" s="22"/>
      <c r="F223" s="22"/>
      <c r="G223" s="335"/>
      <c r="H223" s="335"/>
      <c r="I223" s="335"/>
      <c r="J223" s="335"/>
      <c r="K223" s="335"/>
      <c r="L223" s="335"/>
      <c r="M223" s="335"/>
      <c r="N223" s="71" t="s">
        <v>173</v>
      </c>
      <c r="O223" s="14"/>
      <c r="P223" s="683" t="s">
        <v>405</v>
      </c>
      <c r="Q223" s="683" t="s">
        <v>406</v>
      </c>
      <c r="R223" s="683" t="s">
        <v>407</v>
      </c>
      <c r="S223" s="683" t="s">
        <v>408</v>
      </c>
      <c r="T223" s="683" t="s">
        <v>409</v>
      </c>
      <c r="U223" s="683"/>
      <c r="V223" s="683" t="s">
        <v>410</v>
      </c>
      <c r="W223" s="683" t="s">
        <v>411</v>
      </c>
      <c r="X223" s="683" t="s">
        <v>412</v>
      </c>
      <c r="Y223" s="683" t="s">
        <v>410</v>
      </c>
      <c r="Z223" s="683" t="s">
        <v>411</v>
      </c>
      <c r="AA223" s="683" t="s">
        <v>412</v>
      </c>
      <c r="AB223" s="683"/>
      <c r="AC223" s="654" t="s">
        <v>410</v>
      </c>
      <c r="AD223" s="654" t="s">
        <v>413</v>
      </c>
      <c r="AE223" s="654" t="s">
        <v>412</v>
      </c>
      <c r="AF223" s="14"/>
      <c r="AG223" s="14"/>
      <c r="AH223" s="14"/>
      <c r="AI223" s="14"/>
      <c r="AJ223" s="14"/>
      <c r="AK223" s="14"/>
      <c r="AL223" s="14"/>
      <c r="AM223" s="14"/>
      <c r="AN223" s="14"/>
      <c r="AO223" s="14"/>
      <c r="AP223" s="14"/>
      <c r="AQ223" s="293"/>
      <c r="AR223" s="14"/>
      <c r="AS223" s="14"/>
      <c r="AT223" s="14"/>
      <c r="AU223" s="14"/>
      <c r="AV223" s="14"/>
      <c r="AW223" s="14"/>
      <c r="AX223" s="14"/>
      <c r="AY223" s="14"/>
      <c r="AZ223" s="14"/>
      <c r="BA223" s="14"/>
      <c r="BB223" s="14"/>
      <c r="BC223" s="14"/>
      <c r="BD223" s="307"/>
      <c r="BE223" s="165" t="s">
        <v>17</v>
      </c>
      <c r="BF223" s="23">
        <v>22</v>
      </c>
      <c r="BG223" s="23">
        <v>23</v>
      </c>
      <c r="BH223" s="23">
        <v>5</v>
      </c>
      <c r="BI223" s="90" t="b">
        <f t="shared" si="326"/>
        <v>1</v>
      </c>
      <c r="BJ223" s="46" t="b">
        <f t="shared" si="262"/>
        <v>0</v>
      </c>
      <c r="BK223" s="166">
        <f t="shared" si="263"/>
        <v>0</v>
      </c>
      <c r="BL223" s="175">
        <f>IF(SUM(BL$201:BL222,BK223)&gt;$BP$4,0,BK223)</f>
        <v>0</v>
      </c>
      <c r="BM223" s="23">
        <f t="shared" si="311"/>
        <v>0</v>
      </c>
      <c r="BN223" s="90">
        <f t="shared" si="312"/>
        <v>0</v>
      </c>
      <c r="BO223" s="24">
        <f t="shared" si="332"/>
        <v>0</v>
      </c>
      <c r="BP223" s="349">
        <f t="shared" si="264"/>
        <v>0</v>
      </c>
      <c r="BQ223" s="171">
        <f t="shared" si="265"/>
        <v>0</v>
      </c>
      <c r="BR223" s="170">
        <f t="shared" si="313"/>
        <v>0</v>
      </c>
      <c r="BS223" s="168">
        <f t="shared" si="266"/>
        <v>0</v>
      </c>
      <c r="BT223" s="171">
        <f t="shared" si="267"/>
        <v>0</v>
      </c>
      <c r="BU223" s="170">
        <f t="shared" si="314"/>
        <v>0</v>
      </c>
      <c r="BV223" s="168">
        <f t="shared" si="268"/>
        <v>0</v>
      </c>
      <c r="BW223" s="171">
        <f t="shared" si="269"/>
        <v>0</v>
      </c>
      <c r="BX223" s="170">
        <f t="shared" si="315"/>
        <v>0</v>
      </c>
      <c r="BY223" s="168">
        <f t="shared" si="270"/>
        <v>0</v>
      </c>
      <c r="BZ223" s="171">
        <f t="shared" si="271"/>
        <v>0</v>
      </c>
      <c r="CA223" s="170">
        <f t="shared" si="316"/>
        <v>0</v>
      </c>
      <c r="CB223" s="90">
        <f t="shared" si="272"/>
        <v>0</v>
      </c>
      <c r="CC223" s="171">
        <f t="shared" si="273"/>
        <v>0</v>
      </c>
      <c r="CD223" s="170">
        <f t="shared" si="317"/>
        <v>0</v>
      </c>
      <c r="CE223" s="90">
        <f t="shared" si="274"/>
        <v>0</v>
      </c>
      <c r="CF223" s="171">
        <f t="shared" si="275"/>
        <v>0</v>
      </c>
      <c r="CG223" s="170">
        <f t="shared" si="318"/>
        <v>0</v>
      </c>
      <c r="CH223" s="90">
        <f t="shared" si="276"/>
        <v>0</v>
      </c>
      <c r="CI223" s="171">
        <f t="shared" si="277"/>
        <v>0</v>
      </c>
      <c r="CJ223" s="170">
        <f t="shared" si="319"/>
        <v>0</v>
      </c>
      <c r="CK223" s="90">
        <f t="shared" si="278"/>
        <v>0</v>
      </c>
      <c r="CL223" s="171">
        <f t="shared" si="279"/>
        <v>0</v>
      </c>
      <c r="CM223" s="170">
        <f t="shared" si="320"/>
        <v>0</v>
      </c>
      <c r="CN223" s="90">
        <f t="shared" si="280"/>
        <v>0</v>
      </c>
      <c r="CO223" s="171">
        <f t="shared" si="281"/>
        <v>0</v>
      </c>
      <c r="CP223" s="170">
        <f t="shared" si="321"/>
        <v>0</v>
      </c>
      <c r="CQ223" s="90">
        <f t="shared" si="282"/>
        <v>0</v>
      </c>
      <c r="CR223" s="171">
        <f t="shared" si="283"/>
        <v>0</v>
      </c>
      <c r="CS223" s="170">
        <f t="shared" si="322"/>
        <v>0</v>
      </c>
      <c r="CT223" s="90">
        <f t="shared" si="284"/>
        <v>0</v>
      </c>
      <c r="CU223" s="171">
        <f t="shared" si="285"/>
        <v>0</v>
      </c>
      <c r="CV223" s="170">
        <f t="shared" si="323"/>
        <v>0</v>
      </c>
      <c r="CW223" s="90">
        <f t="shared" si="286"/>
        <v>0</v>
      </c>
      <c r="CX223" s="171">
        <f t="shared" si="287"/>
        <v>0</v>
      </c>
      <c r="CY223" s="170">
        <f t="shared" si="324"/>
        <v>0</v>
      </c>
      <c r="CZ223" s="168">
        <f t="shared" si="325"/>
        <v>0</v>
      </c>
      <c r="DA223" s="172">
        <f t="shared" si="327"/>
        <v>0</v>
      </c>
      <c r="DB223" s="173">
        <f t="shared" si="328"/>
        <v>0</v>
      </c>
      <c r="DC223" s="172">
        <f t="shared" si="329"/>
        <v>0</v>
      </c>
      <c r="DD223" s="172">
        <f t="shared" si="329"/>
        <v>0</v>
      </c>
      <c r="DE223" s="172">
        <f t="shared" si="329"/>
        <v>0</v>
      </c>
      <c r="DF223" s="172">
        <f t="shared" si="330"/>
        <v>0</v>
      </c>
      <c r="DG223" s="136"/>
      <c r="DH223" s="136"/>
      <c r="DI223" s="3"/>
      <c r="DJ223" s="382" t="s">
        <v>414</v>
      </c>
      <c r="DK223" s="383" t="s">
        <v>415</v>
      </c>
      <c r="DL223" s="383"/>
      <c r="DM223" s="384"/>
      <c r="DN223" s="385"/>
      <c r="DO223" s="8"/>
      <c r="DP223" s="8"/>
      <c r="DQ223" s="3"/>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row>
    <row r="224" spans="1:155" s="566" customFormat="1" ht="14.25" customHeight="1">
      <c r="A224" s="51"/>
      <c r="B224" s="386" t="s">
        <v>416</v>
      </c>
      <c r="C224" s="386"/>
      <c r="D224" s="231" t="s">
        <v>417</v>
      </c>
      <c r="E224" s="27"/>
      <c r="F224" s="386"/>
      <c r="G224" s="386"/>
      <c r="H224" s="27"/>
      <c r="I224" s="27"/>
      <c r="J224" s="27"/>
      <c r="K224" s="27"/>
      <c r="L224" s="27"/>
      <c r="M224" s="27"/>
      <c r="N224" s="71">
        <v>2</v>
      </c>
      <c r="O224" s="27"/>
      <c r="P224" s="683"/>
      <c r="Q224" s="684"/>
      <c r="R224" s="684"/>
      <c r="S224" s="684"/>
      <c r="T224" s="684"/>
      <c r="U224" s="684"/>
      <c r="V224" s="684"/>
      <c r="W224" s="684"/>
      <c r="X224" s="684"/>
      <c r="Y224" s="684"/>
      <c r="Z224" s="684"/>
      <c r="AA224" s="684"/>
      <c r="AB224" s="684"/>
      <c r="AC224" s="685"/>
      <c r="AD224" s="685"/>
      <c r="AE224" s="685"/>
      <c r="AF224" s="14"/>
      <c r="AG224" s="14"/>
      <c r="AH224" s="14"/>
      <c r="AI224" s="14"/>
      <c r="AJ224" s="14"/>
      <c r="AK224" s="14"/>
      <c r="AL224" s="14"/>
      <c r="AM224" s="14"/>
      <c r="AN224" s="14"/>
      <c r="AO224" s="14"/>
      <c r="AP224" s="14"/>
      <c r="AQ224" s="293"/>
      <c r="AR224" s="14"/>
      <c r="AS224" s="14"/>
      <c r="AT224" s="14"/>
      <c r="AU224" s="14"/>
      <c r="AV224" s="14"/>
      <c r="AW224" s="14"/>
      <c r="AX224" s="14"/>
      <c r="AY224" s="14"/>
      <c r="AZ224" s="14"/>
      <c r="BA224" s="14"/>
      <c r="BB224" s="14"/>
      <c r="BC224" s="14"/>
      <c r="BD224" s="307"/>
      <c r="BE224" s="165" t="s">
        <v>17</v>
      </c>
      <c r="BF224" s="23">
        <v>22</v>
      </c>
      <c r="BG224" s="23">
        <v>24</v>
      </c>
      <c r="BH224" s="23">
        <v>6</v>
      </c>
      <c r="BI224" s="90" t="b">
        <f t="shared" si="326"/>
        <v>0</v>
      </c>
      <c r="BJ224" s="46" t="b">
        <f t="shared" si="262"/>
        <v>0</v>
      </c>
      <c r="BK224" s="166">
        <f t="shared" si="263"/>
        <v>0</v>
      </c>
      <c r="BL224" s="175">
        <f>IF(SUM(BL$201:BL223,BK224)&gt;$BP$4,0,BK224)</f>
        <v>0</v>
      </c>
      <c r="BM224" s="23">
        <f t="shared" si="311"/>
        <v>0</v>
      </c>
      <c r="BN224" s="90">
        <f t="shared" si="312"/>
        <v>0</v>
      </c>
      <c r="BO224" s="24">
        <f t="shared" si="332"/>
        <v>0</v>
      </c>
      <c r="BP224" s="349">
        <f t="shared" si="264"/>
        <v>0</v>
      </c>
      <c r="BQ224" s="171">
        <f t="shared" si="265"/>
        <v>0</v>
      </c>
      <c r="BR224" s="170">
        <f t="shared" si="313"/>
        <v>0</v>
      </c>
      <c r="BS224" s="168">
        <f t="shared" si="266"/>
        <v>0</v>
      </c>
      <c r="BT224" s="171">
        <f t="shared" si="267"/>
        <v>0</v>
      </c>
      <c r="BU224" s="170">
        <f t="shared" si="314"/>
        <v>0</v>
      </c>
      <c r="BV224" s="168">
        <f t="shared" si="268"/>
        <v>0</v>
      </c>
      <c r="BW224" s="171">
        <f t="shared" si="269"/>
        <v>0</v>
      </c>
      <c r="BX224" s="170">
        <f t="shared" si="315"/>
        <v>0</v>
      </c>
      <c r="BY224" s="168">
        <f t="shared" si="270"/>
        <v>0</v>
      </c>
      <c r="BZ224" s="171">
        <f t="shared" si="271"/>
        <v>0</v>
      </c>
      <c r="CA224" s="170">
        <f t="shared" si="316"/>
        <v>0</v>
      </c>
      <c r="CB224" s="90">
        <f t="shared" si="272"/>
        <v>0</v>
      </c>
      <c r="CC224" s="171">
        <f t="shared" si="273"/>
        <v>0</v>
      </c>
      <c r="CD224" s="170">
        <f t="shared" si="317"/>
        <v>0</v>
      </c>
      <c r="CE224" s="90">
        <f t="shared" si="274"/>
        <v>0</v>
      </c>
      <c r="CF224" s="171">
        <f t="shared" si="275"/>
        <v>0</v>
      </c>
      <c r="CG224" s="170">
        <f t="shared" si="318"/>
        <v>0</v>
      </c>
      <c r="CH224" s="90">
        <f t="shared" si="276"/>
        <v>0</v>
      </c>
      <c r="CI224" s="171">
        <f t="shared" si="277"/>
        <v>0</v>
      </c>
      <c r="CJ224" s="170">
        <f t="shared" si="319"/>
        <v>0</v>
      </c>
      <c r="CK224" s="90">
        <f t="shared" si="278"/>
        <v>0</v>
      </c>
      <c r="CL224" s="171">
        <f t="shared" si="279"/>
        <v>0</v>
      </c>
      <c r="CM224" s="170">
        <f t="shared" si="320"/>
        <v>0</v>
      </c>
      <c r="CN224" s="90">
        <f t="shared" si="280"/>
        <v>0</v>
      </c>
      <c r="CO224" s="171">
        <f t="shared" si="281"/>
        <v>0</v>
      </c>
      <c r="CP224" s="170">
        <f t="shared" si="321"/>
        <v>0</v>
      </c>
      <c r="CQ224" s="90">
        <f t="shared" si="282"/>
        <v>0</v>
      </c>
      <c r="CR224" s="171">
        <f t="shared" si="283"/>
        <v>0</v>
      </c>
      <c r="CS224" s="170">
        <f t="shared" si="322"/>
        <v>0</v>
      </c>
      <c r="CT224" s="90">
        <f t="shared" si="284"/>
        <v>0</v>
      </c>
      <c r="CU224" s="171">
        <f t="shared" si="285"/>
        <v>0</v>
      </c>
      <c r="CV224" s="170">
        <f t="shared" si="323"/>
        <v>0</v>
      </c>
      <c r="CW224" s="90">
        <f t="shared" si="286"/>
        <v>0</v>
      </c>
      <c r="CX224" s="171">
        <f t="shared" si="287"/>
        <v>0</v>
      </c>
      <c r="CY224" s="170">
        <f t="shared" si="324"/>
        <v>0</v>
      </c>
      <c r="CZ224" s="168">
        <f t="shared" si="325"/>
        <v>0</v>
      </c>
      <c r="DA224" s="172">
        <f t="shared" si="327"/>
        <v>0</v>
      </c>
      <c r="DB224" s="173">
        <f t="shared" si="328"/>
        <v>0</v>
      </c>
      <c r="DC224" s="172">
        <f t="shared" si="329"/>
        <v>0</v>
      </c>
      <c r="DD224" s="172">
        <f t="shared" si="329"/>
        <v>0</v>
      </c>
      <c r="DE224" s="172">
        <f t="shared" si="329"/>
        <v>0</v>
      </c>
      <c r="DF224" s="172">
        <f t="shared" si="330"/>
        <v>0</v>
      </c>
      <c r="DG224" s="136"/>
      <c r="DH224" s="136"/>
      <c r="DI224" s="3"/>
      <c r="DJ224" s="387" t="s">
        <v>418</v>
      </c>
      <c r="DK224" s="384"/>
      <c r="DL224" s="384"/>
      <c r="DM224" s="367"/>
      <c r="DN224" s="367"/>
      <c r="DO224" s="8"/>
      <c r="DP224" s="8"/>
      <c r="DQ224" s="3"/>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row>
    <row r="225" spans="1:155" s="566" customFormat="1" ht="39">
      <c r="A225" s="51"/>
      <c r="B225" s="386"/>
      <c r="C225" s="386"/>
      <c r="D225" s="388"/>
      <c r="E225" s="386"/>
      <c r="F225" s="386"/>
      <c r="G225" s="386"/>
      <c r="H225" s="27"/>
      <c r="I225" s="27"/>
      <c r="J225" s="27"/>
      <c r="K225" s="27"/>
      <c r="L225" s="27"/>
      <c r="M225" s="27"/>
      <c r="N225" s="71">
        <v>3</v>
      </c>
      <c r="O225" s="234" t="s">
        <v>168</v>
      </c>
      <c r="P225" s="389">
        <f>$DN$226/3*$O$243+$O$244*$DN$232/3</f>
        <v>3</v>
      </c>
      <c r="Q225" s="390">
        <f t="shared" ref="Q225:Q236" si="333">$R$221*$D$231*$O$240</f>
        <v>0</v>
      </c>
      <c r="R225" s="390">
        <f t="shared" ref="R225:R236" si="334">$O$239*Q225*P225/1000</f>
        <v>0</v>
      </c>
      <c r="S225" s="390">
        <f t="shared" ref="S225:S236" si="335">$D$233*$DL$242*P225/1000*$O$241</f>
        <v>0</v>
      </c>
      <c r="T225" s="390">
        <f t="shared" ref="T225:T236" si="336">$O$239*(S225+R225)</f>
        <v>0</v>
      </c>
      <c r="U225" s="390">
        <f>VLOOKUP($D$32,'Rainfall data'!$R$15:$AD$20,'Potable Water Calculator'!N224,FALSE)</f>
        <v>3.806225806451613</v>
      </c>
      <c r="V225" s="390">
        <f t="shared" ref="V225:V236" si="337">U225/1000*P205*$D$227*$X$221</f>
        <v>0</v>
      </c>
      <c r="W225" s="390">
        <f t="shared" ref="W225:W236" si="338">Q205/1000*$D$227*$X$240</f>
        <v>0</v>
      </c>
      <c r="X225" s="390">
        <f>IF(W225&gt;V225,0,V225-W225)</f>
        <v>0</v>
      </c>
      <c r="Y225" s="390">
        <f t="shared" ref="Y225:Y236" si="339">U225/1000*P205*$D$235*$AA$221</f>
        <v>14.15916</v>
      </c>
      <c r="Z225" s="390">
        <f t="shared" ref="Z225:Z236" si="340">Q205/1000*$D$235*$Z$240</f>
        <v>0</v>
      </c>
      <c r="AA225" s="390">
        <f t="shared" ref="AA225:AA236" si="341">IF(Z225&gt;Y225,0,Y225-Z225)</f>
        <v>14.15916</v>
      </c>
      <c r="AB225" s="390">
        <f t="shared" ref="AB225:AB236" si="342">AA225+X225*$O$239</f>
        <v>14.15916</v>
      </c>
      <c r="AC225" s="390">
        <f t="shared" ref="AC225:AC236" si="343">U225/1000*P205*$D$227</f>
        <v>0</v>
      </c>
      <c r="AD225" s="390">
        <f t="shared" ref="AD225:AD236" si="344">Q205/1000*$D$227</f>
        <v>0</v>
      </c>
      <c r="AE225" s="390">
        <f t="shared" ref="AE225:AE236" si="345">IF(AD225&gt;AC225,0,AC225-AD225)*$O$239</f>
        <v>0</v>
      </c>
      <c r="AF225" s="14"/>
      <c r="AG225" s="14"/>
      <c r="AH225" s="14"/>
      <c r="AI225" s="14"/>
      <c r="AJ225" s="14"/>
      <c r="AK225" s="14"/>
      <c r="AL225" s="14"/>
      <c r="AM225" s="14"/>
      <c r="AN225" s="14"/>
      <c r="AO225" s="14"/>
      <c r="AP225" s="14"/>
      <c r="AQ225" s="293"/>
      <c r="AR225" s="14"/>
      <c r="AS225" s="14"/>
      <c r="AT225" s="14"/>
      <c r="AU225" s="14"/>
      <c r="AV225" s="14"/>
      <c r="AW225" s="14"/>
      <c r="AX225" s="14"/>
      <c r="AY225" s="14"/>
      <c r="AZ225" s="14"/>
      <c r="BA225" s="14"/>
      <c r="BB225" s="14"/>
      <c r="BC225" s="14"/>
      <c r="BD225" s="27"/>
      <c r="BE225" s="165" t="s">
        <v>17</v>
      </c>
      <c r="BF225" s="23">
        <v>22</v>
      </c>
      <c r="BG225" s="23">
        <v>25</v>
      </c>
      <c r="BH225" s="23">
        <v>7</v>
      </c>
      <c r="BI225" s="90" t="b">
        <f t="shared" si="326"/>
        <v>0</v>
      </c>
      <c r="BJ225" s="46" t="b">
        <f t="shared" si="262"/>
        <v>0</v>
      </c>
      <c r="BK225" s="166">
        <f t="shared" si="263"/>
        <v>0</v>
      </c>
      <c r="BL225" s="175">
        <f>IF(SUM(BL$201:BL224,BK225)&gt;$BP$4,0,BK225)</f>
        <v>0</v>
      </c>
      <c r="BM225" s="23">
        <f t="shared" si="311"/>
        <v>0</v>
      </c>
      <c r="BN225" s="90">
        <f t="shared" si="312"/>
        <v>0</v>
      </c>
      <c r="BO225" s="24">
        <f t="shared" si="332"/>
        <v>0</v>
      </c>
      <c r="BP225" s="349">
        <f t="shared" si="264"/>
        <v>0</v>
      </c>
      <c r="BQ225" s="171">
        <f t="shared" si="265"/>
        <v>0</v>
      </c>
      <c r="BR225" s="170">
        <f t="shared" si="313"/>
        <v>0</v>
      </c>
      <c r="BS225" s="168">
        <f t="shared" si="266"/>
        <v>0</v>
      </c>
      <c r="BT225" s="171">
        <f t="shared" si="267"/>
        <v>0</v>
      </c>
      <c r="BU225" s="170">
        <f t="shared" si="314"/>
        <v>0</v>
      </c>
      <c r="BV225" s="168">
        <f t="shared" si="268"/>
        <v>0</v>
      </c>
      <c r="BW225" s="171">
        <f t="shared" si="269"/>
        <v>0</v>
      </c>
      <c r="BX225" s="170">
        <f t="shared" si="315"/>
        <v>0</v>
      </c>
      <c r="BY225" s="168">
        <f t="shared" si="270"/>
        <v>0</v>
      </c>
      <c r="BZ225" s="171">
        <f t="shared" si="271"/>
        <v>0</v>
      </c>
      <c r="CA225" s="170">
        <f t="shared" si="316"/>
        <v>0</v>
      </c>
      <c r="CB225" s="90">
        <f t="shared" si="272"/>
        <v>0</v>
      </c>
      <c r="CC225" s="171">
        <f t="shared" si="273"/>
        <v>0</v>
      </c>
      <c r="CD225" s="170">
        <f t="shared" si="317"/>
        <v>0</v>
      </c>
      <c r="CE225" s="90">
        <f t="shared" si="274"/>
        <v>0</v>
      </c>
      <c r="CF225" s="171">
        <f t="shared" si="275"/>
        <v>0</v>
      </c>
      <c r="CG225" s="170">
        <f t="shared" si="318"/>
        <v>0</v>
      </c>
      <c r="CH225" s="90">
        <f t="shared" si="276"/>
        <v>0</v>
      </c>
      <c r="CI225" s="171">
        <f t="shared" si="277"/>
        <v>0</v>
      </c>
      <c r="CJ225" s="170">
        <f t="shared" si="319"/>
        <v>0</v>
      </c>
      <c r="CK225" s="90">
        <f t="shared" si="278"/>
        <v>0</v>
      </c>
      <c r="CL225" s="171">
        <f t="shared" si="279"/>
        <v>0</v>
      </c>
      <c r="CM225" s="170">
        <f t="shared" si="320"/>
        <v>0</v>
      </c>
      <c r="CN225" s="90">
        <f t="shared" si="280"/>
        <v>0</v>
      </c>
      <c r="CO225" s="171">
        <f t="shared" si="281"/>
        <v>0</v>
      </c>
      <c r="CP225" s="170">
        <f t="shared" si="321"/>
        <v>0</v>
      </c>
      <c r="CQ225" s="90">
        <f t="shared" si="282"/>
        <v>0</v>
      </c>
      <c r="CR225" s="171">
        <f t="shared" si="283"/>
        <v>0</v>
      </c>
      <c r="CS225" s="170">
        <f t="shared" si="322"/>
        <v>0</v>
      </c>
      <c r="CT225" s="90">
        <f t="shared" si="284"/>
        <v>0</v>
      </c>
      <c r="CU225" s="171">
        <f t="shared" si="285"/>
        <v>0</v>
      </c>
      <c r="CV225" s="170">
        <f t="shared" si="323"/>
        <v>0</v>
      </c>
      <c r="CW225" s="90">
        <f t="shared" si="286"/>
        <v>0</v>
      </c>
      <c r="CX225" s="171">
        <f t="shared" si="287"/>
        <v>0</v>
      </c>
      <c r="CY225" s="170">
        <f t="shared" si="324"/>
        <v>0</v>
      </c>
      <c r="CZ225" s="168">
        <f t="shared" si="325"/>
        <v>0</v>
      </c>
      <c r="DA225" s="172">
        <f t="shared" si="327"/>
        <v>0</v>
      </c>
      <c r="DB225" s="173">
        <f t="shared" si="328"/>
        <v>0</v>
      </c>
      <c r="DC225" s="172">
        <f t="shared" si="329"/>
        <v>0</v>
      </c>
      <c r="DD225" s="172">
        <f t="shared" si="329"/>
        <v>0</v>
      </c>
      <c r="DE225" s="172">
        <f t="shared" si="329"/>
        <v>0</v>
      </c>
      <c r="DF225" s="172">
        <f t="shared" si="330"/>
        <v>0</v>
      </c>
      <c r="DG225" s="136"/>
      <c r="DH225" s="136"/>
      <c r="DI225" s="3"/>
      <c r="DJ225" s="340"/>
      <c r="DK225" s="340" t="s">
        <v>419</v>
      </c>
      <c r="DL225" s="340" t="s">
        <v>420</v>
      </c>
      <c r="DM225" s="391" t="s">
        <v>421</v>
      </c>
      <c r="DN225" s="391" t="s">
        <v>422</v>
      </c>
      <c r="DO225" s="8"/>
      <c r="DP225" s="8"/>
      <c r="DQ225" s="3"/>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row>
    <row r="226" spans="1:155" s="566" customFormat="1">
      <c r="A226" s="51"/>
      <c r="B226" s="674" t="s">
        <v>423</v>
      </c>
      <c r="C226" s="675"/>
      <c r="D226" s="231"/>
      <c r="E226" s="386"/>
      <c r="F226" s="386"/>
      <c r="G226" s="386"/>
      <c r="H226" s="27"/>
      <c r="I226" s="27"/>
      <c r="J226" s="27"/>
      <c r="K226" s="27"/>
      <c r="L226" s="27"/>
      <c r="M226" s="27"/>
      <c r="N226" s="71">
        <v>4</v>
      </c>
      <c r="O226" s="234" t="s">
        <v>172</v>
      </c>
      <c r="P226" s="389">
        <f>$DN$226/3*$O$243+$O$244*$DN$232/3</f>
        <v>3</v>
      </c>
      <c r="Q226" s="390">
        <f t="shared" si="333"/>
        <v>0</v>
      </c>
      <c r="R226" s="390">
        <f t="shared" si="334"/>
        <v>0</v>
      </c>
      <c r="S226" s="390">
        <f t="shared" si="335"/>
        <v>0</v>
      </c>
      <c r="T226" s="390">
        <f t="shared" si="336"/>
        <v>0</v>
      </c>
      <c r="U226" s="390">
        <f>VLOOKUP($D$32,'Rainfall data'!$R$15:$AD$20,'Potable Water Calculator'!N225,FALSE)</f>
        <v>3.4066423357664224</v>
      </c>
      <c r="V226" s="390">
        <f t="shared" si="337"/>
        <v>0</v>
      </c>
      <c r="W226" s="390">
        <f t="shared" si="338"/>
        <v>0</v>
      </c>
      <c r="X226" s="390">
        <f t="shared" ref="X226:X236" si="346">IF(W226&gt;V226,0,V226-W226)</f>
        <v>0</v>
      </c>
      <c r="Y226" s="390">
        <f t="shared" si="339"/>
        <v>11.446318248175182</v>
      </c>
      <c r="Z226" s="390">
        <f t="shared" si="340"/>
        <v>0</v>
      </c>
      <c r="AA226" s="390">
        <f t="shared" si="341"/>
        <v>11.446318248175182</v>
      </c>
      <c r="AB226" s="390">
        <f t="shared" si="342"/>
        <v>11.446318248175182</v>
      </c>
      <c r="AC226" s="390">
        <f t="shared" si="343"/>
        <v>0</v>
      </c>
      <c r="AD226" s="390">
        <f t="shared" si="344"/>
        <v>0</v>
      </c>
      <c r="AE226" s="390">
        <f t="shared" si="345"/>
        <v>0</v>
      </c>
      <c r="AF226" s="14"/>
      <c r="AG226" s="14"/>
      <c r="AH226" s="14"/>
      <c r="AI226" s="14"/>
      <c r="AJ226" s="14"/>
      <c r="AK226" s="14"/>
      <c r="AL226" s="14"/>
      <c r="AM226" s="14"/>
      <c r="AN226" s="14"/>
      <c r="AO226" s="14"/>
      <c r="AP226" s="14"/>
      <c r="AQ226" s="293"/>
      <c r="AR226" s="14"/>
      <c r="AS226" s="14"/>
      <c r="AT226" s="14"/>
      <c r="AU226" s="14"/>
      <c r="AV226" s="14"/>
      <c r="AW226" s="14"/>
      <c r="AX226" s="14"/>
      <c r="AY226" s="14"/>
      <c r="AZ226" s="14"/>
      <c r="BA226" s="14"/>
      <c r="BB226" s="14"/>
      <c r="BC226" s="14"/>
      <c r="BD226" s="307"/>
      <c r="BE226" s="165" t="s">
        <v>17</v>
      </c>
      <c r="BF226" s="23">
        <v>22</v>
      </c>
      <c r="BG226" s="23">
        <v>26</v>
      </c>
      <c r="BH226" s="23">
        <v>1</v>
      </c>
      <c r="BI226" s="90" t="b">
        <f t="shared" si="326"/>
        <v>1</v>
      </c>
      <c r="BJ226" s="46" t="b">
        <f t="shared" si="262"/>
        <v>0</v>
      </c>
      <c r="BK226" s="166">
        <f t="shared" si="263"/>
        <v>0</v>
      </c>
      <c r="BL226" s="175">
        <f>IF(SUM(BL$201:BL225,BK226)&gt;$BP$4,0,BK226)</f>
        <v>0</v>
      </c>
      <c r="BM226" s="23">
        <f t="shared" si="311"/>
        <v>0</v>
      </c>
      <c r="BN226" s="90">
        <f t="shared" si="312"/>
        <v>0</v>
      </c>
      <c r="BO226" s="24">
        <f t="shared" si="332"/>
        <v>0</v>
      </c>
      <c r="BP226" s="349">
        <f t="shared" si="264"/>
        <v>0</v>
      </c>
      <c r="BQ226" s="171">
        <f t="shared" si="265"/>
        <v>0</v>
      </c>
      <c r="BR226" s="170">
        <f t="shared" si="313"/>
        <v>0</v>
      </c>
      <c r="BS226" s="168">
        <f t="shared" si="266"/>
        <v>0</v>
      </c>
      <c r="BT226" s="171">
        <f t="shared" si="267"/>
        <v>0</v>
      </c>
      <c r="BU226" s="170">
        <f t="shared" si="314"/>
        <v>0</v>
      </c>
      <c r="BV226" s="168">
        <f t="shared" si="268"/>
        <v>0</v>
      </c>
      <c r="BW226" s="171">
        <f t="shared" si="269"/>
        <v>0</v>
      </c>
      <c r="BX226" s="170">
        <f t="shared" si="315"/>
        <v>0</v>
      </c>
      <c r="BY226" s="168">
        <f t="shared" si="270"/>
        <v>0</v>
      </c>
      <c r="BZ226" s="171">
        <f t="shared" si="271"/>
        <v>0</v>
      </c>
      <c r="CA226" s="170">
        <f t="shared" si="316"/>
        <v>0</v>
      </c>
      <c r="CB226" s="90">
        <f t="shared" si="272"/>
        <v>0</v>
      </c>
      <c r="CC226" s="171">
        <f t="shared" si="273"/>
        <v>0</v>
      </c>
      <c r="CD226" s="170">
        <f t="shared" si="317"/>
        <v>0</v>
      </c>
      <c r="CE226" s="90">
        <f t="shared" si="274"/>
        <v>0</v>
      </c>
      <c r="CF226" s="171">
        <f t="shared" si="275"/>
        <v>0</v>
      </c>
      <c r="CG226" s="170">
        <f t="shared" si="318"/>
        <v>0</v>
      </c>
      <c r="CH226" s="90">
        <f t="shared" si="276"/>
        <v>0</v>
      </c>
      <c r="CI226" s="171">
        <f t="shared" si="277"/>
        <v>0</v>
      </c>
      <c r="CJ226" s="170">
        <f t="shared" si="319"/>
        <v>0</v>
      </c>
      <c r="CK226" s="90">
        <f t="shared" si="278"/>
        <v>0</v>
      </c>
      <c r="CL226" s="171">
        <f t="shared" si="279"/>
        <v>0</v>
      </c>
      <c r="CM226" s="170">
        <f t="shared" si="320"/>
        <v>0</v>
      </c>
      <c r="CN226" s="90">
        <f t="shared" si="280"/>
        <v>0</v>
      </c>
      <c r="CO226" s="171">
        <f t="shared" si="281"/>
        <v>0</v>
      </c>
      <c r="CP226" s="170">
        <f t="shared" si="321"/>
        <v>0</v>
      </c>
      <c r="CQ226" s="90">
        <f t="shared" si="282"/>
        <v>0</v>
      </c>
      <c r="CR226" s="171">
        <f t="shared" si="283"/>
        <v>0</v>
      </c>
      <c r="CS226" s="170">
        <f t="shared" si="322"/>
        <v>0</v>
      </c>
      <c r="CT226" s="90">
        <f t="shared" si="284"/>
        <v>0</v>
      </c>
      <c r="CU226" s="171">
        <f t="shared" si="285"/>
        <v>0</v>
      </c>
      <c r="CV226" s="170">
        <f t="shared" si="323"/>
        <v>0</v>
      </c>
      <c r="CW226" s="90">
        <f t="shared" si="286"/>
        <v>0</v>
      </c>
      <c r="CX226" s="171">
        <f t="shared" si="287"/>
        <v>0</v>
      </c>
      <c r="CY226" s="170">
        <f t="shared" si="324"/>
        <v>0</v>
      </c>
      <c r="CZ226" s="168">
        <f t="shared" si="325"/>
        <v>0</v>
      </c>
      <c r="DA226" s="172">
        <f t="shared" si="327"/>
        <v>0</v>
      </c>
      <c r="DB226" s="173">
        <f t="shared" si="328"/>
        <v>0</v>
      </c>
      <c r="DC226" s="172">
        <f t="shared" si="329"/>
        <v>0</v>
      </c>
      <c r="DD226" s="172">
        <f t="shared" si="329"/>
        <v>0</v>
      </c>
      <c r="DE226" s="172">
        <f t="shared" si="329"/>
        <v>0</v>
      </c>
      <c r="DF226" s="172">
        <f t="shared" si="330"/>
        <v>0</v>
      </c>
      <c r="DG226" s="136"/>
      <c r="DH226" s="136"/>
      <c r="DI226" s="3"/>
      <c r="DJ226" s="340" t="s">
        <v>424</v>
      </c>
      <c r="DK226" s="363">
        <v>7</v>
      </c>
      <c r="DL226" s="363">
        <v>90</v>
      </c>
      <c r="DM226" s="363">
        <f>DL226*DK226</f>
        <v>630</v>
      </c>
      <c r="DN226" s="392">
        <f>DM226/70</f>
        <v>9</v>
      </c>
      <c r="DO226" s="8"/>
      <c r="DP226" s="8"/>
      <c r="DQ226" s="3"/>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row>
    <row r="227" spans="1:155" s="566" customFormat="1">
      <c r="A227" s="51"/>
      <c r="B227" s="674" t="s">
        <v>425</v>
      </c>
      <c r="C227" s="675"/>
      <c r="D227" s="231"/>
      <c r="E227" s="386"/>
      <c r="F227" s="386"/>
      <c r="G227" s="386"/>
      <c r="H227" s="27"/>
      <c r="I227" s="27"/>
      <c r="J227" s="27"/>
      <c r="K227" s="27"/>
      <c r="L227" s="27"/>
      <c r="M227" s="27"/>
      <c r="N227" s="71">
        <v>5</v>
      </c>
      <c r="O227" s="234" t="s">
        <v>177</v>
      </c>
      <c r="P227" s="393">
        <f>$DN$227/6*$O$243+$O$244*$DN$233/6</f>
        <v>2.1785714285714284</v>
      </c>
      <c r="Q227" s="390">
        <f t="shared" si="333"/>
        <v>0</v>
      </c>
      <c r="R227" s="390">
        <f t="shared" si="334"/>
        <v>0</v>
      </c>
      <c r="S227" s="390">
        <f t="shared" si="335"/>
        <v>0</v>
      </c>
      <c r="T227" s="390">
        <f t="shared" si="336"/>
        <v>0</v>
      </c>
      <c r="U227" s="390">
        <f>VLOOKUP($D$32,'Rainfall data'!$R$15:$AD$20,'Potable Water Calculator'!N226,FALSE)</f>
        <v>2.9907407407407414</v>
      </c>
      <c r="V227" s="390">
        <f t="shared" si="337"/>
        <v>0</v>
      </c>
      <c r="W227" s="390">
        <f t="shared" si="338"/>
        <v>0</v>
      </c>
      <c r="X227" s="390">
        <f t="shared" si="346"/>
        <v>0</v>
      </c>
      <c r="Y227" s="390">
        <f t="shared" si="339"/>
        <v>11.125555555555557</v>
      </c>
      <c r="Z227" s="390">
        <f t="shared" si="340"/>
        <v>0</v>
      </c>
      <c r="AA227" s="390">
        <f t="shared" si="341"/>
        <v>11.125555555555557</v>
      </c>
      <c r="AB227" s="390">
        <f t="shared" si="342"/>
        <v>11.125555555555557</v>
      </c>
      <c r="AC227" s="390">
        <f t="shared" si="343"/>
        <v>0</v>
      </c>
      <c r="AD227" s="390">
        <f t="shared" si="344"/>
        <v>0</v>
      </c>
      <c r="AE227" s="390">
        <f t="shared" si="345"/>
        <v>0</v>
      </c>
      <c r="AF227" s="14"/>
      <c r="AG227" s="14"/>
      <c r="AH227" s="14"/>
      <c r="AI227" s="14"/>
      <c r="AJ227" s="14"/>
      <c r="AK227" s="14"/>
      <c r="AL227" s="14"/>
      <c r="AM227" s="14"/>
      <c r="AN227" s="14"/>
      <c r="AO227" s="14"/>
      <c r="AP227" s="14"/>
      <c r="AQ227" s="293"/>
      <c r="AR227" s="14"/>
      <c r="AS227" s="14"/>
      <c r="AT227" s="14"/>
      <c r="AU227" s="14"/>
      <c r="AV227" s="14"/>
      <c r="AW227" s="14"/>
      <c r="AX227" s="14"/>
      <c r="AY227" s="14"/>
      <c r="AZ227" s="14"/>
      <c r="BA227" s="14"/>
      <c r="BB227" s="14"/>
      <c r="BC227" s="14"/>
      <c r="BD227" s="27"/>
      <c r="BE227" s="165" t="s">
        <v>17</v>
      </c>
      <c r="BF227" s="23">
        <v>22</v>
      </c>
      <c r="BG227" s="23">
        <v>27</v>
      </c>
      <c r="BH227" s="23">
        <v>2</v>
      </c>
      <c r="BI227" s="90" t="b">
        <f t="shared" si="326"/>
        <v>1</v>
      </c>
      <c r="BJ227" s="46" t="b">
        <f t="shared" si="262"/>
        <v>0</v>
      </c>
      <c r="BK227" s="166">
        <f t="shared" si="263"/>
        <v>0</v>
      </c>
      <c r="BL227" s="175">
        <f>IF(SUM(BL$201:BL226,BK227)&gt;$BP$4,0,BK227)</f>
        <v>0</v>
      </c>
      <c r="BM227" s="23">
        <f t="shared" si="311"/>
        <v>0</v>
      </c>
      <c r="BN227" s="90">
        <f t="shared" si="312"/>
        <v>0</v>
      </c>
      <c r="BO227" s="24">
        <f t="shared" si="332"/>
        <v>0</v>
      </c>
      <c r="BP227" s="349">
        <f t="shared" si="264"/>
        <v>0</v>
      </c>
      <c r="BQ227" s="171">
        <f t="shared" si="265"/>
        <v>0</v>
      </c>
      <c r="BR227" s="170">
        <f t="shared" si="313"/>
        <v>0</v>
      </c>
      <c r="BS227" s="168">
        <f t="shared" si="266"/>
        <v>0</v>
      </c>
      <c r="BT227" s="171">
        <f t="shared" si="267"/>
        <v>0</v>
      </c>
      <c r="BU227" s="170">
        <f t="shared" si="314"/>
        <v>0</v>
      </c>
      <c r="BV227" s="168">
        <f t="shared" si="268"/>
        <v>0</v>
      </c>
      <c r="BW227" s="171">
        <f t="shared" si="269"/>
        <v>0</v>
      </c>
      <c r="BX227" s="170">
        <f t="shared" si="315"/>
        <v>0</v>
      </c>
      <c r="BY227" s="168">
        <f t="shared" si="270"/>
        <v>0</v>
      </c>
      <c r="BZ227" s="171">
        <f t="shared" si="271"/>
        <v>0</v>
      </c>
      <c r="CA227" s="170">
        <f t="shared" si="316"/>
        <v>0</v>
      </c>
      <c r="CB227" s="90">
        <f t="shared" si="272"/>
        <v>0</v>
      </c>
      <c r="CC227" s="171">
        <f t="shared" si="273"/>
        <v>0</v>
      </c>
      <c r="CD227" s="170">
        <f t="shared" si="317"/>
        <v>0</v>
      </c>
      <c r="CE227" s="90">
        <f t="shared" si="274"/>
        <v>0</v>
      </c>
      <c r="CF227" s="171">
        <f t="shared" si="275"/>
        <v>0</v>
      </c>
      <c r="CG227" s="170">
        <f t="shared" si="318"/>
        <v>0</v>
      </c>
      <c r="CH227" s="90">
        <f t="shared" si="276"/>
        <v>0</v>
      </c>
      <c r="CI227" s="171">
        <f t="shared" si="277"/>
        <v>0</v>
      </c>
      <c r="CJ227" s="170">
        <f t="shared" si="319"/>
        <v>0</v>
      </c>
      <c r="CK227" s="90">
        <f t="shared" si="278"/>
        <v>0</v>
      </c>
      <c r="CL227" s="171">
        <f t="shared" si="279"/>
        <v>0</v>
      </c>
      <c r="CM227" s="170">
        <f t="shared" si="320"/>
        <v>0</v>
      </c>
      <c r="CN227" s="90">
        <f t="shared" si="280"/>
        <v>0</v>
      </c>
      <c r="CO227" s="171">
        <f t="shared" si="281"/>
        <v>0</v>
      </c>
      <c r="CP227" s="170">
        <f t="shared" si="321"/>
        <v>0</v>
      </c>
      <c r="CQ227" s="90">
        <f t="shared" si="282"/>
        <v>0</v>
      </c>
      <c r="CR227" s="171">
        <f t="shared" si="283"/>
        <v>0</v>
      </c>
      <c r="CS227" s="170">
        <f t="shared" si="322"/>
        <v>0</v>
      </c>
      <c r="CT227" s="90">
        <f t="shared" si="284"/>
        <v>0</v>
      </c>
      <c r="CU227" s="171">
        <f t="shared" si="285"/>
        <v>0</v>
      </c>
      <c r="CV227" s="170">
        <f t="shared" si="323"/>
        <v>0</v>
      </c>
      <c r="CW227" s="90">
        <f t="shared" si="286"/>
        <v>0</v>
      </c>
      <c r="CX227" s="171">
        <f t="shared" si="287"/>
        <v>0</v>
      </c>
      <c r="CY227" s="170">
        <f t="shared" si="324"/>
        <v>0</v>
      </c>
      <c r="CZ227" s="168">
        <f t="shared" si="325"/>
        <v>0</v>
      </c>
      <c r="DA227" s="172">
        <f t="shared" si="327"/>
        <v>0</v>
      </c>
      <c r="DB227" s="173">
        <f t="shared" si="328"/>
        <v>0</v>
      </c>
      <c r="DC227" s="172">
        <f t="shared" si="329"/>
        <v>0</v>
      </c>
      <c r="DD227" s="172">
        <f t="shared" si="329"/>
        <v>0</v>
      </c>
      <c r="DE227" s="172">
        <f t="shared" si="329"/>
        <v>0</v>
      </c>
      <c r="DF227" s="172">
        <f t="shared" si="330"/>
        <v>0</v>
      </c>
      <c r="DG227" s="136"/>
      <c r="DH227" s="136"/>
      <c r="DI227" s="3"/>
      <c r="DJ227" s="340" t="s">
        <v>426</v>
      </c>
      <c r="DK227" s="360">
        <v>7</v>
      </c>
      <c r="DL227" s="360">
        <v>183</v>
      </c>
      <c r="DM227" s="360">
        <f>DL227*DK227</f>
        <v>1281</v>
      </c>
      <c r="DN227" s="394">
        <f>DM227/70</f>
        <v>18.3</v>
      </c>
      <c r="DO227" s="8"/>
      <c r="DP227" s="8"/>
      <c r="DQ227" s="3"/>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row>
    <row r="228" spans="1:155" s="566" customFormat="1" hidden="1">
      <c r="A228" s="51"/>
      <c r="B228" s="3"/>
      <c r="C228" s="3"/>
      <c r="D228" s="307"/>
      <c r="E228" s="386"/>
      <c r="F228" s="386"/>
      <c r="G228" s="386"/>
      <c r="H228" s="27"/>
      <c r="I228" s="27"/>
      <c r="J228" s="27"/>
      <c r="K228" s="27"/>
      <c r="L228" s="27"/>
      <c r="M228" s="27"/>
      <c r="N228" s="71">
        <v>6</v>
      </c>
      <c r="O228" s="234" t="s">
        <v>180</v>
      </c>
      <c r="P228" s="393">
        <f>$DN$227/6*$O$243+$O$244*$DN$233/6</f>
        <v>2.1785714285714284</v>
      </c>
      <c r="Q228" s="390">
        <f t="shared" si="333"/>
        <v>0</v>
      </c>
      <c r="R228" s="390">
        <f t="shared" si="334"/>
        <v>0</v>
      </c>
      <c r="S228" s="390">
        <f t="shared" si="335"/>
        <v>0</v>
      </c>
      <c r="T228" s="390">
        <f t="shared" si="336"/>
        <v>0</v>
      </c>
      <c r="U228" s="390">
        <f>VLOOKUP($D$32,'Rainfall data'!$R$15:$AD$20,'Potable Water Calculator'!N227,FALSE)</f>
        <v>2.7884333333333342</v>
      </c>
      <c r="V228" s="390">
        <f t="shared" si="337"/>
        <v>0</v>
      </c>
      <c r="W228" s="390">
        <f t="shared" si="338"/>
        <v>0</v>
      </c>
      <c r="X228" s="390">
        <f t="shared" si="346"/>
        <v>0</v>
      </c>
      <c r="Y228" s="390">
        <f t="shared" si="339"/>
        <v>10.038360000000004</v>
      </c>
      <c r="Z228" s="390">
        <f t="shared" si="340"/>
        <v>0</v>
      </c>
      <c r="AA228" s="390">
        <f t="shared" si="341"/>
        <v>10.038360000000004</v>
      </c>
      <c r="AB228" s="390">
        <f t="shared" si="342"/>
        <v>10.038360000000004</v>
      </c>
      <c r="AC228" s="390">
        <f t="shared" si="343"/>
        <v>0</v>
      </c>
      <c r="AD228" s="390">
        <f t="shared" si="344"/>
        <v>0</v>
      </c>
      <c r="AE228" s="390">
        <f t="shared" si="345"/>
        <v>0</v>
      </c>
      <c r="AF228" s="14"/>
      <c r="AG228" s="14"/>
      <c r="AH228" s="14"/>
      <c r="AI228" s="14"/>
      <c r="AJ228" s="14"/>
      <c r="AK228" s="14"/>
      <c r="AL228" s="14"/>
      <c r="AM228" s="14"/>
      <c r="AN228" s="14"/>
      <c r="AO228" s="14"/>
      <c r="AP228" s="14"/>
      <c r="AQ228" s="293"/>
      <c r="AR228" s="14"/>
      <c r="AS228" s="14"/>
      <c r="AT228" s="14"/>
      <c r="AU228" s="14"/>
      <c r="AV228" s="14"/>
      <c r="AW228" s="14"/>
      <c r="AX228" s="14"/>
      <c r="AY228" s="14"/>
      <c r="AZ228" s="14"/>
      <c r="BA228" s="14"/>
      <c r="BB228" s="14"/>
      <c r="BC228" s="14"/>
      <c r="BD228" s="70"/>
      <c r="BE228" s="165" t="s">
        <v>17</v>
      </c>
      <c r="BF228" s="23">
        <v>22</v>
      </c>
      <c r="BG228" s="23">
        <v>28</v>
      </c>
      <c r="BH228" s="23">
        <v>3</v>
      </c>
      <c r="BI228" s="90" t="b">
        <f t="shared" si="326"/>
        <v>1</v>
      </c>
      <c r="BJ228" s="46" t="b">
        <f t="shared" si="262"/>
        <v>0</v>
      </c>
      <c r="BK228" s="166">
        <f t="shared" si="263"/>
        <v>0</v>
      </c>
      <c r="BL228" s="175">
        <f>IF(SUM(BL$201:BL227,BK228)&gt;$BP$4,0,BK228)</f>
        <v>0</v>
      </c>
      <c r="BM228" s="23">
        <f t="shared" si="311"/>
        <v>0</v>
      </c>
      <c r="BN228" s="90">
        <f t="shared" si="312"/>
        <v>0</v>
      </c>
      <c r="BO228" s="24">
        <f t="shared" si="332"/>
        <v>0</v>
      </c>
      <c r="BP228" s="349">
        <f t="shared" si="264"/>
        <v>0</v>
      </c>
      <c r="BQ228" s="171">
        <f t="shared" si="265"/>
        <v>0</v>
      </c>
      <c r="BR228" s="170">
        <f t="shared" si="313"/>
        <v>0</v>
      </c>
      <c r="BS228" s="168">
        <f t="shared" si="266"/>
        <v>0</v>
      </c>
      <c r="BT228" s="171">
        <f t="shared" si="267"/>
        <v>0</v>
      </c>
      <c r="BU228" s="170">
        <f t="shared" si="314"/>
        <v>0</v>
      </c>
      <c r="BV228" s="168">
        <f t="shared" si="268"/>
        <v>0</v>
      </c>
      <c r="BW228" s="171">
        <f t="shared" si="269"/>
        <v>0</v>
      </c>
      <c r="BX228" s="170">
        <f t="shared" si="315"/>
        <v>0</v>
      </c>
      <c r="BY228" s="168">
        <f t="shared" si="270"/>
        <v>0</v>
      </c>
      <c r="BZ228" s="171">
        <f t="shared" si="271"/>
        <v>0</v>
      </c>
      <c r="CA228" s="170">
        <f t="shared" si="316"/>
        <v>0</v>
      </c>
      <c r="CB228" s="90">
        <f t="shared" si="272"/>
        <v>0</v>
      </c>
      <c r="CC228" s="171">
        <f t="shared" si="273"/>
        <v>0</v>
      </c>
      <c r="CD228" s="170">
        <f t="shared" si="317"/>
        <v>0</v>
      </c>
      <c r="CE228" s="90">
        <f t="shared" si="274"/>
        <v>0</v>
      </c>
      <c r="CF228" s="171">
        <f t="shared" si="275"/>
        <v>0</v>
      </c>
      <c r="CG228" s="170">
        <f t="shared" si="318"/>
        <v>0</v>
      </c>
      <c r="CH228" s="90">
        <f t="shared" si="276"/>
        <v>0</v>
      </c>
      <c r="CI228" s="171">
        <f t="shared" si="277"/>
        <v>0</v>
      </c>
      <c r="CJ228" s="170">
        <f t="shared" si="319"/>
        <v>0</v>
      </c>
      <c r="CK228" s="90">
        <f t="shared" si="278"/>
        <v>0</v>
      </c>
      <c r="CL228" s="171">
        <f t="shared" si="279"/>
        <v>0</v>
      </c>
      <c r="CM228" s="170">
        <f t="shared" si="320"/>
        <v>0</v>
      </c>
      <c r="CN228" s="90">
        <f t="shared" si="280"/>
        <v>0</v>
      </c>
      <c r="CO228" s="171">
        <f t="shared" si="281"/>
        <v>0</v>
      </c>
      <c r="CP228" s="170">
        <f t="shared" si="321"/>
        <v>0</v>
      </c>
      <c r="CQ228" s="90">
        <f t="shared" si="282"/>
        <v>0</v>
      </c>
      <c r="CR228" s="171">
        <f t="shared" si="283"/>
        <v>0</v>
      </c>
      <c r="CS228" s="170">
        <f t="shared" si="322"/>
        <v>0</v>
      </c>
      <c r="CT228" s="90">
        <f t="shared" si="284"/>
        <v>0</v>
      </c>
      <c r="CU228" s="171">
        <f t="shared" si="285"/>
        <v>0</v>
      </c>
      <c r="CV228" s="170">
        <f t="shared" si="323"/>
        <v>0</v>
      </c>
      <c r="CW228" s="90">
        <f t="shared" si="286"/>
        <v>0</v>
      </c>
      <c r="CX228" s="171">
        <f t="shared" si="287"/>
        <v>0</v>
      </c>
      <c r="CY228" s="170">
        <f t="shared" si="324"/>
        <v>0</v>
      </c>
      <c r="CZ228" s="168">
        <f t="shared" si="325"/>
        <v>0</v>
      </c>
      <c r="DA228" s="172">
        <f t="shared" si="327"/>
        <v>0</v>
      </c>
      <c r="DB228" s="173">
        <f t="shared" si="328"/>
        <v>0</v>
      </c>
      <c r="DC228" s="172">
        <f t="shared" si="329"/>
        <v>0</v>
      </c>
      <c r="DD228" s="172">
        <f t="shared" si="329"/>
        <v>0</v>
      </c>
      <c r="DE228" s="172">
        <f t="shared" si="329"/>
        <v>0</v>
      </c>
      <c r="DF228" s="172">
        <f t="shared" si="330"/>
        <v>0</v>
      </c>
      <c r="DG228" s="136"/>
      <c r="DH228" s="136"/>
      <c r="DI228" s="3"/>
      <c r="DJ228" s="340" t="s">
        <v>427</v>
      </c>
      <c r="DK228" s="360">
        <v>7</v>
      </c>
      <c r="DL228" s="360">
        <v>92</v>
      </c>
      <c r="DM228" s="360">
        <f>DL228*DK228</f>
        <v>644</v>
      </c>
      <c r="DN228" s="395">
        <f>DM228/70</f>
        <v>9.1999999999999993</v>
      </c>
      <c r="DO228" s="8"/>
      <c r="DP228" s="8"/>
      <c r="DQ228" s="3"/>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row>
    <row r="229" spans="1:155" s="566" customFormat="1" hidden="1">
      <c r="A229" s="51"/>
      <c r="B229" s="396" t="s">
        <v>428</v>
      </c>
      <c r="C229" s="397"/>
      <c r="D229" s="398"/>
      <c r="E229" s="397"/>
      <c r="F229" s="397"/>
      <c r="G229" s="386"/>
      <c r="H229" s="27"/>
      <c r="I229" s="27"/>
      <c r="J229" s="361"/>
      <c r="K229" s="27"/>
      <c r="L229" s="27"/>
      <c r="M229" s="27"/>
      <c r="N229" s="71">
        <v>7</v>
      </c>
      <c r="O229" s="234" t="s">
        <v>15</v>
      </c>
      <c r="P229" s="393">
        <f>$DN$227/6*$O$243+$O$244*$DN$233/6</f>
        <v>2.1785714285714284</v>
      </c>
      <c r="Q229" s="390">
        <f t="shared" si="333"/>
        <v>0</v>
      </c>
      <c r="R229" s="390">
        <f t="shared" si="334"/>
        <v>0</v>
      </c>
      <c r="S229" s="390">
        <f t="shared" si="335"/>
        <v>0</v>
      </c>
      <c r="T229" s="390">
        <f t="shared" si="336"/>
        <v>0</v>
      </c>
      <c r="U229" s="390">
        <f>VLOOKUP($D$32,'Rainfall data'!$R$15:$AD$20,'Potable Water Calculator'!N228,FALSE)</f>
        <v>2.4160429447852758</v>
      </c>
      <c r="V229" s="390">
        <f t="shared" si="337"/>
        <v>0</v>
      </c>
      <c r="W229" s="390">
        <f t="shared" si="338"/>
        <v>0</v>
      </c>
      <c r="X229" s="390">
        <f t="shared" si="346"/>
        <v>0</v>
      </c>
      <c r="Y229" s="390">
        <f t="shared" si="339"/>
        <v>8.9876797546012277</v>
      </c>
      <c r="Z229" s="390">
        <f t="shared" si="340"/>
        <v>0</v>
      </c>
      <c r="AA229" s="390">
        <f t="shared" si="341"/>
        <v>8.9876797546012277</v>
      </c>
      <c r="AB229" s="390">
        <f t="shared" si="342"/>
        <v>8.9876797546012277</v>
      </c>
      <c r="AC229" s="390">
        <f t="shared" si="343"/>
        <v>0</v>
      </c>
      <c r="AD229" s="390">
        <f t="shared" si="344"/>
        <v>0</v>
      </c>
      <c r="AE229" s="390">
        <f t="shared" si="345"/>
        <v>0</v>
      </c>
      <c r="AF229" s="14"/>
      <c r="AG229" s="14"/>
      <c r="AH229" s="14"/>
      <c r="AI229" s="14"/>
      <c r="AJ229" s="14"/>
      <c r="AK229" s="14"/>
      <c r="AL229" s="14"/>
      <c r="AM229" s="14"/>
      <c r="AN229" s="14"/>
      <c r="AO229" s="14"/>
      <c r="AP229" s="14"/>
      <c r="AQ229" s="293"/>
      <c r="AR229" s="14"/>
      <c r="AS229" s="14"/>
      <c r="AT229" s="14"/>
      <c r="AU229" s="14"/>
      <c r="AV229" s="14"/>
      <c r="AW229" s="14"/>
      <c r="AX229" s="14"/>
      <c r="AY229" s="14"/>
      <c r="AZ229" s="14"/>
      <c r="BA229" s="14"/>
      <c r="BB229" s="14"/>
      <c r="BC229" s="14"/>
      <c r="BD229" s="70"/>
      <c r="BE229" s="165" t="s">
        <v>17</v>
      </c>
      <c r="BF229" s="23">
        <v>22</v>
      </c>
      <c r="BG229" s="23">
        <v>29</v>
      </c>
      <c r="BH229" s="23">
        <v>4</v>
      </c>
      <c r="BI229" s="90" t="b">
        <f t="shared" si="326"/>
        <v>1</v>
      </c>
      <c r="BJ229" s="46" t="b">
        <f t="shared" si="262"/>
        <v>0</v>
      </c>
      <c r="BK229" s="166">
        <f t="shared" si="263"/>
        <v>0</v>
      </c>
      <c r="BL229" s="175">
        <f>IF(SUM(BL$201:BL228,BK229)&gt;$BP$4,0,BK229)</f>
        <v>0</v>
      </c>
      <c r="BM229" s="23">
        <f t="shared" si="311"/>
        <v>0</v>
      </c>
      <c r="BN229" s="90">
        <f t="shared" si="312"/>
        <v>0</v>
      </c>
      <c r="BO229" s="24">
        <f t="shared" si="332"/>
        <v>0</v>
      </c>
      <c r="BP229" s="349">
        <f t="shared" si="264"/>
        <v>0</v>
      </c>
      <c r="BQ229" s="171">
        <f t="shared" si="265"/>
        <v>0</v>
      </c>
      <c r="BR229" s="170">
        <f t="shared" si="313"/>
        <v>0</v>
      </c>
      <c r="BS229" s="168">
        <f t="shared" si="266"/>
        <v>0</v>
      </c>
      <c r="BT229" s="171">
        <f t="shared" si="267"/>
        <v>0</v>
      </c>
      <c r="BU229" s="170">
        <f t="shared" si="314"/>
        <v>0</v>
      </c>
      <c r="BV229" s="168">
        <f t="shared" si="268"/>
        <v>0</v>
      </c>
      <c r="BW229" s="171">
        <f t="shared" si="269"/>
        <v>0</v>
      </c>
      <c r="BX229" s="170">
        <f t="shared" si="315"/>
        <v>0</v>
      </c>
      <c r="BY229" s="168">
        <f t="shared" si="270"/>
        <v>0</v>
      </c>
      <c r="BZ229" s="171">
        <f t="shared" si="271"/>
        <v>0</v>
      </c>
      <c r="CA229" s="170">
        <f t="shared" si="316"/>
        <v>0</v>
      </c>
      <c r="CB229" s="90">
        <f t="shared" si="272"/>
        <v>0</v>
      </c>
      <c r="CC229" s="171">
        <f t="shared" si="273"/>
        <v>0</v>
      </c>
      <c r="CD229" s="170">
        <f t="shared" si="317"/>
        <v>0</v>
      </c>
      <c r="CE229" s="90">
        <f t="shared" si="274"/>
        <v>0</v>
      </c>
      <c r="CF229" s="171">
        <f t="shared" si="275"/>
        <v>0</v>
      </c>
      <c r="CG229" s="170">
        <f t="shared" si="318"/>
        <v>0</v>
      </c>
      <c r="CH229" s="90">
        <f t="shared" si="276"/>
        <v>0</v>
      </c>
      <c r="CI229" s="171">
        <f t="shared" si="277"/>
        <v>0</v>
      </c>
      <c r="CJ229" s="170">
        <f t="shared" si="319"/>
        <v>0</v>
      </c>
      <c r="CK229" s="90">
        <f t="shared" si="278"/>
        <v>0</v>
      </c>
      <c r="CL229" s="171">
        <f t="shared" si="279"/>
        <v>0</v>
      </c>
      <c r="CM229" s="170">
        <f t="shared" si="320"/>
        <v>0</v>
      </c>
      <c r="CN229" s="90">
        <f t="shared" si="280"/>
        <v>0</v>
      </c>
      <c r="CO229" s="171">
        <f t="shared" si="281"/>
        <v>0</v>
      </c>
      <c r="CP229" s="170">
        <f t="shared" si="321"/>
        <v>0</v>
      </c>
      <c r="CQ229" s="90">
        <f t="shared" si="282"/>
        <v>0</v>
      </c>
      <c r="CR229" s="171">
        <f t="shared" si="283"/>
        <v>0</v>
      </c>
      <c r="CS229" s="170">
        <f t="shared" si="322"/>
        <v>0</v>
      </c>
      <c r="CT229" s="90">
        <f t="shared" si="284"/>
        <v>0</v>
      </c>
      <c r="CU229" s="171">
        <f t="shared" si="285"/>
        <v>0</v>
      </c>
      <c r="CV229" s="170">
        <f t="shared" si="323"/>
        <v>0</v>
      </c>
      <c r="CW229" s="90">
        <f t="shared" si="286"/>
        <v>0</v>
      </c>
      <c r="CX229" s="171">
        <f t="shared" si="287"/>
        <v>0</v>
      </c>
      <c r="CY229" s="170">
        <f t="shared" si="324"/>
        <v>0</v>
      </c>
      <c r="CZ229" s="168">
        <f t="shared" si="325"/>
        <v>0</v>
      </c>
      <c r="DA229" s="172">
        <f t="shared" si="327"/>
        <v>0</v>
      </c>
      <c r="DB229" s="173">
        <f t="shared" si="328"/>
        <v>0</v>
      </c>
      <c r="DC229" s="172">
        <f t="shared" ref="DC229:DE244" si="347">IF(DC228+$DB229&lt;0,0,IF(DC228+$DB229&gt;$F$405,$F$405,DC228+$DB229))</f>
        <v>0</v>
      </c>
      <c r="DD229" s="172">
        <f t="shared" si="347"/>
        <v>0</v>
      </c>
      <c r="DE229" s="172">
        <f t="shared" si="347"/>
        <v>0</v>
      </c>
      <c r="DF229" s="172">
        <f t="shared" si="330"/>
        <v>0</v>
      </c>
      <c r="DG229" s="136"/>
      <c r="DH229" s="136"/>
      <c r="DI229" s="3"/>
      <c r="DJ229" s="340" t="s">
        <v>372</v>
      </c>
      <c r="DK229" s="399"/>
      <c r="DL229" s="400">
        <f>SUM(DL226:DL228)</f>
        <v>365</v>
      </c>
      <c r="DM229" s="400">
        <f>SUM(DM226:DM228)</f>
        <v>2555</v>
      </c>
      <c r="DN229" s="399">
        <f>SUM(DN226:DN228)</f>
        <v>36.5</v>
      </c>
      <c r="DO229" s="8"/>
      <c r="DP229" s="8"/>
      <c r="DQ229" s="3"/>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row>
    <row r="230" spans="1:155" s="566" customFormat="1" hidden="1">
      <c r="A230" s="27"/>
      <c r="B230" s="295" t="s">
        <v>429</v>
      </c>
      <c r="C230" s="295"/>
      <c r="D230" s="681" t="s">
        <v>463</v>
      </c>
      <c r="E230" s="682"/>
      <c r="F230" s="27"/>
      <c r="G230" s="27"/>
      <c r="H230" s="27"/>
      <c r="I230" s="27"/>
      <c r="J230" s="27"/>
      <c r="K230" s="27"/>
      <c r="L230" s="27"/>
      <c r="M230" s="27"/>
      <c r="N230" s="71">
        <v>8</v>
      </c>
      <c r="O230" s="234" t="s">
        <v>185</v>
      </c>
      <c r="P230" s="401">
        <f>$DN$228/3*$O$243+$O$244*$DN$234/3</f>
        <v>1.0952380952380951</v>
      </c>
      <c r="Q230" s="390">
        <f t="shared" si="333"/>
        <v>0</v>
      </c>
      <c r="R230" s="390">
        <f t="shared" si="334"/>
        <v>0</v>
      </c>
      <c r="S230" s="390">
        <f t="shared" si="335"/>
        <v>0</v>
      </c>
      <c r="T230" s="390">
        <f t="shared" si="336"/>
        <v>0</v>
      </c>
      <c r="U230" s="390">
        <f>VLOOKUP($D$32,'Rainfall data'!$R$15:$AD$20,'Potable Water Calculator'!N229,FALSE)</f>
        <v>2.1003951367781148</v>
      </c>
      <c r="V230" s="390">
        <f t="shared" si="337"/>
        <v>0</v>
      </c>
      <c r="W230" s="390">
        <f t="shared" si="338"/>
        <v>0</v>
      </c>
      <c r="X230" s="390">
        <f t="shared" si="346"/>
        <v>0</v>
      </c>
      <c r="Y230" s="390">
        <f t="shared" si="339"/>
        <v>7.5614224924012134</v>
      </c>
      <c r="Z230" s="390">
        <f t="shared" si="340"/>
        <v>0</v>
      </c>
      <c r="AA230" s="390">
        <f t="shared" si="341"/>
        <v>7.5614224924012134</v>
      </c>
      <c r="AB230" s="390">
        <f t="shared" si="342"/>
        <v>7.5614224924012134</v>
      </c>
      <c r="AC230" s="390">
        <f t="shared" si="343"/>
        <v>0</v>
      </c>
      <c r="AD230" s="390">
        <f t="shared" si="344"/>
        <v>0</v>
      </c>
      <c r="AE230" s="390">
        <f t="shared" si="345"/>
        <v>0</v>
      </c>
      <c r="AF230" s="14"/>
      <c r="AG230" s="14"/>
      <c r="AH230" s="14"/>
      <c r="AI230" s="14"/>
      <c r="AJ230" s="14"/>
      <c r="AK230" s="14"/>
      <c r="AL230" s="14"/>
      <c r="AM230" s="14"/>
      <c r="AN230" s="14"/>
      <c r="AO230" s="14"/>
      <c r="AP230" s="14"/>
      <c r="AQ230" s="293"/>
      <c r="AR230" s="14"/>
      <c r="AS230" s="14"/>
      <c r="AT230" s="14"/>
      <c r="AU230" s="14"/>
      <c r="AV230" s="14"/>
      <c r="AW230" s="14"/>
      <c r="AX230" s="14"/>
      <c r="AY230" s="14"/>
      <c r="AZ230" s="14"/>
      <c r="BA230" s="14"/>
      <c r="BB230" s="14"/>
      <c r="BC230" s="14"/>
      <c r="BD230" s="3"/>
      <c r="BE230" s="165" t="s">
        <v>17</v>
      </c>
      <c r="BF230" s="23">
        <v>22</v>
      </c>
      <c r="BG230" s="23">
        <v>30</v>
      </c>
      <c r="BH230" s="23">
        <v>5</v>
      </c>
      <c r="BI230" s="90" t="b">
        <f t="shared" si="326"/>
        <v>1</v>
      </c>
      <c r="BJ230" s="46" t="b">
        <f t="shared" si="262"/>
        <v>0</v>
      </c>
      <c r="BK230" s="166">
        <f t="shared" si="263"/>
        <v>0</v>
      </c>
      <c r="BL230" s="175">
        <f>IF(SUM(BL$201:BL229,BK230)&gt;$BP$4,0,BK230)</f>
        <v>0</v>
      </c>
      <c r="BM230" s="23">
        <f t="shared" si="311"/>
        <v>0</v>
      </c>
      <c r="BN230" s="90">
        <f t="shared" si="312"/>
        <v>0</v>
      </c>
      <c r="BO230" s="24">
        <f t="shared" si="332"/>
        <v>0</v>
      </c>
      <c r="BP230" s="349">
        <f t="shared" si="264"/>
        <v>0</v>
      </c>
      <c r="BQ230" s="171">
        <f t="shared" si="265"/>
        <v>0</v>
      </c>
      <c r="BR230" s="170">
        <f t="shared" si="313"/>
        <v>0</v>
      </c>
      <c r="BS230" s="168">
        <f t="shared" si="266"/>
        <v>0</v>
      </c>
      <c r="BT230" s="171">
        <f t="shared" si="267"/>
        <v>0</v>
      </c>
      <c r="BU230" s="170">
        <f t="shared" si="314"/>
        <v>0</v>
      </c>
      <c r="BV230" s="168">
        <f t="shared" si="268"/>
        <v>0</v>
      </c>
      <c r="BW230" s="171">
        <f t="shared" si="269"/>
        <v>0</v>
      </c>
      <c r="BX230" s="170">
        <f t="shared" si="315"/>
        <v>0</v>
      </c>
      <c r="BY230" s="168">
        <f t="shared" si="270"/>
        <v>0</v>
      </c>
      <c r="BZ230" s="171">
        <f t="shared" si="271"/>
        <v>0</v>
      </c>
      <c r="CA230" s="170">
        <f t="shared" si="316"/>
        <v>0</v>
      </c>
      <c r="CB230" s="90">
        <f t="shared" si="272"/>
        <v>0</v>
      </c>
      <c r="CC230" s="171">
        <f t="shared" si="273"/>
        <v>0</v>
      </c>
      <c r="CD230" s="170">
        <f t="shared" si="317"/>
        <v>0</v>
      </c>
      <c r="CE230" s="90">
        <f t="shared" si="274"/>
        <v>0</v>
      </c>
      <c r="CF230" s="171">
        <f t="shared" si="275"/>
        <v>0</v>
      </c>
      <c r="CG230" s="170">
        <f t="shared" si="318"/>
        <v>0</v>
      </c>
      <c r="CH230" s="90">
        <f t="shared" si="276"/>
        <v>0</v>
      </c>
      <c r="CI230" s="171">
        <f t="shared" si="277"/>
        <v>0</v>
      </c>
      <c r="CJ230" s="170">
        <f t="shared" si="319"/>
        <v>0</v>
      </c>
      <c r="CK230" s="90">
        <f t="shared" si="278"/>
        <v>0</v>
      </c>
      <c r="CL230" s="171">
        <f t="shared" si="279"/>
        <v>0</v>
      </c>
      <c r="CM230" s="170">
        <f t="shared" si="320"/>
        <v>0</v>
      </c>
      <c r="CN230" s="90">
        <f t="shared" si="280"/>
        <v>0</v>
      </c>
      <c r="CO230" s="171">
        <f t="shared" si="281"/>
        <v>0</v>
      </c>
      <c r="CP230" s="170">
        <f t="shared" si="321"/>
        <v>0</v>
      </c>
      <c r="CQ230" s="90">
        <f t="shared" si="282"/>
        <v>0</v>
      </c>
      <c r="CR230" s="171">
        <f t="shared" si="283"/>
        <v>0</v>
      </c>
      <c r="CS230" s="170">
        <f t="shared" si="322"/>
        <v>0</v>
      </c>
      <c r="CT230" s="90">
        <f t="shared" si="284"/>
        <v>0</v>
      </c>
      <c r="CU230" s="171">
        <f t="shared" si="285"/>
        <v>0</v>
      </c>
      <c r="CV230" s="170">
        <f t="shared" si="323"/>
        <v>0</v>
      </c>
      <c r="CW230" s="90">
        <f t="shared" si="286"/>
        <v>0</v>
      </c>
      <c r="CX230" s="171">
        <f t="shared" si="287"/>
        <v>0</v>
      </c>
      <c r="CY230" s="170">
        <f t="shared" si="324"/>
        <v>0</v>
      </c>
      <c r="CZ230" s="168">
        <f t="shared" si="325"/>
        <v>0</v>
      </c>
      <c r="DA230" s="172">
        <f t="shared" si="327"/>
        <v>0</v>
      </c>
      <c r="DB230" s="173">
        <f t="shared" si="328"/>
        <v>0</v>
      </c>
      <c r="DC230" s="172">
        <f t="shared" si="347"/>
        <v>0</v>
      </c>
      <c r="DD230" s="172">
        <f t="shared" si="347"/>
        <v>0</v>
      </c>
      <c r="DE230" s="172">
        <f t="shared" si="347"/>
        <v>0</v>
      </c>
      <c r="DF230" s="172">
        <f t="shared" si="330"/>
        <v>0</v>
      </c>
      <c r="DG230" s="136"/>
      <c r="DH230" s="136"/>
      <c r="DI230" s="3"/>
      <c r="DJ230" s="387" t="s">
        <v>430</v>
      </c>
      <c r="DK230" s="384"/>
      <c r="DL230" s="384"/>
      <c r="DM230" s="384"/>
      <c r="DN230" s="385"/>
      <c r="DO230" s="8"/>
      <c r="DP230" s="8"/>
      <c r="DQ230" s="3"/>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row>
    <row r="231" spans="1:155" s="566" customFormat="1" hidden="1">
      <c r="A231" s="27"/>
      <c r="B231" s="295" t="s">
        <v>431</v>
      </c>
      <c r="C231" s="295"/>
      <c r="D231" s="402">
        <v>567</v>
      </c>
      <c r="E231" s="403"/>
      <c r="F231" s="27"/>
      <c r="G231" s="27"/>
      <c r="H231" s="27"/>
      <c r="I231" s="27"/>
      <c r="J231" s="404"/>
      <c r="K231" s="27"/>
      <c r="L231" s="27"/>
      <c r="M231" s="27"/>
      <c r="N231" s="71">
        <v>9</v>
      </c>
      <c r="O231" s="234" t="s">
        <v>186</v>
      </c>
      <c r="P231" s="401">
        <f>$DN$228/3*$O$243+$O$244*$DN$234/3</f>
        <v>1.0952380952380951</v>
      </c>
      <c r="Q231" s="390">
        <f t="shared" si="333"/>
        <v>0</v>
      </c>
      <c r="R231" s="390">
        <f t="shared" si="334"/>
        <v>0</v>
      </c>
      <c r="S231" s="390">
        <f t="shared" si="335"/>
        <v>0</v>
      </c>
      <c r="T231" s="390">
        <f t="shared" si="336"/>
        <v>0</v>
      </c>
      <c r="U231" s="390">
        <f>VLOOKUP($D$32,'Rainfall data'!$R$15:$AD$20,'Potable Water Calculator'!N230,FALSE)</f>
        <v>2.260615835777124</v>
      </c>
      <c r="V231" s="390">
        <f t="shared" si="337"/>
        <v>0</v>
      </c>
      <c r="W231" s="390">
        <f t="shared" si="338"/>
        <v>0</v>
      </c>
      <c r="X231" s="390">
        <f t="shared" si="346"/>
        <v>0</v>
      </c>
      <c r="Y231" s="390">
        <f t="shared" si="339"/>
        <v>8.409490909090902</v>
      </c>
      <c r="Z231" s="390">
        <f t="shared" si="340"/>
        <v>0</v>
      </c>
      <c r="AA231" s="390">
        <f t="shared" si="341"/>
        <v>8.409490909090902</v>
      </c>
      <c r="AB231" s="390">
        <f t="shared" si="342"/>
        <v>8.409490909090902</v>
      </c>
      <c r="AC231" s="390">
        <f t="shared" si="343"/>
        <v>0</v>
      </c>
      <c r="AD231" s="390">
        <f t="shared" si="344"/>
        <v>0</v>
      </c>
      <c r="AE231" s="390">
        <f t="shared" si="345"/>
        <v>0</v>
      </c>
      <c r="AF231" s="14"/>
      <c r="AG231" s="14"/>
      <c r="AH231" s="14"/>
      <c r="AI231" s="14"/>
      <c r="AJ231" s="14"/>
      <c r="AK231" s="14"/>
      <c r="AL231" s="14"/>
      <c r="AM231" s="14"/>
      <c r="AN231" s="14"/>
      <c r="AO231" s="14"/>
      <c r="AP231" s="14"/>
      <c r="AQ231" s="293"/>
      <c r="AR231" s="14"/>
      <c r="AS231" s="14"/>
      <c r="AT231" s="14"/>
      <c r="AU231" s="14"/>
      <c r="AV231" s="14"/>
      <c r="AW231" s="14"/>
      <c r="AX231" s="14"/>
      <c r="AY231" s="14"/>
      <c r="AZ231" s="14"/>
      <c r="BA231" s="14"/>
      <c r="BB231" s="14"/>
      <c r="BC231" s="14"/>
      <c r="BD231" s="3"/>
      <c r="BE231" s="165" t="s">
        <v>17</v>
      </c>
      <c r="BF231" s="23">
        <v>22</v>
      </c>
      <c r="BG231" s="23">
        <v>31</v>
      </c>
      <c r="BH231" s="23">
        <v>6</v>
      </c>
      <c r="BI231" s="90" t="b">
        <f t="shared" si="326"/>
        <v>0</v>
      </c>
      <c r="BJ231" s="46" t="b">
        <f t="shared" si="262"/>
        <v>1</v>
      </c>
      <c r="BK231" s="166">
        <f t="shared" si="263"/>
        <v>4</v>
      </c>
      <c r="BL231" s="167">
        <f>$BP$4-SUM(BL201:BL230)</f>
        <v>4</v>
      </c>
      <c r="BM231" s="23">
        <f t="shared" si="311"/>
        <v>0</v>
      </c>
      <c r="BN231" s="90">
        <f t="shared" si="312"/>
        <v>0</v>
      </c>
      <c r="BO231" s="24">
        <f t="shared" si="332"/>
        <v>0</v>
      </c>
      <c r="BP231" s="349">
        <f t="shared" si="264"/>
        <v>0</v>
      </c>
      <c r="BQ231" s="171">
        <f t="shared" si="265"/>
        <v>0</v>
      </c>
      <c r="BR231" s="170">
        <f t="shared" si="313"/>
        <v>0</v>
      </c>
      <c r="BS231" s="168">
        <f t="shared" si="266"/>
        <v>0</v>
      </c>
      <c r="BT231" s="171">
        <f t="shared" si="267"/>
        <v>0</v>
      </c>
      <c r="BU231" s="170">
        <f t="shared" si="314"/>
        <v>0</v>
      </c>
      <c r="BV231" s="168">
        <f t="shared" si="268"/>
        <v>0</v>
      </c>
      <c r="BW231" s="171">
        <f t="shared" si="269"/>
        <v>0</v>
      </c>
      <c r="BX231" s="170">
        <f t="shared" si="315"/>
        <v>0</v>
      </c>
      <c r="BY231" s="168">
        <f t="shared" si="270"/>
        <v>0</v>
      </c>
      <c r="BZ231" s="171">
        <f t="shared" si="271"/>
        <v>0</v>
      </c>
      <c r="CA231" s="170">
        <f t="shared" si="316"/>
        <v>0</v>
      </c>
      <c r="CB231" s="90">
        <f t="shared" si="272"/>
        <v>0</v>
      </c>
      <c r="CC231" s="171">
        <f t="shared" si="273"/>
        <v>0</v>
      </c>
      <c r="CD231" s="170">
        <f t="shared" si="317"/>
        <v>0</v>
      </c>
      <c r="CE231" s="90">
        <f t="shared" si="274"/>
        <v>0</v>
      </c>
      <c r="CF231" s="171">
        <f t="shared" si="275"/>
        <v>0</v>
      </c>
      <c r="CG231" s="170">
        <f t="shared" si="318"/>
        <v>0</v>
      </c>
      <c r="CH231" s="90">
        <f t="shared" si="276"/>
        <v>0</v>
      </c>
      <c r="CI231" s="171">
        <f t="shared" si="277"/>
        <v>0</v>
      </c>
      <c r="CJ231" s="170">
        <f t="shared" si="319"/>
        <v>0</v>
      </c>
      <c r="CK231" s="90">
        <f t="shared" si="278"/>
        <v>0</v>
      </c>
      <c r="CL231" s="171">
        <f t="shared" si="279"/>
        <v>0</v>
      </c>
      <c r="CM231" s="170">
        <f t="shared" si="320"/>
        <v>0</v>
      </c>
      <c r="CN231" s="90">
        <f t="shared" si="280"/>
        <v>0</v>
      </c>
      <c r="CO231" s="171">
        <f t="shared" si="281"/>
        <v>0</v>
      </c>
      <c r="CP231" s="170">
        <f t="shared" si="321"/>
        <v>0</v>
      </c>
      <c r="CQ231" s="90">
        <f t="shared" si="282"/>
        <v>0</v>
      </c>
      <c r="CR231" s="171">
        <f t="shared" si="283"/>
        <v>0</v>
      </c>
      <c r="CS231" s="170">
        <f t="shared" si="322"/>
        <v>0</v>
      </c>
      <c r="CT231" s="90">
        <f t="shared" si="284"/>
        <v>0</v>
      </c>
      <c r="CU231" s="171">
        <f t="shared" si="285"/>
        <v>0</v>
      </c>
      <c r="CV231" s="170">
        <f t="shared" si="323"/>
        <v>0</v>
      </c>
      <c r="CW231" s="90">
        <f t="shared" si="286"/>
        <v>0</v>
      </c>
      <c r="CX231" s="171">
        <f t="shared" si="287"/>
        <v>0</v>
      </c>
      <c r="CY231" s="170">
        <f t="shared" si="324"/>
        <v>0</v>
      </c>
      <c r="CZ231" s="168">
        <f t="shared" si="325"/>
        <v>0</v>
      </c>
      <c r="DA231" s="172">
        <f t="shared" si="327"/>
        <v>0</v>
      </c>
      <c r="DB231" s="173">
        <f t="shared" si="328"/>
        <v>0</v>
      </c>
      <c r="DC231" s="172">
        <f t="shared" si="347"/>
        <v>0</v>
      </c>
      <c r="DD231" s="172">
        <f t="shared" si="347"/>
        <v>0</v>
      </c>
      <c r="DE231" s="172">
        <f t="shared" si="347"/>
        <v>0</v>
      </c>
      <c r="DF231" s="172">
        <f t="shared" si="330"/>
        <v>0</v>
      </c>
      <c r="DG231" s="136"/>
      <c r="DH231" s="136"/>
      <c r="DI231" s="3"/>
      <c r="DJ231" s="340" t="s">
        <v>84</v>
      </c>
      <c r="DK231" s="340" t="s">
        <v>419</v>
      </c>
      <c r="DL231" s="340" t="s">
        <v>420</v>
      </c>
      <c r="DM231" s="340" t="s">
        <v>432</v>
      </c>
      <c r="DN231" s="340" t="s">
        <v>422</v>
      </c>
      <c r="DO231" s="8"/>
      <c r="DP231" s="8"/>
      <c r="DQ231" s="3"/>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row>
    <row r="232" spans="1:155" s="566" customFormat="1" hidden="1">
      <c r="A232" s="51"/>
      <c r="B232" s="295" t="s">
        <v>433</v>
      </c>
      <c r="C232" s="295"/>
      <c r="D232" s="231" t="s">
        <v>430</v>
      </c>
      <c r="E232" s="403"/>
      <c r="F232" s="27"/>
      <c r="G232" s="27"/>
      <c r="H232" s="27"/>
      <c r="I232" s="27"/>
      <c r="J232" s="404"/>
      <c r="K232" s="307"/>
      <c r="L232" s="307"/>
      <c r="M232" s="307"/>
      <c r="N232" s="71">
        <v>10</v>
      </c>
      <c r="O232" s="234" t="s">
        <v>187</v>
      </c>
      <c r="P232" s="401">
        <f>$DN$228/3*$O$243+$O$244*$DN$234/3</f>
        <v>1.0952380952380951</v>
      </c>
      <c r="Q232" s="390">
        <f t="shared" si="333"/>
        <v>0</v>
      </c>
      <c r="R232" s="390">
        <f t="shared" si="334"/>
        <v>0</v>
      </c>
      <c r="S232" s="390">
        <f t="shared" si="335"/>
        <v>0</v>
      </c>
      <c r="T232" s="390">
        <f t="shared" si="336"/>
        <v>0</v>
      </c>
      <c r="U232" s="390">
        <f>VLOOKUP($D$32,'Rainfall data'!$R$15:$AD$20,'Potable Water Calculator'!N231,FALSE)</f>
        <v>2.8588554216867506</v>
      </c>
      <c r="V232" s="390">
        <f t="shared" si="337"/>
        <v>0</v>
      </c>
      <c r="W232" s="390">
        <f t="shared" si="338"/>
        <v>0</v>
      </c>
      <c r="X232" s="390">
        <f t="shared" si="346"/>
        <v>0</v>
      </c>
      <c r="Y232" s="390">
        <f t="shared" si="339"/>
        <v>10.634942168674712</v>
      </c>
      <c r="Z232" s="390">
        <f t="shared" si="340"/>
        <v>0</v>
      </c>
      <c r="AA232" s="390">
        <f t="shared" si="341"/>
        <v>10.634942168674712</v>
      </c>
      <c r="AB232" s="390">
        <f t="shared" si="342"/>
        <v>10.634942168674712</v>
      </c>
      <c r="AC232" s="390">
        <f t="shared" si="343"/>
        <v>0</v>
      </c>
      <c r="AD232" s="390">
        <f t="shared" si="344"/>
        <v>0</v>
      </c>
      <c r="AE232" s="390">
        <f t="shared" si="345"/>
        <v>0</v>
      </c>
      <c r="AF232" s="14"/>
      <c r="AG232" s="14"/>
      <c r="AH232" s="14"/>
      <c r="AI232" s="14"/>
      <c r="AJ232" s="14"/>
      <c r="AK232" s="14"/>
      <c r="AL232" s="14"/>
      <c r="AM232" s="14"/>
      <c r="AN232" s="14"/>
      <c r="AO232" s="14"/>
      <c r="AP232" s="14"/>
      <c r="AQ232" s="293"/>
      <c r="AR232" s="14"/>
      <c r="AS232" s="14"/>
      <c r="AT232" s="14"/>
      <c r="AU232" s="14"/>
      <c r="AV232" s="14"/>
      <c r="AW232" s="14"/>
      <c r="AX232" s="14"/>
      <c r="AY232" s="14"/>
      <c r="AZ232" s="14"/>
      <c r="BA232" s="14"/>
      <c r="BB232" s="14"/>
      <c r="BC232" s="14"/>
      <c r="BD232" s="3"/>
      <c r="BE232" s="165" t="s">
        <v>18</v>
      </c>
      <c r="BF232" s="23">
        <v>22</v>
      </c>
      <c r="BG232" s="23">
        <v>1</v>
      </c>
      <c r="BH232" s="23">
        <v>7</v>
      </c>
      <c r="BI232" s="90" t="b">
        <f t="shared" si="326"/>
        <v>0</v>
      </c>
      <c r="BJ232" s="46" t="b">
        <f t="shared" ref="BJ232:BJ262" si="348">MOD(BG232,$BQ$7)=0</f>
        <v>0</v>
      </c>
      <c r="BK232" s="166">
        <f t="shared" ref="BK232:BK262" si="349">IF(BJ232,BQ$8,0)</f>
        <v>0</v>
      </c>
      <c r="BL232" s="167">
        <f>BK232</f>
        <v>0</v>
      </c>
      <c r="BM232" s="23">
        <f t="shared" si="311"/>
        <v>0</v>
      </c>
      <c r="BN232" s="90">
        <f t="shared" si="312"/>
        <v>0</v>
      </c>
      <c r="BO232" s="24">
        <f t="shared" si="332"/>
        <v>0</v>
      </c>
      <c r="BP232" s="349">
        <f t="shared" ref="BP232:BP262" si="350">$Q$341/$BF$232*BR$16*$BI232</f>
        <v>0</v>
      </c>
      <c r="BQ232" s="171">
        <f t="shared" ref="BQ232:BQ262" si="351">AQ$376/$BF232*$BI232</f>
        <v>0</v>
      </c>
      <c r="BR232" s="170">
        <f t="shared" si="313"/>
        <v>0</v>
      </c>
      <c r="BS232" s="168">
        <f t="shared" ref="BS232:BS262" si="352">$R$341/$BF232*BU$16*$BI232</f>
        <v>0</v>
      </c>
      <c r="BT232" s="171">
        <f t="shared" ref="BT232:BT262" si="353">AR$376/$BF232*$BI232</f>
        <v>0</v>
      </c>
      <c r="BU232" s="170">
        <f t="shared" si="314"/>
        <v>0</v>
      </c>
      <c r="BV232" s="168">
        <f t="shared" ref="BV232:BV262" si="354">$S$341/$BF232*BX$16*$BI232</f>
        <v>0</v>
      </c>
      <c r="BW232" s="171">
        <f t="shared" ref="BW232:BW262" si="355">AS$376/$BF232*$BI232</f>
        <v>0</v>
      </c>
      <c r="BX232" s="170">
        <f t="shared" si="315"/>
        <v>0</v>
      </c>
      <c r="BY232" s="168">
        <f t="shared" ref="BY232:BY262" si="356">$T$341/$BF232*CA$16*$BI232</f>
        <v>0</v>
      </c>
      <c r="BZ232" s="171">
        <f t="shared" ref="BZ232:BZ262" si="357">AT$376/$BF232*$BI232</f>
        <v>0</v>
      </c>
      <c r="CA232" s="170">
        <f t="shared" si="316"/>
        <v>0</v>
      </c>
      <c r="CB232" s="90">
        <f t="shared" ref="CB232:CB262" si="358">$W$341/BF232*BI232*$C$419</f>
        <v>0</v>
      </c>
      <c r="CC232" s="171">
        <f t="shared" ref="CC232:CC262" si="359">AU$376/$BF232*$BI232</f>
        <v>0</v>
      </c>
      <c r="CD232" s="170">
        <f t="shared" si="317"/>
        <v>0</v>
      </c>
      <c r="CE232" s="90">
        <f t="shared" ref="CE232:CE262" si="360">$X$341/BF232*BI232*$C$420</f>
        <v>0</v>
      </c>
      <c r="CF232" s="171">
        <f t="shared" ref="CF232:CF262" si="361">AV$376/$BF232*$BI232</f>
        <v>0</v>
      </c>
      <c r="CG232" s="170">
        <f t="shared" si="318"/>
        <v>0</v>
      </c>
      <c r="CH232" s="90">
        <f t="shared" ref="CH232:CH262" si="362">$Y$341/BF232*BI232*$C$421</f>
        <v>0</v>
      </c>
      <c r="CI232" s="171">
        <f t="shared" ref="CI232:CI262" si="363">AW$376/$BF232*$BI232</f>
        <v>0</v>
      </c>
      <c r="CJ232" s="170">
        <f t="shared" si="319"/>
        <v>0</v>
      </c>
      <c r="CK232" s="90">
        <f t="shared" ref="CK232:CK262" si="364">$Z$341/BF232*BI232*$CM$16</f>
        <v>0</v>
      </c>
      <c r="CL232" s="171">
        <f t="shared" ref="CL232:CL262" si="365">AX$376/$BF232*$BI232</f>
        <v>0</v>
      </c>
      <c r="CM232" s="170">
        <f t="shared" si="320"/>
        <v>0</v>
      </c>
      <c r="CN232" s="90">
        <f t="shared" ref="CN232:CN262" si="366">$AA$341/BF232*BI232*$CP$16</f>
        <v>0</v>
      </c>
      <c r="CO232" s="171">
        <f t="shared" ref="CO232:CO262" si="367">$AY$376/$BF232*$BI232</f>
        <v>0</v>
      </c>
      <c r="CP232" s="170">
        <f t="shared" si="321"/>
        <v>0</v>
      </c>
      <c r="CQ232" s="90">
        <f t="shared" ref="CQ232:CQ262" si="368">$AB$341/BF232*BI232*$CS$16</f>
        <v>0</v>
      </c>
      <c r="CR232" s="171">
        <f t="shared" ref="CR232:CR262" si="369">AZ$376/$BF232*$BI232</f>
        <v>0</v>
      </c>
      <c r="CS232" s="170">
        <f t="shared" si="322"/>
        <v>0</v>
      </c>
      <c r="CT232" s="90">
        <f t="shared" ref="CT232:CT262" si="370">$AC$341/BF232*BI232*$CV$16</f>
        <v>0</v>
      </c>
      <c r="CU232" s="171">
        <f t="shared" ref="CU232:CU262" si="371">BA$376/$BF232*$BI232</f>
        <v>0</v>
      </c>
      <c r="CV232" s="170">
        <f t="shared" si="323"/>
        <v>0</v>
      </c>
      <c r="CW232" s="90">
        <f t="shared" ref="CW232:CW262" si="372">$AD$341/BF232*BI232*$CY$16</f>
        <v>0</v>
      </c>
      <c r="CX232" s="171">
        <f t="shared" ref="CX232:CX262" si="373">BB$376/$BF232*$BI232</f>
        <v>0</v>
      </c>
      <c r="CY232" s="170">
        <f t="shared" si="324"/>
        <v>0</v>
      </c>
      <c r="CZ232" s="168">
        <f t="shared" si="325"/>
        <v>0</v>
      </c>
      <c r="DA232" s="172">
        <f t="shared" si="327"/>
        <v>0</v>
      </c>
      <c r="DB232" s="173">
        <f t="shared" si="328"/>
        <v>0</v>
      </c>
      <c r="DC232" s="172">
        <f t="shared" si="347"/>
        <v>0</v>
      </c>
      <c r="DD232" s="172">
        <f t="shared" si="347"/>
        <v>0</v>
      </c>
      <c r="DE232" s="172">
        <f t="shared" si="347"/>
        <v>0</v>
      </c>
      <c r="DF232" s="172">
        <f>IF(DA232-(DE231+CZ232)&lt;0,0,DA232-(DE231+CZ232))</f>
        <v>0</v>
      </c>
      <c r="DG232" s="136"/>
      <c r="DH232" s="136"/>
      <c r="DI232" s="3"/>
      <c r="DJ232" s="340" t="s">
        <v>424</v>
      </c>
      <c r="DK232" s="363">
        <v>7</v>
      </c>
      <c r="DL232" s="363">
        <v>90</v>
      </c>
      <c r="DM232" s="363">
        <f>DL232*DK232</f>
        <v>630</v>
      </c>
      <c r="DN232" s="405">
        <f>DM232/70</f>
        <v>9</v>
      </c>
      <c r="DO232" s="8"/>
      <c r="DP232" s="8"/>
      <c r="DQ232" s="3"/>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row>
    <row r="233" spans="1:155" s="566" customFormat="1" hidden="1">
      <c r="A233" s="51"/>
      <c r="B233" s="674" t="s">
        <v>434</v>
      </c>
      <c r="C233" s="675"/>
      <c r="D233" s="231">
        <v>5</v>
      </c>
      <c r="E233" s="403"/>
      <c r="F233" s="27"/>
      <c r="G233" s="27"/>
      <c r="H233" s="27"/>
      <c r="I233" s="27"/>
      <c r="J233" s="404"/>
      <c r="K233" s="307"/>
      <c r="L233" s="307"/>
      <c r="M233" s="307"/>
      <c r="N233" s="71">
        <v>11</v>
      </c>
      <c r="O233" s="234" t="s">
        <v>188</v>
      </c>
      <c r="P233" s="393">
        <f>$DN$227/6*$O$243+$O$244*$DN$233/6</f>
        <v>2.1785714285714284</v>
      </c>
      <c r="Q233" s="390">
        <f t="shared" si="333"/>
        <v>0</v>
      </c>
      <c r="R233" s="390">
        <f t="shared" si="334"/>
        <v>0</v>
      </c>
      <c r="S233" s="390">
        <f t="shared" si="335"/>
        <v>0</v>
      </c>
      <c r="T233" s="390">
        <f t="shared" si="336"/>
        <v>0</v>
      </c>
      <c r="U233" s="390">
        <f>VLOOKUP($D$32,'Rainfall data'!$R$15:$AD$20,'Potable Water Calculator'!N232,FALSE)</f>
        <v>3.8035759493670875</v>
      </c>
      <c r="V233" s="390">
        <f t="shared" si="337"/>
        <v>0</v>
      </c>
      <c r="W233" s="390">
        <f t="shared" si="338"/>
        <v>0</v>
      </c>
      <c r="X233" s="390">
        <f t="shared" si="346"/>
        <v>0</v>
      </c>
      <c r="Y233" s="390">
        <f t="shared" si="339"/>
        <v>13.692873417721515</v>
      </c>
      <c r="Z233" s="390">
        <f t="shared" si="340"/>
        <v>0</v>
      </c>
      <c r="AA233" s="390">
        <f t="shared" si="341"/>
        <v>13.692873417721515</v>
      </c>
      <c r="AB233" s="390">
        <f t="shared" si="342"/>
        <v>13.692873417721515</v>
      </c>
      <c r="AC233" s="390">
        <f t="shared" si="343"/>
        <v>0</v>
      </c>
      <c r="AD233" s="390">
        <f t="shared" si="344"/>
        <v>0</v>
      </c>
      <c r="AE233" s="390">
        <f t="shared" si="345"/>
        <v>0</v>
      </c>
      <c r="AF233" s="14"/>
      <c r="AG233" s="14"/>
      <c r="AH233" s="14"/>
      <c r="AI233" s="14"/>
      <c r="AJ233" s="14"/>
      <c r="AK233" s="14"/>
      <c r="AL233" s="14"/>
      <c r="AM233" s="14"/>
      <c r="AN233" s="14"/>
      <c r="AO233" s="14"/>
      <c r="AP233" s="14"/>
      <c r="AQ233" s="293"/>
      <c r="AR233" s="14"/>
      <c r="AS233" s="14"/>
      <c r="AT233" s="14"/>
      <c r="AU233" s="14"/>
      <c r="AV233" s="14"/>
      <c r="AW233" s="14"/>
      <c r="AX233" s="14"/>
      <c r="AY233" s="14"/>
      <c r="AZ233" s="14"/>
      <c r="BA233" s="14"/>
      <c r="BB233" s="14"/>
      <c r="BC233" s="14"/>
      <c r="BD233" s="3"/>
      <c r="BE233" s="165" t="s">
        <v>18</v>
      </c>
      <c r="BF233" s="23">
        <v>22</v>
      </c>
      <c r="BG233" s="23">
        <v>2</v>
      </c>
      <c r="BH233" s="23">
        <v>1</v>
      </c>
      <c r="BI233" s="90" t="b">
        <f t="shared" si="326"/>
        <v>1</v>
      </c>
      <c r="BJ233" s="46" t="b">
        <f t="shared" si="348"/>
        <v>0</v>
      </c>
      <c r="BK233" s="166">
        <f t="shared" si="349"/>
        <v>0</v>
      </c>
      <c r="BL233" s="175">
        <f>IF(SUM(BL$232:BL232,BK233)&gt;$BQ$4,0,BK233)</f>
        <v>0</v>
      </c>
      <c r="BM233" s="23">
        <f t="shared" si="311"/>
        <v>0</v>
      </c>
      <c r="BN233" s="90">
        <f t="shared" si="312"/>
        <v>0</v>
      </c>
      <c r="BO233" s="24">
        <f t="shared" si="332"/>
        <v>0</v>
      </c>
      <c r="BP233" s="349">
        <f t="shared" si="350"/>
        <v>0</v>
      </c>
      <c r="BQ233" s="171">
        <f t="shared" si="351"/>
        <v>0</v>
      </c>
      <c r="BR233" s="170">
        <f t="shared" si="313"/>
        <v>0</v>
      </c>
      <c r="BS233" s="168">
        <f t="shared" si="352"/>
        <v>0</v>
      </c>
      <c r="BT233" s="171">
        <f t="shared" si="353"/>
        <v>0</v>
      </c>
      <c r="BU233" s="170">
        <f t="shared" si="314"/>
        <v>0</v>
      </c>
      <c r="BV233" s="168">
        <f t="shared" si="354"/>
        <v>0</v>
      </c>
      <c r="BW233" s="171">
        <f t="shared" si="355"/>
        <v>0</v>
      </c>
      <c r="BX233" s="170">
        <f t="shared" si="315"/>
        <v>0</v>
      </c>
      <c r="BY233" s="168">
        <f t="shared" si="356"/>
        <v>0</v>
      </c>
      <c r="BZ233" s="171">
        <f t="shared" si="357"/>
        <v>0</v>
      </c>
      <c r="CA233" s="170">
        <f t="shared" si="316"/>
        <v>0</v>
      </c>
      <c r="CB233" s="90">
        <f t="shared" si="358"/>
        <v>0</v>
      </c>
      <c r="CC233" s="171">
        <f t="shared" si="359"/>
        <v>0</v>
      </c>
      <c r="CD233" s="170">
        <f t="shared" si="317"/>
        <v>0</v>
      </c>
      <c r="CE233" s="90">
        <f t="shared" si="360"/>
        <v>0</v>
      </c>
      <c r="CF233" s="171">
        <f t="shared" si="361"/>
        <v>0</v>
      </c>
      <c r="CG233" s="170">
        <f t="shared" si="318"/>
        <v>0</v>
      </c>
      <c r="CH233" s="90">
        <f t="shared" si="362"/>
        <v>0</v>
      </c>
      <c r="CI233" s="171">
        <f t="shared" si="363"/>
        <v>0</v>
      </c>
      <c r="CJ233" s="170">
        <f t="shared" si="319"/>
        <v>0</v>
      </c>
      <c r="CK233" s="90">
        <f t="shared" si="364"/>
        <v>0</v>
      </c>
      <c r="CL233" s="171">
        <f t="shared" si="365"/>
        <v>0</v>
      </c>
      <c r="CM233" s="170">
        <f t="shared" si="320"/>
        <v>0</v>
      </c>
      <c r="CN233" s="90">
        <f t="shared" si="366"/>
        <v>0</v>
      </c>
      <c r="CO233" s="171">
        <f t="shared" si="367"/>
        <v>0</v>
      </c>
      <c r="CP233" s="170">
        <f t="shared" si="321"/>
        <v>0</v>
      </c>
      <c r="CQ233" s="90">
        <f t="shared" si="368"/>
        <v>0</v>
      </c>
      <c r="CR233" s="171">
        <f t="shared" si="369"/>
        <v>0</v>
      </c>
      <c r="CS233" s="170">
        <f t="shared" si="322"/>
        <v>0</v>
      </c>
      <c r="CT233" s="90">
        <f t="shared" si="370"/>
        <v>0</v>
      </c>
      <c r="CU233" s="171">
        <f t="shared" si="371"/>
        <v>0</v>
      </c>
      <c r="CV233" s="170">
        <f t="shared" si="323"/>
        <v>0</v>
      </c>
      <c r="CW233" s="90">
        <f t="shared" si="372"/>
        <v>0</v>
      </c>
      <c r="CX233" s="171">
        <f t="shared" si="373"/>
        <v>0</v>
      </c>
      <c r="CY233" s="170">
        <f t="shared" si="324"/>
        <v>0</v>
      </c>
      <c r="CZ233" s="168">
        <f t="shared" si="325"/>
        <v>0</v>
      </c>
      <c r="DA233" s="172">
        <f t="shared" si="327"/>
        <v>0</v>
      </c>
      <c r="DB233" s="173">
        <f t="shared" si="328"/>
        <v>0</v>
      </c>
      <c r="DC233" s="172">
        <f t="shared" si="347"/>
        <v>0</v>
      </c>
      <c r="DD233" s="172">
        <f t="shared" si="347"/>
        <v>0</v>
      </c>
      <c r="DE233" s="172">
        <f t="shared" si="347"/>
        <v>0</v>
      </c>
      <c r="DF233" s="172">
        <f t="shared" si="330"/>
        <v>0</v>
      </c>
      <c r="DG233" s="136"/>
      <c r="DH233" s="136"/>
      <c r="DI233" s="3"/>
      <c r="DJ233" s="340" t="s">
        <v>426</v>
      </c>
      <c r="DK233" s="360">
        <v>5</v>
      </c>
      <c r="DL233" s="360">
        <v>183</v>
      </c>
      <c r="DM233" s="360">
        <f>DL233*DK233</f>
        <v>915</v>
      </c>
      <c r="DN233" s="395">
        <f>DM233/70</f>
        <v>13.071428571428571</v>
      </c>
      <c r="DO233" s="8"/>
      <c r="DP233" s="8"/>
      <c r="DQ233" s="3"/>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row>
    <row r="234" spans="1:155" s="566" customFormat="1" hidden="1">
      <c r="A234" s="51"/>
      <c r="B234" s="396" t="s">
        <v>435</v>
      </c>
      <c r="C234" s="361"/>
      <c r="D234" s="406"/>
      <c r="E234" s="27"/>
      <c r="F234" s="27"/>
      <c r="G234" s="27"/>
      <c r="H234" s="27"/>
      <c r="I234" s="27"/>
      <c r="J234" s="404"/>
      <c r="K234" s="307"/>
      <c r="L234" s="307"/>
      <c r="M234" s="307"/>
      <c r="N234" s="71">
        <v>12</v>
      </c>
      <c r="O234" s="234" t="s">
        <v>189</v>
      </c>
      <c r="P234" s="393">
        <f>$DN$227/6*$O$243+$O$244*$DN$233/6</f>
        <v>2.1785714285714284</v>
      </c>
      <c r="Q234" s="390">
        <f t="shared" si="333"/>
        <v>0</v>
      </c>
      <c r="R234" s="390">
        <f t="shared" si="334"/>
        <v>0</v>
      </c>
      <c r="S234" s="390">
        <f t="shared" si="335"/>
        <v>0</v>
      </c>
      <c r="T234" s="390">
        <f t="shared" si="336"/>
        <v>0</v>
      </c>
      <c r="U234" s="390">
        <f>VLOOKUP($D$32,'Rainfall data'!$R$15:$AD$20,'Potable Water Calculator'!N233,FALSE)</f>
        <v>3.9543870967741941</v>
      </c>
      <c r="V234" s="390">
        <f t="shared" si="337"/>
        <v>0</v>
      </c>
      <c r="W234" s="390">
        <f t="shared" si="338"/>
        <v>0</v>
      </c>
      <c r="X234" s="390">
        <f t="shared" si="346"/>
        <v>0</v>
      </c>
      <c r="Y234" s="390">
        <f t="shared" si="339"/>
        <v>14.710320000000003</v>
      </c>
      <c r="Z234" s="390">
        <f t="shared" si="340"/>
        <v>0</v>
      </c>
      <c r="AA234" s="390">
        <f t="shared" si="341"/>
        <v>14.710320000000003</v>
      </c>
      <c r="AB234" s="390">
        <f t="shared" si="342"/>
        <v>14.710320000000003</v>
      </c>
      <c r="AC234" s="390">
        <f t="shared" si="343"/>
        <v>0</v>
      </c>
      <c r="AD234" s="390">
        <f t="shared" si="344"/>
        <v>0</v>
      </c>
      <c r="AE234" s="390">
        <f t="shared" si="345"/>
        <v>0</v>
      </c>
      <c r="AF234" s="14"/>
      <c r="AG234" s="14"/>
      <c r="AH234" s="14"/>
      <c r="AI234" s="14"/>
      <c r="AJ234" s="14"/>
      <c r="AK234" s="14"/>
      <c r="AL234" s="14"/>
      <c r="AM234" s="14"/>
      <c r="AN234" s="14"/>
      <c r="AO234" s="14"/>
      <c r="AP234" s="14"/>
      <c r="AQ234" s="293"/>
      <c r="AR234" s="14"/>
      <c r="AS234" s="14"/>
      <c r="AT234" s="14"/>
      <c r="AU234" s="14"/>
      <c r="AV234" s="14"/>
      <c r="AW234" s="14"/>
      <c r="AX234" s="14"/>
      <c r="AY234" s="14"/>
      <c r="AZ234" s="14"/>
      <c r="BA234" s="14"/>
      <c r="BB234" s="14"/>
      <c r="BC234" s="14"/>
      <c r="BD234" s="3"/>
      <c r="BE234" s="165" t="s">
        <v>18</v>
      </c>
      <c r="BF234" s="23">
        <v>22</v>
      </c>
      <c r="BG234" s="23">
        <v>3</v>
      </c>
      <c r="BH234" s="23">
        <v>2</v>
      </c>
      <c r="BI234" s="90" t="b">
        <f t="shared" si="326"/>
        <v>1</v>
      </c>
      <c r="BJ234" s="46" t="b">
        <f t="shared" si="348"/>
        <v>0</v>
      </c>
      <c r="BK234" s="166">
        <f t="shared" si="349"/>
        <v>0</v>
      </c>
      <c r="BL234" s="175">
        <f>IF(SUM(BL$232:BL233,BK234)&gt;$BQ$4,0,BK234)</f>
        <v>0</v>
      </c>
      <c r="BM234" s="23">
        <f t="shared" si="311"/>
        <v>0</v>
      </c>
      <c r="BN234" s="90">
        <f t="shared" si="312"/>
        <v>0</v>
      </c>
      <c r="BO234" s="24">
        <f t="shared" si="332"/>
        <v>0</v>
      </c>
      <c r="BP234" s="349">
        <f t="shared" si="350"/>
        <v>0</v>
      </c>
      <c r="BQ234" s="171">
        <f t="shared" si="351"/>
        <v>0</v>
      </c>
      <c r="BR234" s="170">
        <f t="shared" si="313"/>
        <v>0</v>
      </c>
      <c r="BS234" s="168">
        <f t="shared" si="352"/>
        <v>0</v>
      </c>
      <c r="BT234" s="171">
        <f t="shared" si="353"/>
        <v>0</v>
      </c>
      <c r="BU234" s="170">
        <f t="shared" si="314"/>
        <v>0</v>
      </c>
      <c r="BV234" s="168">
        <f t="shared" si="354"/>
        <v>0</v>
      </c>
      <c r="BW234" s="171">
        <f t="shared" si="355"/>
        <v>0</v>
      </c>
      <c r="BX234" s="170">
        <f t="shared" si="315"/>
        <v>0</v>
      </c>
      <c r="BY234" s="168">
        <f t="shared" si="356"/>
        <v>0</v>
      </c>
      <c r="BZ234" s="171">
        <f t="shared" si="357"/>
        <v>0</v>
      </c>
      <c r="CA234" s="170">
        <f t="shared" si="316"/>
        <v>0</v>
      </c>
      <c r="CB234" s="90">
        <f t="shared" si="358"/>
        <v>0</v>
      </c>
      <c r="CC234" s="171">
        <f t="shared" si="359"/>
        <v>0</v>
      </c>
      <c r="CD234" s="170">
        <f t="shared" si="317"/>
        <v>0</v>
      </c>
      <c r="CE234" s="90">
        <f t="shared" si="360"/>
        <v>0</v>
      </c>
      <c r="CF234" s="171">
        <f t="shared" si="361"/>
        <v>0</v>
      </c>
      <c r="CG234" s="170">
        <f t="shared" si="318"/>
        <v>0</v>
      </c>
      <c r="CH234" s="90">
        <f t="shared" si="362"/>
        <v>0</v>
      </c>
      <c r="CI234" s="171">
        <f t="shared" si="363"/>
        <v>0</v>
      </c>
      <c r="CJ234" s="170">
        <f t="shared" si="319"/>
        <v>0</v>
      </c>
      <c r="CK234" s="90">
        <f t="shared" si="364"/>
        <v>0</v>
      </c>
      <c r="CL234" s="171">
        <f t="shared" si="365"/>
        <v>0</v>
      </c>
      <c r="CM234" s="170">
        <f t="shared" si="320"/>
        <v>0</v>
      </c>
      <c r="CN234" s="90">
        <f t="shared" si="366"/>
        <v>0</v>
      </c>
      <c r="CO234" s="171">
        <f t="shared" si="367"/>
        <v>0</v>
      </c>
      <c r="CP234" s="170">
        <f t="shared" si="321"/>
        <v>0</v>
      </c>
      <c r="CQ234" s="90">
        <f t="shared" si="368"/>
        <v>0</v>
      </c>
      <c r="CR234" s="171">
        <f t="shared" si="369"/>
        <v>0</v>
      </c>
      <c r="CS234" s="170">
        <f t="shared" si="322"/>
        <v>0</v>
      </c>
      <c r="CT234" s="90">
        <f t="shared" si="370"/>
        <v>0</v>
      </c>
      <c r="CU234" s="171">
        <f t="shared" si="371"/>
        <v>0</v>
      </c>
      <c r="CV234" s="170">
        <f t="shared" si="323"/>
        <v>0</v>
      </c>
      <c r="CW234" s="90">
        <f t="shared" si="372"/>
        <v>0</v>
      </c>
      <c r="CX234" s="171">
        <f t="shared" si="373"/>
        <v>0</v>
      </c>
      <c r="CY234" s="170">
        <f t="shared" si="324"/>
        <v>0</v>
      </c>
      <c r="CZ234" s="168">
        <f t="shared" si="325"/>
        <v>0</v>
      </c>
      <c r="DA234" s="172">
        <f t="shared" si="327"/>
        <v>0</v>
      </c>
      <c r="DB234" s="173">
        <f t="shared" si="328"/>
        <v>0</v>
      </c>
      <c r="DC234" s="172">
        <f t="shared" si="347"/>
        <v>0</v>
      </c>
      <c r="DD234" s="172">
        <f t="shared" si="347"/>
        <v>0</v>
      </c>
      <c r="DE234" s="172">
        <f t="shared" si="347"/>
        <v>0</v>
      </c>
      <c r="DF234" s="172">
        <f t="shared" si="330"/>
        <v>0</v>
      </c>
      <c r="DG234" s="136"/>
      <c r="DH234" s="136"/>
      <c r="DI234" s="3"/>
      <c r="DJ234" s="340" t="s">
        <v>427</v>
      </c>
      <c r="DK234" s="360">
        <v>2.5</v>
      </c>
      <c r="DL234" s="360">
        <v>92</v>
      </c>
      <c r="DM234" s="360">
        <f>DL234*DK234</f>
        <v>230</v>
      </c>
      <c r="DN234" s="395">
        <f>DM234/70</f>
        <v>3.2857142857142856</v>
      </c>
      <c r="DO234" s="8"/>
      <c r="DP234" s="8"/>
      <c r="DQ234" s="3"/>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row>
    <row r="235" spans="1:155" s="566" customFormat="1" hidden="1">
      <c r="A235" s="51"/>
      <c r="B235" s="674" t="s">
        <v>436</v>
      </c>
      <c r="C235" s="675"/>
      <c r="D235" s="231">
        <v>300</v>
      </c>
      <c r="E235" s="27"/>
      <c r="F235" s="27"/>
      <c r="G235" s="27"/>
      <c r="H235" s="27"/>
      <c r="I235" s="27"/>
      <c r="J235" s="404"/>
      <c r="K235" s="307"/>
      <c r="L235" s="307"/>
      <c r="M235" s="307"/>
      <c r="N235" s="71">
        <v>13</v>
      </c>
      <c r="O235" s="234" t="s">
        <v>190</v>
      </c>
      <c r="P235" s="393">
        <f>$DN$227/6*$O$243+$O$244*$DN$233/6</f>
        <v>2.1785714285714284</v>
      </c>
      <c r="Q235" s="390">
        <f t="shared" si="333"/>
        <v>0</v>
      </c>
      <c r="R235" s="390">
        <f t="shared" si="334"/>
        <v>0</v>
      </c>
      <c r="S235" s="390">
        <f t="shared" si="335"/>
        <v>0</v>
      </c>
      <c r="T235" s="390">
        <f t="shared" si="336"/>
        <v>0</v>
      </c>
      <c r="U235" s="390">
        <f>VLOOKUP($D$32,'Rainfall data'!$R$15:$AD$20,'Potable Water Calculator'!N234,FALSE)</f>
        <v>3.9602000000000004</v>
      </c>
      <c r="V235" s="390">
        <f t="shared" si="337"/>
        <v>0</v>
      </c>
      <c r="W235" s="390">
        <f t="shared" si="338"/>
        <v>0</v>
      </c>
      <c r="X235" s="390">
        <f t="shared" si="346"/>
        <v>0</v>
      </c>
      <c r="Y235" s="390">
        <f t="shared" si="339"/>
        <v>14.256720000000001</v>
      </c>
      <c r="Z235" s="390">
        <f t="shared" si="340"/>
        <v>0</v>
      </c>
      <c r="AA235" s="390">
        <f t="shared" si="341"/>
        <v>14.256720000000001</v>
      </c>
      <c r="AB235" s="390">
        <f t="shared" si="342"/>
        <v>14.256720000000001</v>
      </c>
      <c r="AC235" s="390">
        <f t="shared" si="343"/>
        <v>0</v>
      </c>
      <c r="AD235" s="390">
        <f t="shared" si="344"/>
        <v>0</v>
      </c>
      <c r="AE235" s="390">
        <f t="shared" si="345"/>
        <v>0</v>
      </c>
      <c r="AF235" s="14"/>
      <c r="AG235" s="14"/>
      <c r="AH235" s="14"/>
      <c r="AI235" s="14"/>
      <c r="AJ235" s="14"/>
      <c r="AK235" s="14"/>
      <c r="AL235" s="14"/>
      <c r="AM235" s="14"/>
      <c r="AN235" s="14"/>
      <c r="AO235" s="14"/>
      <c r="AP235" s="14"/>
      <c r="AQ235" s="293"/>
      <c r="AR235" s="14"/>
      <c r="AS235" s="14"/>
      <c r="AT235" s="14"/>
      <c r="AU235" s="14"/>
      <c r="AV235" s="14"/>
      <c r="AW235" s="14"/>
      <c r="AX235" s="14"/>
      <c r="AY235" s="14"/>
      <c r="AZ235" s="14"/>
      <c r="BA235" s="14"/>
      <c r="BB235" s="14"/>
      <c r="BC235" s="14"/>
      <c r="BD235" s="3"/>
      <c r="BE235" s="165" t="s">
        <v>18</v>
      </c>
      <c r="BF235" s="23">
        <v>22</v>
      </c>
      <c r="BG235" s="23">
        <v>4</v>
      </c>
      <c r="BH235" s="23">
        <v>3</v>
      </c>
      <c r="BI235" s="90" t="b">
        <f t="shared" si="326"/>
        <v>1</v>
      </c>
      <c r="BJ235" s="46" t="b">
        <f t="shared" si="348"/>
        <v>0</v>
      </c>
      <c r="BK235" s="166">
        <f t="shared" si="349"/>
        <v>0</v>
      </c>
      <c r="BL235" s="175">
        <f>IF(SUM(BL$232:BL234,BK235)&gt;$BQ$4,0,BK235)</f>
        <v>0</v>
      </c>
      <c r="BM235" s="23">
        <f t="shared" si="311"/>
        <v>0</v>
      </c>
      <c r="BN235" s="90">
        <f t="shared" si="312"/>
        <v>0</v>
      </c>
      <c r="BO235" s="24">
        <f t="shared" si="332"/>
        <v>0</v>
      </c>
      <c r="BP235" s="349">
        <f t="shared" si="350"/>
        <v>0</v>
      </c>
      <c r="BQ235" s="171">
        <f t="shared" si="351"/>
        <v>0</v>
      </c>
      <c r="BR235" s="170">
        <f t="shared" si="313"/>
        <v>0</v>
      </c>
      <c r="BS235" s="168">
        <f t="shared" si="352"/>
        <v>0</v>
      </c>
      <c r="BT235" s="171">
        <f t="shared" si="353"/>
        <v>0</v>
      </c>
      <c r="BU235" s="170">
        <f t="shared" si="314"/>
        <v>0</v>
      </c>
      <c r="BV235" s="168">
        <f t="shared" si="354"/>
        <v>0</v>
      </c>
      <c r="BW235" s="171">
        <f t="shared" si="355"/>
        <v>0</v>
      </c>
      <c r="BX235" s="170">
        <f t="shared" si="315"/>
        <v>0</v>
      </c>
      <c r="BY235" s="168">
        <f t="shared" si="356"/>
        <v>0</v>
      </c>
      <c r="BZ235" s="171">
        <f t="shared" si="357"/>
        <v>0</v>
      </c>
      <c r="CA235" s="170">
        <f t="shared" si="316"/>
        <v>0</v>
      </c>
      <c r="CB235" s="90">
        <f t="shared" si="358"/>
        <v>0</v>
      </c>
      <c r="CC235" s="171">
        <f t="shared" si="359"/>
        <v>0</v>
      </c>
      <c r="CD235" s="170">
        <f t="shared" si="317"/>
        <v>0</v>
      </c>
      <c r="CE235" s="90">
        <f t="shared" si="360"/>
        <v>0</v>
      </c>
      <c r="CF235" s="171">
        <f t="shared" si="361"/>
        <v>0</v>
      </c>
      <c r="CG235" s="170">
        <f t="shared" si="318"/>
        <v>0</v>
      </c>
      <c r="CH235" s="90">
        <f t="shared" si="362"/>
        <v>0</v>
      </c>
      <c r="CI235" s="171">
        <f t="shared" si="363"/>
        <v>0</v>
      </c>
      <c r="CJ235" s="170">
        <f t="shared" si="319"/>
        <v>0</v>
      </c>
      <c r="CK235" s="90">
        <f t="shared" si="364"/>
        <v>0</v>
      </c>
      <c r="CL235" s="171">
        <f t="shared" si="365"/>
        <v>0</v>
      </c>
      <c r="CM235" s="170">
        <f t="shared" si="320"/>
        <v>0</v>
      </c>
      <c r="CN235" s="90">
        <f t="shared" si="366"/>
        <v>0</v>
      </c>
      <c r="CO235" s="171">
        <f t="shared" si="367"/>
        <v>0</v>
      </c>
      <c r="CP235" s="170">
        <f t="shared" si="321"/>
        <v>0</v>
      </c>
      <c r="CQ235" s="90">
        <f t="shared" si="368"/>
        <v>0</v>
      </c>
      <c r="CR235" s="171">
        <f t="shared" si="369"/>
        <v>0</v>
      </c>
      <c r="CS235" s="170">
        <f t="shared" si="322"/>
        <v>0</v>
      </c>
      <c r="CT235" s="90">
        <f t="shared" si="370"/>
        <v>0</v>
      </c>
      <c r="CU235" s="171">
        <f t="shared" si="371"/>
        <v>0</v>
      </c>
      <c r="CV235" s="170">
        <f t="shared" si="323"/>
        <v>0</v>
      </c>
      <c r="CW235" s="90">
        <f t="shared" si="372"/>
        <v>0</v>
      </c>
      <c r="CX235" s="171">
        <f t="shared" si="373"/>
        <v>0</v>
      </c>
      <c r="CY235" s="170">
        <f t="shared" si="324"/>
        <v>0</v>
      </c>
      <c r="CZ235" s="168">
        <f t="shared" si="325"/>
        <v>0</v>
      </c>
      <c r="DA235" s="172">
        <f t="shared" si="327"/>
        <v>0</v>
      </c>
      <c r="DB235" s="173">
        <f t="shared" si="328"/>
        <v>0</v>
      </c>
      <c r="DC235" s="172">
        <f t="shared" si="347"/>
        <v>0</v>
      </c>
      <c r="DD235" s="172">
        <f t="shared" si="347"/>
        <v>0</v>
      </c>
      <c r="DE235" s="172">
        <f t="shared" si="347"/>
        <v>0</v>
      </c>
      <c r="DF235" s="172">
        <f t="shared" si="330"/>
        <v>0</v>
      </c>
      <c r="DG235" s="1"/>
      <c r="DH235" s="1"/>
      <c r="DI235" s="3"/>
      <c r="DJ235" s="340" t="s">
        <v>372</v>
      </c>
      <c r="DK235" s="399"/>
      <c r="DL235" s="400">
        <f>SUM(DL232:DL234)</f>
        <v>365</v>
      </c>
      <c r="DM235" s="400">
        <f>SUM(DM232:DM234)</f>
        <v>1775</v>
      </c>
      <c r="DN235" s="399">
        <f>SUM(DN232:DN234)</f>
        <v>25.357142857142854</v>
      </c>
      <c r="DO235" s="8"/>
      <c r="DP235" s="8"/>
      <c r="DQ235" s="3"/>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row>
    <row r="236" spans="1:155" s="565" customFormat="1" hidden="1">
      <c r="A236" s="51"/>
      <c r="B236" s="674" t="s">
        <v>437</v>
      </c>
      <c r="C236" s="675"/>
      <c r="D236" s="231" t="s">
        <v>450</v>
      </c>
      <c r="E236" s="27"/>
      <c r="F236" s="27"/>
      <c r="G236" s="27"/>
      <c r="H236" s="27"/>
      <c r="I236" s="27"/>
      <c r="J236" s="404"/>
      <c r="K236" s="307"/>
      <c r="L236" s="307"/>
      <c r="M236" s="307"/>
      <c r="N236" s="71"/>
      <c r="O236" s="234" t="s">
        <v>191</v>
      </c>
      <c r="P236" s="389">
        <f>$DN$226/3*$O$243+$O$244*$DN$232/3</f>
        <v>3</v>
      </c>
      <c r="Q236" s="390">
        <f t="shared" si="333"/>
        <v>0</v>
      </c>
      <c r="R236" s="390">
        <f t="shared" si="334"/>
        <v>0</v>
      </c>
      <c r="S236" s="390">
        <f t="shared" si="335"/>
        <v>0</v>
      </c>
      <c r="T236" s="390">
        <f t="shared" si="336"/>
        <v>0</v>
      </c>
      <c r="U236" s="390">
        <f>VLOOKUP($D$32,'Rainfall data'!$R$15:$AD$20,'Potable Water Calculator'!N235,FALSE)</f>
        <v>4.2623870967741944</v>
      </c>
      <c r="V236" s="390">
        <f t="shared" si="337"/>
        <v>0</v>
      </c>
      <c r="W236" s="390">
        <f t="shared" si="338"/>
        <v>0</v>
      </c>
      <c r="X236" s="390">
        <f t="shared" si="346"/>
        <v>0</v>
      </c>
      <c r="Y236" s="390">
        <f t="shared" si="339"/>
        <v>15.85608</v>
      </c>
      <c r="Z236" s="390">
        <f t="shared" si="340"/>
        <v>0</v>
      </c>
      <c r="AA236" s="390">
        <f t="shared" si="341"/>
        <v>15.85608</v>
      </c>
      <c r="AB236" s="390">
        <f t="shared" si="342"/>
        <v>15.85608</v>
      </c>
      <c r="AC236" s="390">
        <f t="shared" si="343"/>
        <v>0</v>
      </c>
      <c r="AD236" s="390">
        <f t="shared" si="344"/>
        <v>0</v>
      </c>
      <c r="AE236" s="390">
        <f t="shared" si="345"/>
        <v>0</v>
      </c>
      <c r="AF236" s="14"/>
      <c r="AG236" s="14"/>
      <c r="AH236" s="14"/>
      <c r="AI236" s="14"/>
      <c r="AJ236" s="14"/>
      <c r="AK236" s="14"/>
      <c r="AL236" s="14"/>
      <c r="AM236" s="14"/>
      <c r="AN236" s="14"/>
      <c r="AO236" s="14"/>
      <c r="AP236" s="14"/>
      <c r="AQ236" s="293"/>
      <c r="AR236" s="14"/>
      <c r="AS236" s="14"/>
      <c r="AT236" s="14"/>
      <c r="AU236" s="14"/>
      <c r="AV236" s="14"/>
      <c r="AW236" s="14"/>
      <c r="AX236" s="14"/>
      <c r="AY236" s="14"/>
      <c r="AZ236" s="14"/>
      <c r="BA236" s="14"/>
      <c r="BB236" s="14"/>
      <c r="BC236" s="14"/>
      <c r="BD236" s="276"/>
      <c r="BE236" s="165" t="s">
        <v>18</v>
      </c>
      <c r="BF236" s="23">
        <v>22</v>
      </c>
      <c r="BG236" s="23">
        <v>5</v>
      </c>
      <c r="BH236" s="23">
        <v>4</v>
      </c>
      <c r="BI236" s="90" t="b">
        <f t="shared" si="326"/>
        <v>1</v>
      </c>
      <c r="BJ236" s="46" t="b">
        <f t="shared" si="348"/>
        <v>0</v>
      </c>
      <c r="BK236" s="166">
        <f t="shared" si="349"/>
        <v>0</v>
      </c>
      <c r="BL236" s="175">
        <f>IF(SUM(BL$232:BL235,BK236)&gt;$BQ$4,0,BK236)</f>
        <v>0</v>
      </c>
      <c r="BM236" s="23">
        <f t="shared" si="311"/>
        <v>0</v>
      </c>
      <c r="BN236" s="90">
        <f t="shared" si="312"/>
        <v>0</v>
      </c>
      <c r="BO236" s="24">
        <f t="shared" si="332"/>
        <v>0</v>
      </c>
      <c r="BP236" s="349">
        <f t="shared" si="350"/>
        <v>0</v>
      </c>
      <c r="BQ236" s="171">
        <f t="shared" si="351"/>
        <v>0</v>
      </c>
      <c r="BR236" s="170">
        <f t="shared" si="313"/>
        <v>0</v>
      </c>
      <c r="BS236" s="168">
        <f t="shared" si="352"/>
        <v>0</v>
      </c>
      <c r="BT236" s="171">
        <f t="shared" si="353"/>
        <v>0</v>
      </c>
      <c r="BU236" s="170">
        <f t="shared" si="314"/>
        <v>0</v>
      </c>
      <c r="BV236" s="168">
        <f t="shared" si="354"/>
        <v>0</v>
      </c>
      <c r="BW236" s="171">
        <f t="shared" si="355"/>
        <v>0</v>
      </c>
      <c r="BX236" s="170">
        <f t="shared" si="315"/>
        <v>0</v>
      </c>
      <c r="BY236" s="168">
        <f t="shared" si="356"/>
        <v>0</v>
      </c>
      <c r="BZ236" s="171">
        <f t="shared" si="357"/>
        <v>0</v>
      </c>
      <c r="CA236" s="170">
        <f t="shared" si="316"/>
        <v>0</v>
      </c>
      <c r="CB236" s="90">
        <f t="shared" si="358"/>
        <v>0</v>
      </c>
      <c r="CC236" s="171">
        <f t="shared" si="359"/>
        <v>0</v>
      </c>
      <c r="CD236" s="170">
        <f t="shared" si="317"/>
        <v>0</v>
      </c>
      <c r="CE236" s="90">
        <f t="shared" si="360"/>
        <v>0</v>
      </c>
      <c r="CF236" s="171">
        <f t="shared" si="361"/>
        <v>0</v>
      </c>
      <c r="CG236" s="170">
        <f t="shared" si="318"/>
        <v>0</v>
      </c>
      <c r="CH236" s="90">
        <f t="shared" si="362"/>
        <v>0</v>
      </c>
      <c r="CI236" s="171">
        <f t="shared" si="363"/>
        <v>0</v>
      </c>
      <c r="CJ236" s="170">
        <f t="shared" si="319"/>
        <v>0</v>
      </c>
      <c r="CK236" s="90">
        <f t="shared" si="364"/>
        <v>0</v>
      </c>
      <c r="CL236" s="171">
        <f t="shared" si="365"/>
        <v>0</v>
      </c>
      <c r="CM236" s="170">
        <f t="shared" si="320"/>
        <v>0</v>
      </c>
      <c r="CN236" s="90">
        <f t="shared" si="366"/>
        <v>0</v>
      </c>
      <c r="CO236" s="171">
        <f t="shared" si="367"/>
        <v>0</v>
      </c>
      <c r="CP236" s="170">
        <f t="shared" si="321"/>
        <v>0</v>
      </c>
      <c r="CQ236" s="90">
        <f t="shared" si="368"/>
        <v>0</v>
      </c>
      <c r="CR236" s="171">
        <f t="shared" si="369"/>
        <v>0</v>
      </c>
      <c r="CS236" s="170">
        <f t="shared" si="322"/>
        <v>0</v>
      </c>
      <c r="CT236" s="90">
        <f t="shared" si="370"/>
        <v>0</v>
      </c>
      <c r="CU236" s="171">
        <f t="shared" si="371"/>
        <v>0</v>
      </c>
      <c r="CV236" s="170">
        <f t="shared" si="323"/>
        <v>0</v>
      </c>
      <c r="CW236" s="90">
        <f t="shared" si="372"/>
        <v>0</v>
      </c>
      <c r="CX236" s="171">
        <f t="shared" si="373"/>
        <v>0</v>
      </c>
      <c r="CY236" s="170">
        <f t="shared" si="324"/>
        <v>0</v>
      </c>
      <c r="CZ236" s="168">
        <f t="shared" si="325"/>
        <v>0</v>
      </c>
      <c r="DA236" s="172">
        <f t="shared" si="327"/>
        <v>0</v>
      </c>
      <c r="DB236" s="173">
        <f t="shared" si="328"/>
        <v>0</v>
      </c>
      <c r="DC236" s="172">
        <f t="shared" si="347"/>
        <v>0</v>
      </c>
      <c r="DD236" s="172">
        <f t="shared" si="347"/>
        <v>0</v>
      </c>
      <c r="DE236" s="172">
        <f t="shared" si="347"/>
        <v>0</v>
      </c>
      <c r="DF236" s="172">
        <f t="shared" si="330"/>
        <v>0</v>
      </c>
      <c r="DG236" s="1"/>
      <c r="DH236" s="1"/>
      <c r="DI236" s="3"/>
      <c r="DJ236" s="8"/>
      <c r="DK236" s="8"/>
      <c r="DL236" s="8"/>
      <c r="DM236" s="8"/>
      <c r="DN236" s="8"/>
      <c r="DO236" s="8"/>
      <c r="DP236" s="8"/>
      <c r="DQ236" s="3"/>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row>
    <row r="237" spans="1:155" s="566" customFormat="1" ht="15.75" hidden="1" thickBot="1">
      <c r="A237" s="51"/>
      <c r="B237" s="396" t="s">
        <v>438</v>
      </c>
      <c r="C237" s="397"/>
      <c r="D237" s="404"/>
      <c r="E237" s="27"/>
      <c r="F237" s="27"/>
      <c r="G237" s="27"/>
      <c r="H237" s="27"/>
      <c r="I237" s="27"/>
      <c r="J237" s="404"/>
      <c r="K237" s="307"/>
      <c r="L237" s="307"/>
      <c r="M237" s="307"/>
      <c r="N237" s="71"/>
      <c r="O237" s="14"/>
      <c r="P237" s="407" t="s">
        <v>439</v>
      </c>
      <c r="Q237" s="408"/>
      <c r="R237" s="409">
        <f t="shared" ref="R237:AA237" si="374">SUM(R225:R236)*$O$239</f>
        <v>0</v>
      </c>
      <c r="S237" s="409">
        <f t="shared" si="374"/>
        <v>0</v>
      </c>
      <c r="T237" s="409">
        <f t="shared" si="374"/>
        <v>0</v>
      </c>
      <c r="U237" s="410">
        <f t="shared" si="374"/>
        <v>0</v>
      </c>
      <c r="V237" s="410">
        <f t="shared" si="374"/>
        <v>0</v>
      </c>
      <c r="W237" s="410">
        <f t="shared" si="374"/>
        <v>0</v>
      </c>
      <c r="X237" s="410">
        <f t="shared" si="374"/>
        <v>0</v>
      </c>
      <c r="Y237" s="410">
        <f t="shared" si="374"/>
        <v>0</v>
      </c>
      <c r="Z237" s="410">
        <f t="shared" si="374"/>
        <v>0</v>
      </c>
      <c r="AA237" s="410">
        <f t="shared" si="374"/>
        <v>0</v>
      </c>
      <c r="AB237" s="411">
        <f>SUM(AB225:AB236)</f>
        <v>140.87892254622031</v>
      </c>
      <c r="AC237" s="412">
        <f>SUM(AC225:AC236)*$O$239</f>
        <v>0</v>
      </c>
      <c r="AD237" s="412">
        <f>SUM(AD225:AD236)*$O$239</f>
        <v>0</v>
      </c>
      <c r="AE237" s="413">
        <f>SUM(AE225:AE236)*O239</f>
        <v>0</v>
      </c>
      <c r="AF237" s="14"/>
      <c r="AG237" s="14"/>
      <c r="AH237" s="14"/>
      <c r="AI237" s="14"/>
      <c r="AJ237" s="14"/>
      <c r="AK237" s="14"/>
      <c r="AL237" s="14"/>
      <c r="AM237" s="14"/>
      <c r="AN237" s="14"/>
      <c r="AO237" s="14"/>
      <c r="AP237" s="14"/>
      <c r="AQ237" s="293"/>
      <c r="AR237" s="14"/>
      <c r="AS237" s="14"/>
      <c r="AT237" s="14"/>
      <c r="AU237" s="14"/>
      <c r="AV237" s="14"/>
      <c r="AW237" s="14"/>
      <c r="AX237" s="14"/>
      <c r="AY237" s="14"/>
      <c r="AZ237" s="14"/>
      <c r="BA237" s="14"/>
      <c r="BB237" s="14"/>
      <c r="BC237" s="14"/>
      <c r="BD237" s="3"/>
      <c r="BE237" s="165" t="s">
        <v>18</v>
      </c>
      <c r="BF237" s="23">
        <v>22</v>
      </c>
      <c r="BG237" s="23">
        <v>6</v>
      </c>
      <c r="BH237" s="23">
        <v>5</v>
      </c>
      <c r="BI237" s="90" t="b">
        <f t="shared" si="326"/>
        <v>1</v>
      </c>
      <c r="BJ237" s="46" t="b">
        <f t="shared" si="348"/>
        <v>0</v>
      </c>
      <c r="BK237" s="166">
        <f t="shared" si="349"/>
        <v>0</v>
      </c>
      <c r="BL237" s="175">
        <f>IF(SUM(BL$232:BL236,BK237)&gt;$BQ$4,0,BK237)</f>
        <v>0</v>
      </c>
      <c r="BM237" s="23">
        <f t="shared" si="311"/>
        <v>0</v>
      </c>
      <c r="BN237" s="90">
        <f t="shared" si="312"/>
        <v>0</v>
      </c>
      <c r="BO237" s="24">
        <f t="shared" si="332"/>
        <v>0</v>
      </c>
      <c r="BP237" s="349">
        <f t="shared" si="350"/>
        <v>0</v>
      </c>
      <c r="BQ237" s="171">
        <f t="shared" si="351"/>
        <v>0</v>
      </c>
      <c r="BR237" s="170">
        <f t="shared" si="313"/>
        <v>0</v>
      </c>
      <c r="BS237" s="168">
        <f t="shared" si="352"/>
        <v>0</v>
      </c>
      <c r="BT237" s="171">
        <f t="shared" si="353"/>
        <v>0</v>
      </c>
      <c r="BU237" s="170">
        <f t="shared" si="314"/>
        <v>0</v>
      </c>
      <c r="BV237" s="168">
        <f t="shared" si="354"/>
        <v>0</v>
      </c>
      <c r="BW237" s="171">
        <f t="shared" si="355"/>
        <v>0</v>
      </c>
      <c r="BX237" s="170">
        <f t="shared" si="315"/>
        <v>0</v>
      </c>
      <c r="BY237" s="168">
        <f t="shared" si="356"/>
        <v>0</v>
      </c>
      <c r="BZ237" s="171">
        <f t="shared" si="357"/>
        <v>0</v>
      </c>
      <c r="CA237" s="170">
        <f t="shared" si="316"/>
        <v>0</v>
      </c>
      <c r="CB237" s="90">
        <f t="shared" si="358"/>
        <v>0</v>
      </c>
      <c r="CC237" s="171">
        <f t="shared" si="359"/>
        <v>0</v>
      </c>
      <c r="CD237" s="170">
        <f t="shared" si="317"/>
        <v>0</v>
      </c>
      <c r="CE237" s="90">
        <f t="shared" si="360"/>
        <v>0</v>
      </c>
      <c r="CF237" s="171">
        <f t="shared" si="361"/>
        <v>0</v>
      </c>
      <c r="CG237" s="170">
        <f t="shared" si="318"/>
        <v>0</v>
      </c>
      <c r="CH237" s="90">
        <f t="shared" si="362"/>
        <v>0</v>
      </c>
      <c r="CI237" s="171">
        <f t="shared" si="363"/>
        <v>0</v>
      </c>
      <c r="CJ237" s="170">
        <f t="shared" si="319"/>
        <v>0</v>
      </c>
      <c r="CK237" s="90">
        <f t="shared" si="364"/>
        <v>0</v>
      </c>
      <c r="CL237" s="171">
        <f t="shared" si="365"/>
        <v>0</v>
      </c>
      <c r="CM237" s="170">
        <f t="shared" si="320"/>
        <v>0</v>
      </c>
      <c r="CN237" s="90">
        <f t="shared" si="366"/>
        <v>0</v>
      </c>
      <c r="CO237" s="171">
        <f t="shared" si="367"/>
        <v>0</v>
      </c>
      <c r="CP237" s="170">
        <f t="shared" si="321"/>
        <v>0</v>
      </c>
      <c r="CQ237" s="90">
        <f t="shared" si="368"/>
        <v>0</v>
      </c>
      <c r="CR237" s="171">
        <f t="shared" si="369"/>
        <v>0</v>
      </c>
      <c r="CS237" s="170">
        <f t="shared" si="322"/>
        <v>0</v>
      </c>
      <c r="CT237" s="90">
        <f t="shared" si="370"/>
        <v>0</v>
      </c>
      <c r="CU237" s="171">
        <f t="shared" si="371"/>
        <v>0</v>
      </c>
      <c r="CV237" s="170">
        <f t="shared" si="323"/>
        <v>0</v>
      </c>
      <c r="CW237" s="90">
        <f t="shared" si="372"/>
        <v>0</v>
      </c>
      <c r="CX237" s="171">
        <f t="shared" si="373"/>
        <v>0</v>
      </c>
      <c r="CY237" s="170">
        <f t="shared" si="324"/>
        <v>0</v>
      </c>
      <c r="CZ237" s="168">
        <f t="shared" si="325"/>
        <v>0</v>
      </c>
      <c r="DA237" s="172">
        <f t="shared" si="327"/>
        <v>0</v>
      </c>
      <c r="DB237" s="173">
        <f t="shared" si="328"/>
        <v>0</v>
      </c>
      <c r="DC237" s="172">
        <f t="shared" si="347"/>
        <v>0</v>
      </c>
      <c r="DD237" s="172">
        <f t="shared" si="347"/>
        <v>0</v>
      </c>
      <c r="DE237" s="172">
        <f t="shared" si="347"/>
        <v>0</v>
      </c>
      <c r="DF237" s="172">
        <f t="shared" si="330"/>
        <v>0</v>
      </c>
      <c r="DG237" s="136"/>
      <c r="DH237" s="136"/>
      <c r="DI237" s="3"/>
      <c r="DJ237" s="382" t="s">
        <v>440</v>
      </c>
      <c r="DK237" s="414" t="s">
        <v>441</v>
      </c>
      <c r="DL237" s="8"/>
      <c r="DM237" s="8"/>
      <c r="DN237" s="382" t="s">
        <v>442</v>
      </c>
      <c r="DO237" s="415"/>
      <c r="DP237" s="8"/>
      <c r="DQ237" s="3"/>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row>
    <row r="238" spans="1:155" s="566" customFormat="1" hidden="1">
      <c r="A238" s="51"/>
      <c r="B238" s="674" t="s">
        <v>437</v>
      </c>
      <c r="C238" s="675"/>
      <c r="D238" s="231" t="s">
        <v>450</v>
      </c>
      <c r="E238" s="27"/>
      <c r="F238" s="27"/>
      <c r="G238" s="27"/>
      <c r="H238" s="27"/>
      <c r="I238" s="27"/>
      <c r="J238" s="404"/>
      <c r="K238" s="307"/>
      <c r="L238" s="307"/>
      <c r="M238" s="307"/>
      <c r="N238" s="14"/>
      <c r="O238" s="14"/>
      <c r="P238" s="14"/>
      <c r="Q238" s="14"/>
      <c r="R238" s="14"/>
      <c r="S238" s="14"/>
      <c r="T238" s="14"/>
      <c r="U238" s="14"/>
      <c r="V238" s="14"/>
      <c r="W238" s="14" t="s">
        <v>443</v>
      </c>
      <c r="X238" s="14"/>
      <c r="Y238" s="14" t="s">
        <v>444</v>
      </c>
      <c r="Z238" s="14"/>
      <c r="AA238" s="14"/>
      <c r="AB238" s="14"/>
      <c r="AC238" s="14"/>
      <c r="AD238" s="14"/>
      <c r="AE238" s="14"/>
      <c r="AF238" s="14"/>
      <c r="AG238" s="14"/>
      <c r="AH238" s="14"/>
      <c r="AI238" s="14"/>
      <c r="AJ238" s="14"/>
      <c r="AK238" s="14"/>
      <c r="AL238" s="14"/>
      <c r="AM238" s="14"/>
      <c r="AN238" s="14"/>
      <c r="AO238" s="14"/>
      <c r="AP238" s="14"/>
      <c r="AQ238" s="293"/>
      <c r="AR238" s="14"/>
      <c r="AS238" s="14"/>
      <c r="AT238" s="14"/>
      <c r="AU238" s="14"/>
      <c r="AV238" s="14"/>
      <c r="AW238" s="14"/>
      <c r="AX238" s="14"/>
      <c r="AY238" s="14"/>
      <c r="AZ238" s="14"/>
      <c r="BA238" s="14"/>
      <c r="BB238" s="14"/>
      <c r="BC238" s="14"/>
      <c r="BD238" s="3"/>
      <c r="BE238" s="165" t="s">
        <v>18</v>
      </c>
      <c r="BF238" s="23">
        <v>22</v>
      </c>
      <c r="BG238" s="23">
        <v>7</v>
      </c>
      <c r="BH238" s="23">
        <v>6</v>
      </c>
      <c r="BI238" s="90" t="b">
        <f t="shared" si="326"/>
        <v>0</v>
      </c>
      <c r="BJ238" s="46" t="b">
        <f t="shared" si="348"/>
        <v>0</v>
      </c>
      <c r="BK238" s="166">
        <f t="shared" si="349"/>
        <v>0</v>
      </c>
      <c r="BL238" s="175">
        <f>IF(SUM(BL$232:BL237,BK238)&gt;$BQ$4,0,BK238)</f>
        <v>0</v>
      </c>
      <c r="BM238" s="23">
        <f t="shared" si="311"/>
        <v>0</v>
      </c>
      <c r="BN238" s="90">
        <f t="shared" si="312"/>
        <v>0</v>
      </c>
      <c r="BO238" s="24">
        <f t="shared" si="332"/>
        <v>0</v>
      </c>
      <c r="BP238" s="349">
        <f t="shared" si="350"/>
        <v>0</v>
      </c>
      <c r="BQ238" s="171">
        <f t="shared" si="351"/>
        <v>0</v>
      </c>
      <c r="BR238" s="170">
        <f t="shared" si="313"/>
        <v>0</v>
      </c>
      <c r="BS238" s="168">
        <f t="shared" si="352"/>
        <v>0</v>
      </c>
      <c r="BT238" s="171">
        <f t="shared" si="353"/>
        <v>0</v>
      </c>
      <c r="BU238" s="170">
        <f t="shared" si="314"/>
        <v>0</v>
      </c>
      <c r="BV238" s="168">
        <f t="shared" si="354"/>
        <v>0</v>
      </c>
      <c r="BW238" s="171">
        <f t="shared" si="355"/>
        <v>0</v>
      </c>
      <c r="BX238" s="170">
        <f t="shared" si="315"/>
        <v>0</v>
      </c>
      <c r="BY238" s="168">
        <f t="shared" si="356"/>
        <v>0</v>
      </c>
      <c r="BZ238" s="171">
        <f t="shared" si="357"/>
        <v>0</v>
      </c>
      <c r="CA238" s="170">
        <f t="shared" si="316"/>
        <v>0</v>
      </c>
      <c r="CB238" s="90">
        <f t="shared" si="358"/>
        <v>0</v>
      </c>
      <c r="CC238" s="171">
        <f t="shared" si="359"/>
        <v>0</v>
      </c>
      <c r="CD238" s="170">
        <f t="shared" si="317"/>
        <v>0</v>
      </c>
      <c r="CE238" s="90">
        <f t="shared" si="360"/>
        <v>0</v>
      </c>
      <c r="CF238" s="171">
        <f t="shared" si="361"/>
        <v>0</v>
      </c>
      <c r="CG238" s="170">
        <f t="shared" si="318"/>
        <v>0</v>
      </c>
      <c r="CH238" s="90">
        <f t="shared" si="362"/>
        <v>0</v>
      </c>
      <c r="CI238" s="171">
        <f t="shared" si="363"/>
        <v>0</v>
      </c>
      <c r="CJ238" s="170">
        <f t="shared" si="319"/>
        <v>0</v>
      </c>
      <c r="CK238" s="90">
        <f t="shared" si="364"/>
        <v>0</v>
      </c>
      <c r="CL238" s="171">
        <f t="shared" si="365"/>
        <v>0</v>
      </c>
      <c r="CM238" s="170">
        <f t="shared" si="320"/>
        <v>0</v>
      </c>
      <c r="CN238" s="90">
        <f t="shared" si="366"/>
        <v>0</v>
      </c>
      <c r="CO238" s="171">
        <f t="shared" si="367"/>
        <v>0</v>
      </c>
      <c r="CP238" s="170">
        <f t="shared" si="321"/>
        <v>0</v>
      </c>
      <c r="CQ238" s="90">
        <f t="shared" si="368"/>
        <v>0</v>
      </c>
      <c r="CR238" s="171">
        <f t="shared" si="369"/>
        <v>0</v>
      </c>
      <c r="CS238" s="170">
        <f t="shared" si="322"/>
        <v>0</v>
      </c>
      <c r="CT238" s="90">
        <f t="shared" si="370"/>
        <v>0</v>
      </c>
      <c r="CU238" s="171">
        <f t="shared" si="371"/>
        <v>0</v>
      </c>
      <c r="CV238" s="170">
        <f t="shared" si="323"/>
        <v>0</v>
      </c>
      <c r="CW238" s="90">
        <f t="shared" si="372"/>
        <v>0</v>
      </c>
      <c r="CX238" s="171">
        <f t="shared" si="373"/>
        <v>0</v>
      </c>
      <c r="CY238" s="170">
        <f t="shared" si="324"/>
        <v>0</v>
      </c>
      <c r="CZ238" s="168">
        <f t="shared" si="325"/>
        <v>0</v>
      </c>
      <c r="DA238" s="172">
        <f t="shared" si="327"/>
        <v>0</v>
      </c>
      <c r="DB238" s="173">
        <f t="shared" si="328"/>
        <v>0</v>
      </c>
      <c r="DC238" s="172">
        <f t="shared" si="347"/>
        <v>0</v>
      </c>
      <c r="DD238" s="172">
        <f t="shared" si="347"/>
        <v>0</v>
      </c>
      <c r="DE238" s="172">
        <f t="shared" si="347"/>
        <v>0</v>
      </c>
      <c r="DF238" s="172">
        <f t="shared" si="330"/>
        <v>0</v>
      </c>
      <c r="DG238" s="136"/>
      <c r="DH238" s="136"/>
      <c r="DI238" s="3"/>
      <c r="DJ238" s="340" t="s">
        <v>445</v>
      </c>
      <c r="DK238" s="416">
        <v>2.5</v>
      </c>
      <c r="DL238" s="8"/>
      <c r="DM238" s="8"/>
      <c r="DN238" s="340" t="s">
        <v>446</v>
      </c>
      <c r="DO238" s="416" t="s">
        <v>447</v>
      </c>
      <c r="DP238" s="8"/>
      <c r="DQ238" s="3"/>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row>
    <row r="239" spans="1:155" s="566" customFormat="1" ht="30" hidden="1" customHeight="1">
      <c r="A239" s="51"/>
      <c r="B239" s="674" t="s">
        <v>448</v>
      </c>
      <c r="C239" s="675"/>
      <c r="D239" s="402" t="s">
        <v>464</v>
      </c>
      <c r="E239" s="27"/>
      <c r="F239" s="27"/>
      <c r="G239" s="27"/>
      <c r="H239" s="27"/>
      <c r="I239" s="27"/>
      <c r="J239" s="404"/>
      <c r="K239" s="307"/>
      <c r="L239" s="307"/>
      <c r="M239" s="307"/>
      <c r="N239" s="14" t="s">
        <v>449</v>
      </c>
      <c r="O239" s="14" t="b">
        <f>D224="Yes"</f>
        <v>0</v>
      </c>
      <c r="P239" s="14"/>
      <c r="Q239" s="14"/>
      <c r="R239" s="14"/>
      <c r="S239" s="14"/>
      <c r="T239" s="14"/>
      <c r="U239" s="14"/>
      <c r="V239" s="14"/>
      <c r="W239" s="14" t="s">
        <v>450</v>
      </c>
      <c r="X239" s="71" t="b">
        <f>$D$238=W239</f>
        <v>1</v>
      </c>
      <c r="Y239" s="14" t="s">
        <v>450</v>
      </c>
      <c r="Z239" s="71" t="b">
        <f>$D$236=Y239</f>
        <v>1</v>
      </c>
      <c r="AA239" s="14"/>
      <c r="AB239" s="14"/>
      <c r="AC239" s="14"/>
      <c r="AD239" s="14"/>
      <c r="AE239" s="14"/>
      <c r="AF239" s="14"/>
      <c r="AG239" s="14"/>
      <c r="AH239" s="14"/>
      <c r="AI239" s="14"/>
      <c r="AJ239" s="14"/>
      <c r="AK239" s="14"/>
      <c r="AL239" s="14"/>
      <c r="AM239" s="14"/>
      <c r="AN239" s="14"/>
      <c r="AO239" s="14"/>
      <c r="AP239" s="14"/>
      <c r="AQ239" s="293"/>
      <c r="AR239" s="14"/>
      <c r="AS239" s="14"/>
      <c r="AT239" s="14"/>
      <c r="AU239" s="14"/>
      <c r="AV239" s="14"/>
      <c r="AW239" s="14"/>
      <c r="AX239" s="14"/>
      <c r="AY239" s="14"/>
      <c r="AZ239" s="14"/>
      <c r="BA239" s="14"/>
      <c r="BB239" s="14"/>
      <c r="BC239" s="14"/>
      <c r="BD239" s="3"/>
      <c r="BE239" s="165" t="s">
        <v>18</v>
      </c>
      <c r="BF239" s="23">
        <v>22</v>
      </c>
      <c r="BG239" s="23">
        <v>8</v>
      </c>
      <c r="BH239" s="23">
        <v>7</v>
      </c>
      <c r="BI239" s="90" t="b">
        <f t="shared" si="326"/>
        <v>0</v>
      </c>
      <c r="BJ239" s="46" t="b">
        <f t="shared" si="348"/>
        <v>0</v>
      </c>
      <c r="BK239" s="166">
        <f t="shared" si="349"/>
        <v>0</v>
      </c>
      <c r="BL239" s="175">
        <f>IF(SUM(BL$232:BL238,BK239)&gt;$BQ$4,0,BK239)</f>
        <v>0</v>
      </c>
      <c r="BM239" s="23">
        <f t="shared" si="311"/>
        <v>0</v>
      </c>
      <c r="BN239" s="90">
        <f t="shared" si="312"/>
        <v>0</v>
      </c>
      <c r="BO239" s="24">
        <f t="shared" si="332"/>
        <v>0</v>
      </c>
      <c r="BP239" s="349">
        <f t="shared" si="350"/>
        <v>0</v>
      </c>
      <c r="BQ239" s="171">
        <f t="shared" si="351"/>
        <v>0</v>
      </c>
      <c r="BR239" s="170">
        <f t="shared" si="313"/>
        <v>0</v>
      </c>
      <c r="BS239" s="168">
        <f t="shared" si="352"/>
        <v>0</v>
      </c>
      <c r="BT239" s="171">
        <f t="shared" si="353"/>
        <v>0</v>
      </c>
      <c r="BU239" s="170">
        <f t="shared" si="314"/>
        <v>0</v>
      </c>
      <c r="BV239" s="168">
        <f t="shared" si="354"/>
        <v>0</v>
      </c>
      <c r="BW239" s="171">
        <f t="shared" si="355"/>
        <v>0</v>
      </c>
      <c r="BX239" s="170">
        <f t="shared" si="315"/>
        <v>0</v>
      </c>
      <c r="BY239" s="168">
        <f t="shared" si="356"/>
        <v>0</v>
      </c>
      <c r="BZ239" s="171">
        <f t="shared" si="357"/>
        <v>0</v>
      </c>
      <c r="CA239" s="170">
        <f t="shared" si="316"/>
        <v>0</v>
      </c>
      <c r="CB239" s="90">
        <f t="shared" si="358"/>
        <v>0</v>
      </c>
      <c r="CC239" s="171">
        <f t="shared" si="359"/>
        <v>0</v>
      </c>
      <c r="CD239" s="170">
        <f t="shared" si="317"/>
        <v>0</v>
      </c>
      <c r="CE239" s="90">
        <f t="shared" si="360"/>
        <v>0</v>
      </c>
      <c r="CF239" s="171">
        <f t="shared" si="361"/>
        <v>0</v>
      </c>
      <c r="CG239" s="170">
        <f t="shared" si="318"/>
        <v>0</v>
      </c>
      <c r="CH239" s="90">
        <f t="shared" si="362"/>
        <v>0</v>
      </c>
      <c r="CI239" s="171">
        <f t="shared" si="363"/>
        <v>0</v>
      </c>
      <c r="CJ239" s="170">
        <f t="shared" si="319"/>
        <v>0</v>
      </c>
      <c r="CK239" s="90">
        <f t="shared" si="364"/>
        <v>0</v>
      </c>
      <c r="CL239" s="171">
        <f t="shared" si="365"/>
        <v>0</v>
      </c>
      <c r="CM239" s="170">
        <f t="shared" si="320"/>
        <v>0</v>
      </c>
      <c r="CN239" s="90">
        <f t="shared" si="366"/>
        <v>0</v>
      </c>
      <c r="CO239" s="171">
        <f t="shared" si="367"/>
        <v>0</v>
      </c>
      <c r="CP239" s="170">
        <f t="shared" si="321"/>
        <v>0</v>
      </c>
      <c r="CQ239" s="90">
        <f t="shared" si="368"/>
        <v>0</v>
      </c>
      <c r="CR239" s="171">
        <f t="shared" si="369"/>
        <v>0</v>
      </c>
      <c r="CS239" s="170">
        <f t="shared" si="322"/>
        <v>0</v>
      </c>
      <c r="CT239" s="90">
        <f t="shared" si="370"/>
        <v>0</v>
      </c>
      <c r="CU239" s="171">
        <f t="shared" si="371"/>
        <v>0</v>
      </c>
      <c r="CV239" s="170">
        <f t="shared" si="323"/>
        <v>0</v>
      </c>
      <c r="CW239" s="90">
        <f t="shared" si="372"/>
        <v>0</v>
      </c>
      <c r="CX239" s="171">
        <f t="shared" si="373"/>
        <v>0</v>
      </c>
      <c r="CY239" s="170">
        <f t="shared" si="324"/>
        <v>0</v>
      </c>
      <c r="CZ239" s="168">
        <f t="shared" si="325"/>
        <v>0</v>
      </c>
      <c r="DA239" s="172">
        <f t="shared" si="327"/>
        <v>0</v>
      </c>
      <c r="DB239" s="173">
        <f t="shared" si="328"/>
        <v>0</v>
      </c>
      <c r="DC239" s="172">
        <f t="shared" si="347"/>
        <v>0</v>
      </c>
      <c r="DD239" s="172">
        <f t="shared" si="347"/>
        <v>0</v>
      </c>
      <c r="DE239" s="172">
        <f t="shared" si="347"/>
        <v>0</v>
      </c>
      <c r="DF239" s="172">
        <f t="shared" si="330"/>
        <v>0</v>
      </c>
      <c r="DG239" s="136"/>
      <c r="DH239" s="136"/>
      <c r="DI239" s="3"/>
      <c r="DJ239" s="340" t="s">
        <v>451</v>
      </c>
      <c r="DK239" s="360">
        <v>1.5</v>
      </c>
      <c r="DL239" s="8"/>
      <c r="DM239" s="8"/>
      <c r="DN239" s="340" t="s">
        <v>251</v>
      </c>
      <c r="DO239" s="363" t="s">
        <v>418</v>
      </c>
      <c r="DP239" s="8"/>
      <c r="DQ239" s="3"/>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row>
    <row r="240" spans="1:155" s="566" customFormat="1" ht="15" hidden="1" customHeight="1">
      <c r="A240" s="51"/>
      <c r="B240" s="674" t="s">
        <v>452</v>
      </c>
      <c r="C240" s="675"/>
      <c r="D240" s="231" t="s">
        <v>233</v>
      </c>
      <c r="E240" s="27"/>
      <c r="F240" s="27"/>
      <c r="G240" s="27"/>
      <c r="H240" s="27"/>
      <c r="I240" s="27"/>
      <c r="J240" s="404"/>
      <c r="K240" s="307"/>
      <c r="L240" s="307"/>
      <c r="M240" s="307"/>
      <c r="N240" s="14" t="s">
        <v>453</v>
      </c>
      <c r="O240" s="14" t="b">
        <f>$D$230=N240</f>
        <v>0</v>
      </c>
      <c r="P240" s="14"/>
      <c r="Q240" s="14"/>
      <c r="R240" s="14"/>
      <c r="S240" s="14"/>
      <c r="T240" s="14"/>
      <c r="U240" s="14"/>
      <c r="V240" s="14"/>
      <c r="W240" s="14" t="s">
        <v>454</v>
      </c>
      <c r="X240" s="71" t="b">
        <f>$D$238=W240</f>
        <v>0</v>
      </c>
      <c r="Y240" s="14" t="s">
        <v>454</v>
      </c>
      <c r="Z240" s="71" t="b">
        <f>$D$236=Y240</f>
        <v>0</v>
      </c>
      <c r="AA240" s="14"/>
      <c r="AB240" s="14"/>
      <c r="AC240" s="14"/>
      <c r="AD240" s="14"/>
      <c r="AE240" s="14"/>
      <c r="AF240" s="14"/>
      <c r="AG240" s="14"/>
      <c r="AH240" s="14"/>
      <c r="AI240" s="14"/>
      <c r="AJ240" s="14"/>
      <c r="AK240" s="14"/>
      <c r="AL240" s="14"/>
      <c r="AM240" s="14"/>
      <c r="AN240" s="14"/>
      <c r="AO240" s="14"/>
      <c r="AP240" s="14"/>
      <c r="AQ240" s="293"/>
      <c r="AR240" s="14"/>
      <c r="AS240" s="14"/>
      <c r="AT240" s="14"/>
      <c r="AU240" s="14"/>
      <c r="AV240" s="14"/>
      <c r="AW240" s="14"/>
      <c r="AX240" s="14"/>
      <c r="AY240" s="14"/>
      <c r="AZ240" s="14"/>
      <c r="BA240" s="14"/>
      <c r="BB240" s="14"/>
      <c r="BC240" s="14"/>
      <c r="BD240" s="3"/>
      <c r="BE240" s="165" t="s">
        <v>18</v>
      </c>
      <c r="BF240" s="23">
        <v>22</v>
      </c>
      <c r="BG240" s="23">
        <v>9</v>
      </c>
      <c r="BH240" s="23">
        <v>1</v>
      </c>
      <c r="BI240" s="90" t="b">
        <f t="shared" si="326"/>
        <v>1</v>
      </c>
      <c r="BJ240" s="46" t="b">
        <f t="shared" si="348"/>
        <v>0</v>
      </c>
      <c r="BK240" s="166">
        <f t="shared" si="349"/>
        <v>0</v>
      </c>
      <c r="BL240" s="175">
        <f>IF(SUM(BL$232:BL239,BK240)&gt;$BQ$4,0,BK240)</f>
        <v>0</v>
      </c>
      <c r="BM240" s="23">
        <f t="shared" si="311"/>
        <v>0</v>
      </c>
      <c r="BN240" s="90">
        <f t="shared" si="312"/>
        <v>0</v>
      </c>
      <c r="BO240" s="24">
        <f t="shared" si="332"/>
        <v>0</v>
      </c>
      <c r="BP240" s="349">
        <f t="shared" si="350"/>
        <v>0</v>
      </c>
      <c r="BQ240" s="171">
        <f t="shared" si="351"/>
        <v>0</v>
      </c>
      <c r="BR240" s="170">
        <f t="shared" si="313"/>
        <v>0</v>
      </c>
      <c r="BS240" s="168">
        <f t="shared" si="352"/>
        <v>0</v>
      </c>
      <c r="BT240" s="171">
        <f t="shared" si="353"/>
        <v>0</v>
      </c>
      <c r="BU240" s="170">
        <f t="shared" si="314"/>
        <v>0</v>
      </c>
      <c r="BV240" s="168">
        <f t="shared" si="354"/>
        <v>0</v>
      </c>
      <c r="BW240" s="171">
        <f t="shared" si="355"/>
        <v>0</v>
      </c>
      <c r="BX240" s="170">
        <f t="shared" si="315"/>
        <v>0</v>
      </c>
      <c r="BY240" s="168">
        <f t="shared" si="356"/>
        <v>0</v>
      </c>
      <c r="BZ240" s="171">
        <f t="shared" si="357"/>
        <v>0</v>
      </c>
      <c r="CA240" s="170">
        <f t="shared" si="316"/>
        <v>0</v>
      </c>
      <c r="CB240" s="90">
        <f t="shared" si="358"/>
        <v>0</v>
      </c>
      <c r="CC240" s="171">
        <f t="shared" si="359"/>
        <v>0</v>
      </c>
      <c r="CD240" s="170">
        <f t="shared" si="317"/>
        <v>0</v>
      </c>
      <c r="CE240" s="90">
        <f t="shared" si="360"/>
        <v>0</v>
      </c>
      <c r="CF240" s="171">
        <f t="shared" si="361"/>
        <v>0</v>
      </c>
      <c r="CG240" s="170">
        <f t="shared" si="318"/>
        <v>0</v>
      </c>
      <c r="CH240" s="90">
        <f t="shared" si="362"/>
        <v>0</v>
      </c>
      <c r="CI240" s="171">
        <f t="shared" si="363"/>
        <v>0</v>
      </c>
      <c r="CJ240" s="170">
        <f t="shared" si="319"/>
        <v>0</v>
      </c>
      <c r="CK240" s="90">
        <f t="shared" si="364"/>
        <v>0</v>
      </c>
      <c r="CL240" s="171">
        <f t="shared" si="365"/>
        <v>0</v>
      </c>
      <c r="CM240" s="170">
        <f t="shared" si="320"/>
        <v>0</v>
      </c>
      <c r="CN240" s="90">
        <f t="shared" si="366"/>
        <v>0</v>
      </c>
      <c r="CO240" s="171">
        <f t="shared" si="367"/>
        <v>0</v>
      </c>
      <c r="CP240" s="170">
        <f t="shared" si="321"/>
        <v>0</v>
      </c>
      <c r="CQ240" s="90">
        <f t="shared" si="368"/>
        <v>0</v>
      </c>
      <c r="CR240" s="171">
        <f t="shared" si="369"/>
        <v>0</v>
      </c>
      <c r="CS240" s="170">
        <f t="shared" si="322"/>
        <v>0</v>
      </c>
      <c r="CT240" s="90">
        <f t="shared" si="370"/>
        <v>0</v>
      </c>
      <c r="CU240" s="171">
        <f t="shared" si="371"/>
        <v>0</v>
      </c>
      <c r="CV240" s="170">
        <f t="shared" si="323"/>
        <v>0</v>
      </c>
      <c r="CW240" s="90">
        <f t="shared" si="372"/>
        <v>0</v>
      </c>
      <c r="CX240" s="171">
        <f t="shared" si="373"/>
        <v>0</v>
      </c>
      <c r="CY240" s="170">
        <f t="shared" si="324"/>
        <v>0</v>
      </c>
      <c r="CZ240" s="168">
        <f t="shared" si="325"/>
        <v>0</v>
      </c>
      <c r="DA240" s="172">
        <f t="shared" si="327"/>
        <v>0</v>
      </c>
      <c r="DB240" s="173">
        <f t="shared" si="328"/>
        <v>0</v>
      </c>
      <c r="DC240" s="172">
        <f t="shared" si="347"/>
        <v>0</v>
      </c>
      <c r="DD240" s="172">
        <f t="shared" si="347"/>
        <v>0</v>
      </c>
      <c r="DE240" s="172">
        <f t="shared" si="347"/>
        <v>0</v>
      </c>
      <c r="DF240" s="172">
        <f t="shared" si="330"/>
        <v>0</v>
      </c>
      <c r="DG240" s="136"/>
      <c r="DH240" s="136"/>
      <c r="DI240" s="3"/>
      <c r="DJ240" s="294"/>
      <c r="DK240" s="294"/>
      <c r="DL240" s="8"/>
      <c r="DM240" s="8"/>
      <c r="DN240" s="340" t="s">
        <v>455</v>
      </c>
      <c r="DO240" s="405">
        <f>D226/5/60*1000</f>
        <v>0</v>
      </c>
      <c r="DP240" s="8" t="s">
        <v>456</v>
      </c>
      <c r="DQ240" s="3"/>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row>
    <row r="241" spans="1:155" s="566" customFormat="1" ht="15" customHeight="1">
      <c r="A241" s="51"/>
      <c r="B241" s="417"/>
      <c r="C241" s="386"/>
      <c r="D241" s="3"/>
      <c r="E241" s="27"/>
      <c r="F241" s="27"/>
      <c r="G241" s="27"/>
      <c r="H241" s="27"/>
      <c r="I241" s="27"/>
      <c r="J241" s="404"/>
      <c r="K241" s="307"/>
      <c r="L241" s="307"/>
      <c r="M241" s="307"/>
      <c r="N241" s="14" t="s">
        <v>457</v>
      </c>
      <c r="O241" s="14" t="b">
        <f>$D$230=N241</f>
        <v>0</v>
      </c>
      <c r="P241" s="14"/>
      <c r="Q241" s="14"/>
      <c r="R241" s="14"/>
      <c r="S241" s="14"/>
      <c r="T241" s="14"/>
      <c r="U241" s="14"/>
      <c r="V241" s="14"/>
      <c r="W241" s="14" t="s">
        <v>458</v>
      </c>
      <c r="X241" s="71" t="b">
        <f>$D$239=W241</f>
        <v>0</v>
      </c>
      <c r="Y241" s="14"/>
      <c r="Z241" s="14"/>
      <c r="AA241" s="14"/>
      <c r="AB241" s="14"/>
      <c r="AC241" s="14"/>
      <c r="AD241" s="14"/>
      <c r="AE241" s="14"/>
      <c r="AF241" s="14"/>
      <c r="AG241" s="14"/>
      <c r="AH241" s="14"/>
      <c r="AI241" s="14"/>
      <c r="AJ241" s="14"/>
      <c r="AK241" s="14"/>
      <c r="AL241" s="14"/>
      <c r="AM241" s="14"/>
      <c r="AN241" s="14"/>
      <c r="AO241" s="14"/>
      <c r="AP241" s="14"/>
      <c r="AQ241" s="293"/>
      <c r="AR241" s="14"/>
      <c r="AS241" s="14"/>
      <c r="AT241" s="14"/>
      <c r="AU241" s="14"/>
      <c r="AV241" s="14"/>
      <c r="AW241" s="14"/>
      <c r="AX241" s="14"/>
      <c r="AY241" s="14"/>
      <c r="AZ241" s="14"/>
      <c r="BA241" s="14"/>
      <c r="BB241" s="14"/>
      <c r="BC241" s="14"/>
      <c r="BD241" s="3"/>
      <c r="BE241" s="165" t="s">
        <v>18</v>
      </c>
      <c r="BF241" s="23">
        <v>22</v>
      </c>
      <c r="BG241" s="23">
        <v>10</v>
      </c>
      <c r="BH241" s="23">
        <v>2</v>
      </c>
      <c r="BI241" s="90" t="b">
        <f t="shared" si="326"/>
        <v>1</v>
      </c>
      <c r="BJ241" s="46" t="b">
        <f t="shared" si="348"/>
        <v>0</v>
      </c>
      <c r="BK241" s="166">
        <f t="shared" si="349"/>
        <v>0</v>
      </c>
      <c r="BL241" s="175">
        <f>IF(SUM(BL$232:BL240,BK241)&gt;$BQ$4,0,BK241)</f>
        <v>0</v>
      </c>
      <c r="BM241" s="23">
        <f t="shared" si="311"/>
        <v>0</v>
      </c>
      <c r="BN241" s="90">
        <f t="shared" si="312"/>
        <v>0</v>
      </c>
      <c r="BO241" s="24">
        <f t="shared" si="332"/>
        <v>0</v>
      </c>
      <c r="BP241" s="349">
        <f t="shared" si="350"/>
        <v>0</v>
      </c>
      <c r="BQ241" s="171">
        <f t="shared" si="351"/>
        <v>0</v>
      </c>
      <c r="BR241" s="170">
        <f t="shared" si="313"/>
        <v>0</v>
      </c>
      <c r="BS241" s="168">
        <f t="shared" si="352"/>
        <v>0</v>
      </c>
      <c r="BT241" s="171">
        <f t="shared" si="353"/>
        <v>0</v>
      </c>
      <c r="BU241" s="170">
        <f t="shared" si="314"/>
        <v>0</v>
      </c>
      <c r="BV241" s="168">
        <f t="shared" si="354"/>
        <v>0</v>
      </c>
      <c r="BW241" s="171">
        <f t="shared" si="355"/>
        <v>0</v>
      </c>
      <c r="BX241" s="170">
        <f t="shared" si="315"/>
        <v>0</v>
      </c>
      <c r="BY241" s="168">
        <f t="shared" si="356"/>
        <v>0</v>
      </c>
      <c r="BZ241" s="171">
        <f t="shared" si="357"/>
        <v>0</v>
      </c>
      <c r="CA241" s="170">
        <f t="shared" si="316"/>
        <v>0</v>
      </c>
      <c r="CB241" s="90">
        <f t="shared" si="358"/>
        <v>0</v>
      </c>
      <c r="CC241" s="171">
        <f t="shared" si="359"/>
        <v>0</v>
      </c>
      <c r="CD241" s="170">
        <f t="shared" si="317"/>
        <v>0</v>
      </c>
      <c r="CE241" s="90">
        <f t="shared" si="360"/>
        <v>0</v>
      </c>
      <c r="CF241" s="171">
        <f t="shared" si="361"/>
        <v>0</v>
      </c>
      <c r="CG241" s="170">
        <f t="shared" si="318"/>
        <v>0</v>
      </c>
      <c r="CH241" s="90">
        <f t="shared" si="362"/>
        <v>0</v>
      </c>
      <c r="CI241" s="171">
        <f t="shared" si="363"/>
        <v>0</v>
      </c>
      <c r="CJ241" s="170">
        <f t="shared" si="319"/>
        <v>0</v>
      </c>
      <c r="CK241" s="90">
        <f t="shared" si="364"/>
        <v>0</v>
      </c>
      <c r="CL241" s="171">
        <f t="shared" si="365"/>
        <v>0</v>
      </c>
      <c r="CM241" s="170">
        <f t="shared" si="320"/>
        <v>0</v>
      </c>
      <c r="CN241" s="90">
        <f t="shared" si="366"/>
        <v>0</v>
      </c>
      <c r="CO241" s="171">
        <f t="shared" si="367"/>
        <v>0</v>
      </c>
      <c r="CP241" s="170">
        <f t="shared" si="321"/>
        <v>0</v>
      </c>
      <c r="CQ241" s="90">
        <f t="shared" si="368"/>
        <v>0</v>
      </c>
      <c r="CR241" s="171">
        <f t="shared" si="369"/>
        <v>0</v>
      </c>
      <c r="CS241" s="170">
        <f t="shared" si="322"/>
        <v>0</v>
      </c>
      <c r="CT241" s="90">
        <f t="shared" si="370"/>
        <v>0</v>
      </c>
      <c r="CU241" s="171">
        <f t="shared" si="371"/>
        <v>0</v>
      </c>
      <c r="CV241" s="170">
        <f t="shared" si="323"/>
        <v>0</v>
      </c>
      <c r="CW241" s="90">
        <f t="shared" si="372"/>
        <v>0</v>
      </c>
      <c r="CX241" s="171">
        <f t="shared" si="373"/>
        <v>0</v>
      </c>
      <c r="CY241" s="170">
        <f t="shared" si="324"/>
        <v>0</v>
      </c>
      <c r="CZ241" s="168">
        <f t="shared" si="325"/>
        <v>0</v>
      </c>
      <c r="DA241" s="172">
        <f t="shared" si="327"/>
        <v>0</v>
      </c>
      <c r="DB241" s="173">
        <f t="shared" si="328"/>
        <v>0</v>
      </c>
      <c r="DC241" s="172">
        <f t="shared" si="347"/>
        <v>0</v>
      </c>
      <c r="DD241" s="172">
        <f t="shared" si="347"/>
        <v>0</v>
      </c>
      <c r="DE241" s="172">
        <f t="shared" si="347"/>
        <v>0</v>
      </c>
      <c r="DF241" s="172">
        <f t="shared" si="330"/>
        <v>0</v>
      </c>
      <c r="DG241" s="136"/>
      <c r="DH241" s="136"/>
      <c r="DI241" s="3"/>
      <c r="DJ241" s="676" t="s">
        <v>459</v>
      </c>
      <c r="DK241" s="677"/>
      <c r="DL241" s="414" t="s">
        <v>460</v>
      </c>
      <c r="DM241" s="8"/>
      <c r="DN241" s="340" t="s">
        <v>461</v>
      </c>
      <c r="DO241" s="363">
        <v>2.5</v>
      </c>
      <c r="DP241" s="8"/>
      <c r="DQ241" s="3"/>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row>
    <row r="242" spans="1:155" s="566" customFormat="1" ht="15" customHeight="1">
      <c r="A242" s="51"/>
      <c r="B242" s="417"/>
      <c r="C242" s="27"/>
      <c r="D242" s="27"/>
      <c r="E242" s="322" t="s">
        <v>462</v>
      </c>
      <c r="F242" s="27"/>
      <c r="G242" s="27"/>
      <c r="H242" s="27"/>
      <c r="I242" s="27"/>
      <c r="J242" s="404"/>
      <c r="K242" s="307"/>
      <c r="L242" s="307"/>
      <c r="M242" s="307"/>
      <c r="N242" s="14" t="s">
        <v>463</v>
      </c>
      <c r="O242" s="14" t="b">
        <f>$D$230=N242</f>
        <v>1</v>
      </c>
      <c r="P242" s="14"/>
      <c r="Q242" s="14"/>
      <c r="R242" s="14"/>
      <c r="S242" s="14"/>
      <c r="T242" s="14"/>
      <c r="U242" s="14"/>
      <c r="V242" s="14"/>
      <c r="W242" s="14" t="s">
        <v>464</v>
      </c>
      <c r="X242" s="71" t="b">
        <f>$D$239=W242</f>
        <v>1</v>
      </c>
      <c r="Y242" s="14"/>
      <c r="Z242" s="14"/>
      <c r="AA242" s="14"/>
      <c r="AB242" s="14"/>
      <c r="AC242" s="14"/>
      <c r="AD242" s="14"/>
      <c r="AE242" s="14"/>
      <c r="AF242" s="14"/>
      <c r="AG242" s="14"/>
      <c r="AH242" s="14"/>
      <c r="AI242" s="14"/>
      <c r="AJ242" s="14"/>
      <c r="AK242" s="14"/>
      <c r="AL242" s="14"/>
      <c r="AM242" s="14"/>
      <c r="AN242" s="14"/>
      <c r="AO242" s="14"/>
      <c r="AP242" s="14"/>
      <c r="AQ242" s="293"/>
      <c r="AR242" s="14"/>
      <c r="AS242" s="14"/>
      <c r="AT242" s="14"/>
      <c r="AU242" s="14"/>
      <c r="AV242" s="14"/>
      <c r="AW242" s="14"/>
      <c r="AX242" s="14"/>
      <c r="AY242" s="14"/>
      <c r="AZ242" s="14"/>
      <c r="BA242" s="14"/>
      <c r="BB242" s="14"/>
      <c r="BC242" s="14"/>
      <c r="BD242" s="3"/>
      <c r="BE242" s="165" t="s">
        <v>18</v>
      </c>
      <c r="BF242" s="23">
        <v>22</v>
      </c>
      <c r="BG242" s="23">
        <v>11</v>
      </c>
      <c r="BH242" s="23">
        <v>3</v>
      </c>
      <c r="BI242" s="90" t="b">
        <f t="shared" si="326"/>
        <v>1</v>
      </c>
      <c r="BJ242" s="46" t="b">
        <f t="shared" si="348"/>
        <v>0</v>
      </c>
      <c r="BK242" s="166">
        <f t="shared" si="349"/>
        <v>0</v>
      </c>
      <c r="BL242" s="175">
        <f>IF(SUM(BL$232:BL241,BK242)&gt;$BQ$4,0,BK242)</f>
        <v>0</v>
      </c>
      <c r="BM242" s="23">
        <f t="shared" si="311"/>
        <v>0</v>
      </c>
      <c r="BN242" s="90">
        <f t="shared" si="312"/>
        <v>0</v>
      </c>
      <c r="BO242" s="24">
        <f t="shared" si="332"/>
        <v>0</v>
      </c>
      <c r="BP242" s="349">
        <f t="shared" si="350"/>
        <v>0</v>
      </c>
      <c r="BQ242" s="171">
        <f t="shared" si="351"/>
        <v>0</v>
      </c>
      <c r="BR242" s="170">
        <f t="shared" si="313"/>
        <v>0</v>
      </c>
      <c r="BS242" s="168">
        <f t="shared" si="352"/>
        <v>0</v>
      </c>
      <c r="BT242" s="171">
        <f t="shared" si="353"/>
        <v>0</v>
      </c>
      <c r="BU242" s="170">
        <f t="shared" si="314"/>
        <v>0</v>
      </c>
      <c r="BV242" s="168">
        <f t="shared" si="354"/>
        <v>0</v>
      </c>
      <c r="BW242" s="171">
        <f t="shared" si="355"/>
        <v>0</v>
      </c>
      <c r="BX242" s="170">
        <f t="shared" si="315"/>
        <v>0</v>
      </c>
      <c r="BY242" s="168">
        <f t="shared" si="356"/>
        <v>0</v>
      </c>
      <c r="BZ242" s="171">
        <f t="shared" si="357"/>
        <v>0</v>
      </c>
      <c r="CA242" s="170">
        <f t="shared" si="316"/>
        <v>0</v>
      </c>
      <c r="CB242" s="90">
        <f t="shared" si="358"/>
        <v>0</v>
      </c>
      <c r="CC242" s="171">
        <f t="shared" si="359"/>
        <v>0</v>
      </c>
      <c r="CD242" s="170">
        <f t="shared" si="317"/>
        <v>0</v>
      </c>
      <c r="CE242" s="90">
        <f t="shared" si="360"/>
        <v>0</v>
      </c>
      <c r="CF242" s="171">
        <f t="shared" si="361"/>
        <v>0</v>
      </c>
      <c r="CG242" s="170">
        <f t="shared" si="318"/>
        <v>0</v>
      </c>
      <c r="CH242" s="90">
        <f t="shared" si="362"/>
        <v>0</v>
      </c>
      <c r="CI242" s="171">
        <f t="shared" si="363"/>
        <v>0</v>
      </c>
      <c r="CJ242" s="170">
        <f t="shared" si="319"/>
        <v>0</v>
      </c>
      <c r="CK242" s="90">
        <f t="shared" si="364"/>
        <v>0</v>
      </c>
      <c r="CL242" s="171">
        <f t="shared" si="365"/>
        <v>0</v>
      </c>
      <c r="CM242" s="170">
        <f t="shared" si="320"/>
        <v>0</v>
      </c>
      <c r="CN242" s="90">
        <f t="shared" si="366"/>
        <v>0</v>
      </c>
      <c r="CO242" s="171">
        <f t="shared" si="367"/>
        <v>0</v>
      </c>
      <c r="CP242" s="170">
        <f t="shared" si="321"/>
        <v>0</v>
      </c>
      <c r="CQ242" s="90">
        <f t="shared" si="368"/>
        <v>0</v>
      </c>
      <c r="CR242" s="171">
        <f t="shared" si="369"/>
        <v>0</v>
      </c>
      <c r="CS242" s="170">
        <f t="shared" si="322"/>
        <v>0</v>
      </c>
      <c r="CT242" s="90">
        <f t="shared" si="370"/>
        <v>0</v>
      </c>
      <c r="CU242" s="171">
        <f t="shared" si="371"/>
        <v>0</v>
      </c>
      <c r="CV242" s="170">
        <f t="shared" si="323"/>
        <v>0</v>
      </c>
      <c r="CW242" s="90">
        <f t="shared" si="372"/>
        <v>0</v>
      </c>
      <c r="CX242" s="171">
        <f t="shared" si="373"/>
        <v>0</v>
      </c>
      <c r="CY242" s="170">
        <f t="shared" si="324"/>
        <v>0</v>
      </c>
      <c r="CZ242" s="168">
        <f t="shared" si="325"/>
        <v>0</v>
      </c>
      <c r="DA242" s="172">
        <f t="shared" si="327"/>
        <v>0</v>
      </c>
      <c r="DB242" s="173">
        <f t="shared" si="328"/>
        <v>0</v>
      </c>
      <c r="DC242" s="172">
        <f t="shared" si="347"/>
        <v>0</v>
      </c>
      <c r="DD242" s="172">
        <f t="shared" si="347"/>
        <v>0</v>
      </c>
      <c r="DE242" s="172">
        <f t="shared" si="347"/>
        <v>0</v>
      </c>
      <c r="DF242" s="172">
        <f>IF(DA242-(DE241+CZ242)&lt;0,0,DA242-(DE241+CZ242))</f>
        <v>0</v>
      </c>
      <c r="DG242" s="136"/>
      <c r="DH242" s="136"/>
      <c r="DI242" s="3"/>
      <c r="DJ242" s="678" t="s">
        <v>465</v>
      </c>
      <c r="DK242" s="679"/>
      <c r="DL242" s="418">
        <v>100</v>
      </c>
      <c r="DM242" s="8"/>
      <c r="DN242" s="340" t="s">
        <v>466</v>
      </c>
      <c r="DO242" s="405">
        <f>DN229</f>
        <v>36.5</v>
      </c>
      <c r="DP242" s="8"/>
      <c r="DQ242" s="3"/>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row>
    <row r="243" spans="1:155" s="566" customFormat="1" ht="15" customHeight="1">
      <c r="A243" s="51"/>
      <c r="B243" s="670" t="s">
        <v>467</v>
      </c>
      <c r="C243" s="680"/>
      <c r="D243" s="27"/>
      <c r="E243" s="195">
        <f>DO240*DO241*DO242/1000*O239</f>
        <v>0</v>
      </c>
      <c r="F243" s="27"/>
      <c r="G243" s="27"/>
      <c r="H243" s="27"/>
      <c r="I243" s="27"/>
      <c r="J243" s="404"/>
      <c r="K243" s="307"/>
      <c r="L243" s="307"/>
      <c r="M243" s="307"/>
      <c r="N243" s="14" t="s">
        <v>468</v>
      </c>
      <c r="O243" s="14" t="b">
        <f>N243=$D$232</f>
        <v>0</v>
      </c>
      <c r="P243" s="14"/>
      <c r="Q243" s="14"/>
      <c r="R243" s="14"/>
      <c r="S243" s="14"/>
      <c r="T243" s="14"/>
      <c r="U243" s="14"/>
      <c r="V243" s="14"/>
      <c r="W243" s="14" t="s">
        <v>469</v>
      </c>
      <c r="X243" s="71" t="b">
        <f>D240="Yes"</f>
        <v>1</v>
      </c>
      <c r="Y243" s="14"/>
      <c r="Z243" s="14"/>
      <c r="AA243" s="14"/>
      <c r="AB243" s="14"/>
      <c r="AC243" s="14"/>
      <c r="AD243" s="14"/>
      <c r="AE243" s="14"/>
      <c r="AF243" s="14"/>
      <c r="AG243" s="14"/>
      <c r="AH243" s="14"/>
      <c r="AI243" s="14"/>
      <c r="AJ243" s="14"/>
      <c r="AK243" s="14"/>
      <c r="AL243" s="14"/>
      <c r="AM243" s="14"/>
      <c r="AN243" s="14"/>
      <c r="AO243" s="14"/>
      <c r="AP243" s="14"/>
      <c r="AQ243" s="293"/>
      <c r="AR243" s="14"/>
      <c r="AS243" s="14"/>
      <c r="AT243" s="14"/>
      <c r="AU243" s="14"/>
      <c r="AV243" s="14"/>
      <c r="AW243" s="14"/>
      <c r="AX243" s="14"/>
      <c r="AY243" s="14"/>
      <c r="AZ243" s="14"/>
      <c r="BA243" s="14"/>
      <c r="BB243" s="14"/>
      <c r="BC243" s="14"/>
      <c r="BD243" s="3"/>
      <c r="BE243" s="165" t="s">
        <v>18</v>
      </c>
      <c r="BF243" s="23">
        <v>22</v>
      </c>
      <c r="BG243" s="23">
        <v>12</v>
      </c>
      <c r="BH243" s="23">
        <v>4</v>
      </c>
      <c r="BI243" s="90" t="b">
        <f t="shared" si="326"/>
        <v>1</v>
      </c>
      <c r="BJ243" s="46" t="b">
        <f t="shared" si="348"/>
        <v>0</v>
      </c>
      <c r="BK243" s="166">
        <f t="shared" si="349"/>
        <v>0</v>
      </c>
      <c r="BL243" s="175">
        <f>IF(SUM(BL$232:BL242,BK243)&gt;$BQ$4,0,BK243)</f>
        <v>0</v>
      </c>
      <c r="BM243" s="23">
        <f t="shared" si="311"/>
        <v>0</v>
      </c>
      <c r="BN243" s="90">
        <f t="shared" si="312"/>
        <v>0</v>
      </c>
      <c r="BO243" s="24">
        <f t="shared" si="332"/>
        <v>0</v>
      </c>
      <c r="BP243" s="349">
        <f t="shared" si="350"/>
        <v>0</v>
      </c>
      <c r="BQ243" s="171">
        <f t="shared" si="351"/>
        <v>0</v>
      </c>
      <c r="BR243" s="170">
        <f t="shared" si="313"/>
        <v>0</v>
      </c>
      <c r="BS243" s="168">
        <f t="shared" si="352"/>
        <v>0</v>
      </c>
      <c r="BT243" s="171">
        <f t="shared" si="353"/>
        <v>0</v>
      </c>
      <c r="BU243" s="170">
        <f t="shared" si="314"/>
        <v>0</v>
      </c>
      <c r="BV243" s="168">
        <f t="shared" si="354"/>
        <v>0</v>
      </c>
      <c r="BW243" s="171">
        <f t="shared" si="355"/>
        <v>0</v>
      </c>
      <c r="BX243" s="170">
        <f t="shared" si="315"/>
        <v>0</v>
      </c>
      <c r="BY243" s="168">
        <f t="shared" si="356"/>
        <v>0</v>
      </c>
      <c r="BZ243" s="171">
        <f t="shared" si="357"/>
        <v>0</v>
      </c>
      <c r="CA243" s="170">
        <f t="shared" si="316"/>
        <v>0</v>
      </c>
      <c r="CB243" s="90">
        <f t="shared" si="358"/>
        <v>0</v>
      </c>
      <c r="CC243" s="171">
        <f t="shared" si="359"/>
        <v>0</v>
      </c>
      <c r="CD243" s="170">
        <f t="shared" si="317"/>
        <v>0</v>
      </c>
      <c r="CE243" s="90">
        <f t="shared" si="360"/>
        <v>0</v>
      </c>
      <c r="CF243" s="171">
        <f t="shared" si="361"/>
        <v>0</v>
      </c>
      <c r="CG243" s="170">
        <f t="shared" si="318"/>
        <v>0</v>
      </c>
      <c r="CH243" s="90">
        <f t="shared" si="362"/>
        <v>0</v>
      </c>
      <c r="CI243" s="171">
        <f t="shared" si="363"/>
        <v>0</v>
      </c>
      <c r="CJ243" s="170">
        <f t="shared" si="319"/>
        <v>0</v>
      </c>
      <c r="CK243" s="90">
        <f t="shared" si="364"/>
        <v>0</v>
      </c>
      <c r="CL243" s="171">
        <f t="shared" si="365"/>
        <v>0</v>
      </c>
      <c r="CM243" s="170">
        <f t="shared" si="320"/>
        <v>0</v>
      </c>
      <c r="CN243" s="90">
        <f t="shared" si="366"/>
        <v>0</v>
      </c>
      <c r="CO243" s="171">
        <f t="shared" si="367"/>
        <v>0</v>
      </c>
      <c r="CP243" s="170">
        <f t="shared" si="321"/>
        <v>0</v>
      </c>
      <c r="CQ243" s="90">
        <f t="shared" si="368"/>
        <v>0</v>
      </c>
      <c r="CR243" s="171">
        <f t="shared" si="369"/>
        <v>0</v>
      </c>
      <c r="CS243" s="170">
        <f t="shared" si="322"/>
        <v>0</v>
      </c>
      <c r="CT243" s="90">
        <f t="shared" si="370"/>
        <v>0</v>
      </c>
      <c r="CU243" s="171">
        <f t="shared" si="371"/>
        <v>0</v>
      </c>
      <c r="CV243" s="170">
        <f t="shared" si="323"/>
        <v>0</v>
      </c>
      <c r="CW243" s="90">
        <f t="shared" si="372"/>
        <v>0</v>
      </c>
      <c r="CX243" s="171">
        <f t="shared" si="373"/>
        <v>0</v>
      </c>
      <c r="CY243" s="170">
        <f t="shared" si="324"/>
        <v>0</v>
      </c>
      <c r="CZ243" s="168">
        <f t="shared" si="325"/>
        <v>0</v>
      </c>
      <c r="DA243" s="172">
        <f t="shared" si="327"/>
        <v>0</v>
      </c>
      <c r="DB243" s="173">
        <f t="shared" si="328"/>
        <v>0</v>
      </c>
      <c r="DC243" s="172">
        <f t="shared" si="347"/>
        <v>0</v>
      </c>
      <c r="DD243" s="172">
        <f t="shared" si="347"/>
        <v>0</v>
      </c>
      <c r="DE243" s="172">
        <f t="shared" si="347"/>
        <v>0</v>
      </c>
      <c r="DF243" s="172">
        <f t="shared" si="330"/>
        <v>0</v>
      </c>
      <c r="DG243" s="136"/>
      <c r="DH243" s="136"/>
      <c r="DI243" s="3"/>
      <c r="DJ243" s="8"/>
      <c r="DK243" s="8"/>
      <c r="DL243" s="8"/>
      <c r="DM243" s="8"/>
      <c r="DN243" s="8"/>
      <c r="DO243" s="8"/>
      <c r="DP243" s="8"/>
      <c r="DQ243" s="3"/>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row>
    <row r="244" spans="1:155" s="566" customFormat="1" ht="15" customHeight="1">
      <c r="A244" s="221"/>
      <c r="B244" s="670" t="s">
        <v>470</v>
      </c>
      <c r="C244" s="680"/>
      <c r="D244" s="27"/>
      <c r="E244" s="195">
        <f>AE237*O239</f>
        <v>0</v>
      </c>
      <c r="F244" s="27"/>
      <c r="G244" s="27"/>
      <c r="H244" s="27"/>
      <c r="I244" s="27"/>
      <c r="J244" s="404"/>
      <c r="K244" s="307"/>
      <c r="L244" s="307"/>
      <c r="M244" s="307"/>
      <c r="N244" s="14" t="s">
        <v>430</v>
      </c>
      <c r="O244" s="14" t="b">
        <f>N244=$D$232</f>
        <v>1</v>
      </c>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293"/>
      <c r="AR244" s="14"/>
      <c r="AS244" s="14"/>
      <c r="AT244" s="14"/>
      <c r="AU244" s="14"/>
      <c r="AV244" s="14"/>
      <c r="AW244" s="14"/>
      <c r="AX244" s="14"/>
      <c r="AY244" s="14"/>
      <c r="AZ244" s="14"/>
      <c r="BA244" s="14"/>
      <c r="BB244" s="14"/>
      <c r="BC244" s="14"/>
      <c r="BD244" s="70"/>
      <c r="BE244" s="165" t="s">
        <v>18</v>
      </c>
      <c r="BF244" s="23">
        <v>22</v>
      </c>
      <c r="BG244" s="23">
        <v>13</v>
      </c>
      <c r="BH244" s="23">
        <v>5</v>
      </c>
      <c r="BI244" s="90" t="b">
        <f t="shared" si="326"/>
        <v>1</v>
      </c>
      <c r="BJ244" s="46" t="b">
        <f t="shared" si="348"/>
        <v>0</v>
      </c>
      <c r="BK244" s="166">
        <f t="shared" si="349"/>
        <v>0</v>
      </c>
      <c r="BL244" s="175">
        <f>IF(SUM(BL$232:BL243,BK244)&gt;$BQ$4,0,BK244)</f>
        <v>0</v>
      </c>
      <c r="BM244" s="23">
        <f t="shared" si="311"/>
        <v>0</v>
      </c>
      <c r="BN244" s="90">
        <f t="shared" si="312"/>
        <v>0</v>
      </c>
      <c r="BO244" s="24">
        <f t="shared" si="332"/>
        <v>0</v>
      </c>
      <c r="BP244" s="349">
        <f t="shared" si="350"/>
        <v>0</v>
      </c>
      <c r="BQ244" s="171">
        <f t="shared" si="351"/>
        <v>0</v>
      </c>
      <c r="BR244" s="170">
        <f t="shared" si="313"/>
        <v>0</v>
      </c>
      <c r="BS244" s="168">
        <f t="shared" si="352"/>
        <v>0</v>
      </c>
      <c r="BT244" s="171">
        <f t="shared" si="353"/>
        <v>0</v>
      </c>
      <c r="BU244" s="170">
        <f t="shared" si="314"/>
        <v>0</v>
      </c>
      <c r="BV244" s="168">
        <f t="shared" si="354"/>
        <v>0</v>
      </c>
      <c r="BW244" s="171">
        <f t="shared" si="355"/>
        <v>0</v>
      </c>
      <c r="BX244" s="170">
        <f t="shared" si="315"/>
        <v>0</v>
      </c>
      <c r="BY244" s="168">
        <f t="shared" si="356"/>
        <v>0</v>
      </c>
      <c r="BZ244" s="171">
        <f t="shared" si="357"/>
        <v>0</v>
      </c>
      <c r="CA244" s="170">
        <f t="shared" si="316"/>
        <v>0</v>
      </c>
      <c r="CB244" s="90">
        <f t="shared" si="358"/>
        <v>0</v>
      </c>
      <c r="CC244" s="171">
        <f t="shared" si="359"/>
        <v>0</v>
      </c>
      <c r="CD244" s="170">
        <f t="shared" si="317"/>
        <v>0</v>
      </c>
      <c r="CE244" s="90">
        <f t="shared" si="360"/>
        <v>0</v>
      </c>
      <c r="CF244" s="171">
        <f t="shared" si="361"/>
        <v>0</v>
      </c>
      <c r="CG244" s="170">
        <f t="shared" si="318"/>
        <v>0</v>
      </c>
      <c r="CH244" s="90">
        <f t="shared" si="362"/>
        <v>0</v>
      </c>
      <c r="CI244" s="171">
        <f t="shared" si="363"/>
        <v>0</v>
      </c>
      <c r="CJ244" s="170">
        <f t="shared" si="319"/>
        <v>0</v>
      </c>
      <c r="CK244" s="90">
        <f t="shared" si="364"/>
        <v>0</v>
      </c>
      <c r="CL244" s="171">
        <f t="shared" si="365"/>
        <v>0</v>
      </c>
      <c r="CM244" s="170">
        <f t="shared" si="320"/>
        <v>0</v>
      </c>
      <c r="CN244" s="90">
        <f t="shared" si="366"/>
        <v>0</v>
      </c>
      <c r="CO244" s="171">
        <f t="shared" si="367"/>
        <v>0</v>
      </c>
      <c r="CP244" s="170">
        <f t="shared" si="321"/>
        <v>0</v>
      </c>
      <c r="CQ244" s="90">
        <f t="shared" si="368"/>
        <v>0</v>
      </c>
      <c r="CR244" s="171">
        <f t="shared" si="369"/>
        <v>0</v>
      </c>
      <c r="CS244" s="170">
        <f t="shared" si="322"/>
        <v>0</v>
      </c>
      <c r="CT244" s="90">
        <f t="shared" si="370"/>
        <v>0</v>
      </c>
      <c r="CU244" s="171">
        <f t="shared" si="371"/>
        <v>0</v>
      </c>
      <c r="CV244" s="170">
        <f t="shared" si="323"/>
        <v>0</v>
      </c>
      <c r="CW244" s="90">
        <f t="shared" si="372"/>
        <v>0</v>
      </c>
      <c r="CX244" s="171">
        <f t="shared" si="373"/>
        <v>0</v>
      </c>
      <c r="CY244" s="170">
        <f t="shared" si="324"/>
        <v>0</v>
      </c>
      <c r="CZ244" s="168">
        <f t="shared" si="325"/>
        <v>0</v>
      </c>
      <c r="DA244" s="172">
        <f t="shared" si="327"/>
        <v>0</v>
      </c>
      <c r="DB244" s="173">
        <f t="shared" si="328"/>
        <v>0</v>
      </c>
      <c r="DC244" s="172">
        <f t="shared" si="347"/>
        <v>0</v>
      </c>
      <c r="DD244" s="172">
        <f t="shared" si="347"/>
        <v>0</v>
      </c>
      <c r="DE244" s="172">
        <f t="shared" si="347"/>
        <v>0</v>
      </c>
      <c r="DF244" s="172">
        <f t="shared" si="330"/>
        <v>0</v>
      </c>
      <c r="DG244" s="136"/>
      <c r="DH244" s="136"/>
      <c r="DI244" s="3"/>
      <c r="DJ244" s="382" t="s">
        <v>471</v>
      </c>
      <c r="DK244" s="415"/>
      <c r="DL244" s="382" t="s">
        <v>472</v>
      </c>
      <c r="DM244" s="383"/>
      <c r="DN244" s="415"/>
      <c r="DO244" s="8"/>
      <c r="DP244" s="8"/>
      <c r="DQ244" s="3"/>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row>
    <row r="245" spans="1:155" s="566" customFormat="1" ht="17.25" customHeight="1">
      <c r="A245" s="51"/>
      <c r="B245" s="670" t="s">
        <v>473</v>
      </c>
      <c r="C245" s="670"/>
      <c r="D245" s="27"/>
      <c r="E245" s="273">
        <f>E243+E244</f>
        <v>0</v>
      </c>
      <c r="F245" s="27"/>
      <c r="G245" s="27"/>
      <c r="H245" s="27"/>
      <c r="I245" s="27"/>
      <c r="J245" s="404"/>
      <c r="K245" s="307"/>
      <c r="L245" s="307"/>
      <c r="M245" s="307"/>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293"/>
      <c r="AR245" s="14"/>
      <c r="AS245" s="14"/>
      <c r="AT245" s="14"/>
      <c r="AU245" s="14"/>
      <c r="AV245" s="14"/>
      <c r="AW245" s="14"/>
      <c r="AX245" s="14"/>
      <c r="AY245" s="14"/>
      <c r="AZ245" s="14"/>
      <c r="BA245" s="14"/>
      <c r="BB245" s="14"/>
      <c r="BC245" s="14"/>
      <c r="BD245" s="70"/>
      <c r="BE245" s="165" t="s">
        <v>18</v>
      </c>
      <c r="BF245" s="23">
        <v>22</v>
      </c>
      <c r="BG245" s="23">
        <v>14</v>
      </c>
      <c r="BH245" s="23">
        <v>6</v>
      </c>
      <c r="BI245" s="90" t="b">
        <f t="shared" si="326"/>
        <v>0</v>
      </c>
      <c r="BJ245" s="46" t="b">
        <f t="shared" si="348"/>
        <v>0</v>
      </c>
      <c r="BK245" s="166">
        <f t="shared" si="349"/>
        <v>0</v>
      </c>
      <c r="BL245" s="175">
        <f>IF(SUM(BL$232:BL244,BK245)&gt;$BQ$4,0,BK245)</f>
        <v>0</v>
      </c>
      <c r="BM245" s="23">
        <f t="shared" si="311"/>
        <v>0</v>
      </c>
      <c r="BN245" s="90">
        <f t="shared" si="312"/>
        <v>0</v>
      </c>
      <c r="BO245" s="24">
        <f t="shared" si="332"/>
        <v>0</v>
      </c>
      <c r="BP245" s="349">
        <f t="shared" si="350"/>
        <v>0</v>
      </c>
      <c r="BQ245" s="171">
        <f t="shared" si="351"/>
        <v>0</v>
      </c>
      <c r="BR245" s="170">
        <f t="shared" si="313"/>
        <v>0</v>
      </c>
      <c r="BS245" s="168">
        <f t="shared" si="352"/>
        <v>0</v>
      </c>
      <c r="BT245" s="171">
        <f t="shared" si="353"/>
        <v>0</v>
      </c>
      <c r="BU245" s="170">
        <f t="shared" si="314"/>
        <v>0</v>
      </c>
      <c r="BV245" s="168">
        <f t="shared" si="354"/>
        <v>0</v>
      </c>
      <c r="BW245" s="171">
        <f t="shared" si="355"/>
        <v>0</v>
      </c>
      <c r="BX245" s="170">
        <f t="shared" si="315"/>
        <v>0</v>
      </c>
      <c r="BY245" s="168">
        <f t="shared" si="356"/>
        <v>0</v>
      </c>
      <c r="BZ245" s="171">
        <f t="shared" si="357"/>
        <v>0</v>
      </c>
      <c r="CA245" s="170">
        <f t="shared" si="316"/>
        <v>0</v>
      </c>
      <c r="CB245" s="90">
        <f t="shared" si="358"/>
        <v>0</v>
      </c>
      <c r="CC245" s="171">
        <f t="shared" si="359"/>
        <v>0</v>
      </c>
      <c r="CD245" s="170">
        <f t="shared" si="317"/>
        <v>0</v>
      </c>
      <c r="CE245" s="90">
        <f t="shared" si="360"/>
        <v>0</v>
      </c>
      <c r="CF245" s="171">
        <f t="shared" si="361"/>
        <v>0</v>
      </c>
      <c r="CG245" s="170">
        <f t="shared" si="318"/>
        <v>0</v>
      </c>
      <c r="CH245" s="90">
        <f t="shared" si="362"/>
        <v>0</v>
      </c>
      <c r="CI245" s="171">
        <f t="shared" si="363"/>
        <v>0</v>
      </c>
      <c r="CJ245" s="170">
        <f t="shared" si="319"/>
        <v>0</v>
      </c>
      <c r="CK245" s="90">
        <f t="shared" si="364"/>
        <v>0</v>
      </c>
      <c r="CL245" s="171">
        <f t="shared" si="365"/>
        <v>0</v>
      </c>
      <c r="CM245" s="170">
        <f t="shared" si="320"/>
        <v>0</v>
      </c>
      <c r="CN245" s="90">
        <f t="shared" si="366"/>
        <v>0</v>
      </c>
      <c r="CO245" s="171">
        <f t="shared" si="367"/>
        <v>0</v>
      </c>
      <c r="CP245" s="170">
        <f t="shared" si="321"/>
        <v>0</v>
      </c>
      <c r="CQ245" s="90">
        <f t="shared" si="368"/>
        <v>0</v>
      </c>
      <c r="CR245" s="171">
        <f t="shared" si="369"/>
        <v>0</v>
      </c>
      <c r="CS245" s="170">
        <f t="shared" si="322"/>
        <v>0</v>
      </c>
      <c r="CT245" s="90">
        <f t="shared" si="370"/>
        <v>0</v>
      </c>
      <c r="CU245" s="171">
        <f t="shared" si="371"/>
        <v>0</v>
      </c>
      <c r="CV245" s="170">
        <f t="shared" si="323"/>
        <v>0</v>
      </c>
      <c r="CW245" s="90">
        <f t="shared" si="372"/>
        <v>0</v>
      </c>
      <c r="CX245" s="171">
        <f t="shared" si="373"/>
        <v>0</v>
      </c>
      <c r="CY245" s="170">
        <f t="shared" si="324"/>
        <v>0</v>
      </c>
      <c r="CZ245" s="168">
        <f t="shared" si="325"/>
        <v>0</v>
      </c>
      <c r="DA245" s="172">
        <f t="shared" si="327"/>
        <v>0</v>
      </c>
      <c r="DB245" s="173">
        <f t="shared" si="328"/>
        <v>0</v>
      </c>
      <c r="DC245" s="172">
        <f t="shared" ref="DC245:DE260" si="375">IF(DC244+$DB245&lt;0,0,IF(DC244+$DB245&gt;$F$405,$F$405,DC244+$DB245))</f>
        <v>0</v>
      </c>
      <c r="DD245" s="172">
        <f t="shared" si="375"/>
        <v>0</v>
      </c>
      <c r="DE245" s="172">
        <f t="shared" si="375"/>
        <v>0</v>
      </c>
      <c r="DF245" s="172">
        <f t="shared" si="330"/>
        <v>0</v>
      </c>
      <c r="DG245" s="136"/>
      <c r="DH245" s="136"/>
      <c r="DI245" s="3"/>
      <c r="DJ245" s="340" t="s">
        <v>450</v>
      </c>
      <c r="DK245" s="416">
        <v>0.4</v>
      </c>
      <c r="DL245" s="419" t="s">
        <v>474</v>
      </c>
      <c r="DM245" s="420"/>
      <c r="DN245" s="421"/>
      <c r="DO245" s="8"/>
      <c r="DP245" s="8"/>
      <c r="DQ245" s="3"/>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row>
    <row r="246" spans="1:155" s="566" customFormat="1" ht="15" customHeight="1">
      <c r="A246" s="422"/>
      <c r="B246" s="27"/>
      <c r="C246" s="27"/>
      <c r="D246" s="27"/>
      <c r="E246" s="27"/>
      <c r="F246" s="27"/>
      <c r="G246" s="27"/>
      <c r="H246" s="27"/>
      <c r="I246" s="27"/>
      <c r="J246" s="404"/>
      <c r="K246" s="307"/>
      <c r="L246" s="307"/>
      <c r="M246" s="307"/>
      <c r="N246" s="222" t="str">
        <f>B248</f>
        <v>Building Specific Major Water Uses - Laundry Facility Water Demand</v>
      </c>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70"/>
      <c r="BE246" s="165" t="s">
        <v>18</v>
      </c>
      <c r="BF246" s="23">
        <v>22</v>
      </c>
      <c r="BG246" s="23">
        <v>15</v>
      </c>
      <c r="BH246" s="23">
        <v>7</v>
      </c>
      <c r="BI246" s="90" t="b">
        <f t="shared" si="326"/>
        <v>0</v>
      </c>
      <c r="BJ246" s="46" t="b">
        <f t="shared" si="348"/>
        <v>0</v>
      </c>
      <c r="BK246" s="166">
        <f t="shared" si="349"/>
        <v>0</v>
      </c>
      <c r="BL246" s="175">
        <f>IF(SUM(BL$232:BL245,BK246)&gt;$BQ$4,0,BK246)</f>
        <v>0</v>
      </c>
      <c r="BM246" s="23">
        <f t="shared" si="311"/>
        <v>0</v>
      </c>
      <c r="BN246" s="90">
        <f t="shared" si="312"/>
        <v>0</v>
      </c>
      <c r="BO246" s="24">
        <f t="shared" si="332"/>
        <v>0</v>
      </c>
      <c r="BP246" s="349">
        <f t="shared" si="350"/>
        <v>0</v>
      </c>
      <c r="BQ246" s="171">
        <f t="shared" si="351"/>
        <v>0</v>
      </c>
      <c r="BR246" s="170">
        <f t="shared" si="313"/>
        <v>0</v>
      </c>
      <c r="BS246" s="168">
        <f t="shared" si="352"/>
        <v>0</v>
      </c>
      <c r="BT246" s="171">
        <f t="shared" si="353"/>
        <v>0</v>
      </c>
      <c r="BU246" s="170">
        <f t="shared" si="314"/>
        <v>0</v>
      </c>
      <c r="BV246" s="168">
        <f t="shared" si="354"/>
        <v>0</v>
      </c>
      <c r="BW246" s="171">
        <f t="shared" si="355"/>
        <v>0</v>
      </c>
      <c r="BX246" s="170">
        <f t="shared" si="315"/>
        <v>0</v>
      </c>
      <c r="BY246" s="168">
        <f t="shared" si="356"/>
        <v>0</v>
      </c>
      <c r="BZ246" s="171">
        <f t="shared" si="357"/>
        <v>0</v>
      </c>
      <c r="CA246" s="170">
        <f t="shared" si="316"/>
        <v>0</v>
      </c>
      <c r="CB246" s="90">
        <f t="shared" si="358"/>
        <v>0</v>
      </c>
      <c r="CC246" s="171">
        <f t="shared" si="359"/>
        <v>0</v>
      </c>
      <c r="CD246" s="170">
        <f t="shared" si="317"/>
        <v>0</v>
      </c>
      <c r="CE246" s="90">
        <f t="shared" si="360"/>
        <v>0</v>
      </c>
      <c r="CF246" s="171">
        <f t="shared" si="361"/>
        <v>0</v>
      </c>
      <c r="CG246" s="170">
        <f t="shared" si="318"/>
        <v>0</v>
      </c>
      <c r="CH246" s="90">
        <f t="shared" si="362"/>
        <v>0</v>
      </c>
      <c r="CI246" s="171">
        <f t="shared" si="363"/>
        <v>0</v>
      </c>
      <c r="CJ246" s="170">
        <f t="shared" si="319"/>
        <v>0</v>
      </c>
      <c r="CK246" s="90">
        <f t="shared" si="364"/>
        <v>0</v>
      </c>
      <c r="CL246" s="171">
        <f t="shared" si="365"/>
        <v>0</v>
      </c>
      <c r="CM246" s="170">
        <f t="shared" si="320"/>
        <v>0</v>
      </c>
      <c r="CN246" s="90">
        <f t="shared" si="366"/>
        <v>0</v>
      </c>
      <c r="CO246" s="171">
        <f t="shared" si="367"/>
        <v>0</v>
      </c>
      <c r="CP246" s="170">
        <f t="shared" si="321"/>
        <v>0</v>
      </c>
      <c r="CQ246" s="90">
        <f t="shared" si="368"/>
        <v>0</v>
      </c>
      <c r="CR246" s="171">
        <f t="shared" si="369"/>
        <v>0</v>
      </c>
      <c r="CS246" s="170">
        <f t="shared" si="322"/>
        <v>0</v>
      </c>
      <c r="CT246" s="90">
        <f t="shared" si="370"/>
        <v>0</v>
      </c>
      <c r="CU246" s="171">
        <f t="shared" si="371"/>
        <v>0</v>
      </c>
      <c r="CV246" s="170">
        <f t="shared" si="323"/>
        <v>0</v>
      </c>
      <c r="CW246" s="90">
        <f t="shared" si="372"/>
        <v>0</v>
      </c>
      <c r="CX246" s="171">
        <f t="shared" si="373"/>
        <v>0</v>
      </c>
      <c r="CY246" s="170">
        <f t="shared" si="324"/>
        <v>0</v>
      </c>
      <c r="CZ246" s="168">
        <f t="shared" si="325"/>
        <v>0</v>
      </c>
      <c r="DA246" s="172">
        <f t="shared" si="327"/>
        <v>0</v>
      </c>
      <c r="DB246" s="173">
        <f t="shared" si="328"/>
        <v>0</v>
      </c>
      <c r="DC246" s="172">
        <f t="shared" si="375"/>
        <v>0</v>
      </c>
      <c r="DD246" s="172">
        <f t="shared" si="375"/>
        <v>0</v>
      </c>
      <c r="DE246" s="172">
        <f t="shared" si="375"/>
        <v>0</v>
      </c>
      <c r="DF246" s="172">
        <f>IF(DA246-(DE245+CZ246)&lt;0,0,DA246-(DE245+CZ246))</f>
        <v>0</v>
      </c>
      <c r="DG246" s="136"/>
      <c r="DH246" s="136"/>
      <c r="DI246" s="3"/>
      <c r="DJ246" s="340" t="s">
        <v>454</v>
      </c>
      <c r="DK246" s="363">
        <v>1</v>
      </c>
      <c r="DL246" s="423" t="s">
        <v>214</v>
      </c>
      <c r="DM246" s="424"/>
      <c r="DN246" s="425"/>
      <c r="DO246" s="8"/>
      <c r="DP246" s="8"/>
      <c r="DQ246" s="3"/>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row>
    <row r="247" spans="1:155" s="566" customFormat="1" ht="15" customHeight="1">
      <c r="A247" s="422"/>
      <c r="B247" s="27"/>
      <c r="C247" s="27"/>
      <c r="D247" s="27"/>
      <c r="E247" s="27"/>
      <c r="F247" s="27"/>
      <c r="G247" s="27"/>
      <c r="H247" s="27"/>
      <c r="I247" s="27"/>
      <c r="J247" s="404"/>
      <c r="K247" s="307"/>
      <c r="L247" s="307"/>
      <c r="M247" s="307"/>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293"/>
      <c r="AW247" s="14"/>
      <c r="AX247" s="14"/>
      <c r="AY247" s="14"/>
      <c r="AZ247" s="14"/>
      <c r="BA247" s="14"/>
      <c r="BB247" s="14"/>
      <c r="BC247" s="14"/>
      <c r="BD247" s="70"/>
      <c r="BE247" s="165" t="s">
        <v>18</v>
      </c>
      <c r="BF247" s="23">
        <v>22</v>
      </c>
      <c r="BG247" s="23">
        <v>16</v>
      </c>
      <c r="BH247" s="23">
        <v>1</v>
      </c>
      <c r="BI247" s="90" t="b">
        <f t="shared" si="326"/>
        <v>1</v>
      </c>
      <c r="BJ247" s="46" t="b">
        <f t="shared" si="348"/>
        <v>0</v>
      </c>
      <c r="BK247" s="166">
        <f t="shared" si="349"/>
        <v>0</v>
      </c>
      <c r="BL247" s="175">
        <f>IF(SUM(BL$232:BL246,BK247)&gt;$BQ$4,0,BK247)</f>
        <v>0</v>
      </c>
      <c r="BM247" s="23">
        <f t="shared" si="311"/>
        <v>0</v>
      </c>
      <c r="BN247" s="90">
        <f t="shared" si="312"/>
        <v>0</v>
      </c>
      <c r="BO247" s="24">
        <f t="shared" si="332"/>
        <v>0</v>
      </c>
      <c r="BP247" s="349">
        <f t="shared" si="350"/>
        <v>0</v>
      </c>
      <c r="BQ247" s="171">
        <f t="shared" si="351"/>
        <v>0</v>
      </c>
      <c r="BR247" s="170">
        <f t="shared" si="313"/>
        <v>0</v>
      </c>
      <c r="BS247" s="168">
        <f t="shared" si="352"/>
        <v>0</v>
      </c>
      <c r="BT247" s="171">
        <f t="shared" si="353"/>
        <v>0</v>
      </c>
      <c r="BU247" s="170">
        <f t="shared" si="314"/>
        <v>0</v>
      </c>
      <c r="BV247" s="168">
        <f t="shared" si="354"/>
        <v>0</v>
      </c>
      <c r="BW247" s="171">
        <f t="shared" si="355"/>
        <v>0</v>
      </c>
      <c r="BX247" s="170">
        <f t="shared" si="315"/>
        <v>0</v>
      </c>
      <c r="BY247" s="168">
        <f t="shared" si="356"/>
        <v>0</v>
      </c>
      <c r="BZ247" s="171">
        <f t="shared" si="357"/>
        <v>0</v>
      </c>
      <c r="CA247" s="170">
        <f t="shared" si="316"/>
        <v>0</v>
      </c>
      <c r="CB247" s="90">
        <f t="shared" si="358"/>
        <v>0</v>
      </c>
      <c r="CC247" s="171">
        <f t="shared" si="359"/>
        <v>0</v>
      </c>
      <c r="CD247" s="170">
        <f t="shared" si="317"/>
        <v>0</v>
      </c>
      <c r="CE247" s="90">
        <f t="shared" si="360"/>
        <v>0</v>
      </c>
      <c r="CF247" s="171">
        <f t="shared" si="361"/>
        <v>0</v>
      </c>
      <c r="CG247" s="170">
        <f t="shared" si="318"/>
        <v>0</v>
      </c>
      <c r="CH247" s="90">
        <f t="shared" si="362"/>
        <v>0</v>
      </c>
      <c r="CI247" s="171">
        <f t="shared" si="363"/>
        <v>0</v>
      </c>
      <c r="CJ247" s="170">
        <f t="shared" si="319"/>
        <v>0</v>
      </c>
      <c r="CK247" s="90">
        <f t="shared" si="364"/>
        <v>0</v>
      </c>
      <c r="CL247" s="171">
        <f t="shared" si="365"/>
        <v>0</v>
      </c>
      <c r="CM247" s="170">
        <f t="shared" si="320"/>
        <v>0</v>
      </c>
      <c r="CN247" s="90">
        <f t="shared" si="366"/>
        <v>0</v>
      </c>
      <c r="CO247" s="171">
        <f t="shared" si="367"/>
        <v>0</v>
      </c>
      <c r="CP247" s="170">
        <f t="shared" si="321"/>
        <v>0</v>
      </c>
      <c r="CQ247" s="90">
        <f t="shared" si="368"/>
        <v>0</v>
      </c>
      <c r="CR247" s="171">
        <f t="shared" si="369"/>
        <v>0</v>
      </c>
      <c r="CS247" s="170">
        <f t="shared" si="322"/>
        <v>0</v>
      </c>
      <c r="CT247" s="90">
        <f t="shared" si="370"/>
        <v>0</v>
      </c>
      <c r="CU247" s="171">
        <f t="shared" si="371"/>
        <v>0</v>
      </c>
      <c r="CV247" s="170">
        <f t="shared" si="323"/>
        <v>0</v>
      </c>
      <c r="CW247" s="90">
        <f t="shared" si="372"/>
        <v>0</v>
      </c>
      <c r="CX247" s="171">
        <f t="shared" si="373"/>
        <v>0</v>
      </c>
      <c r="CY247" s="170">
        <f t="shared" si="324"/>
        <v>0</v>
      </c>
      <c r="CZ247" s="168">
        <f t="shared" si="325"/>
        <v>0</v>
      </c>
      <c r="DA247" s="172">
        <f t="shared" si="327"/>
        <v>0</v>
      </c>
      <c r="DB247" s="173">
        <f t="shared" si="328"/>
        <v>0</v>
      </c>
      <c r="DC247" s="172">
        <f t="shared" si="375"/>
        <v>0</v>
      </c>
      <c r="DD247" s="172">
        <f t="shared" si="375"/>
        <v>0</v>
      </c>
      <c r="DE247" s="172">
        <f t="shared" si="375"/>
        <v>0</v>
      </c>
      <c r="DF247" s="172">
        <f t="shared" si="330"/>
        <v>0</v>
      </c>
      <c r="DG247" s="136"/>
      <c r="DH247" s="136"/>
      <c r="DI247" s="3"/>
      <c r="DJ247" s="340" t="s">
        <v>458</v>
      </c>
      <c r="DK247" s="363">
        <v>1</v>
      </c>
      <c r="DL247" s="423" t="s">
        <v>214</v>
      </c>
      <c r="DM247" s="424"/>
      <c r="DN247" s="425"/>
      <c r="DO247" s="8"/>
      <c r="DP247" s="8"/>
      <c r="DQ247" s="3"/>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row>
    <row r="248" spans="1:155" s="566" customFormat="1" ht="15" customHeight="1">
      <c r="A248" s="422"/>
      <c r="B248" s="217" t="s">
        <v>475</v>
      </c>
      <c r="C248" s="218"/>
      <c r="D248" s="218"/>
      <c r="E248" s="218"/>
      <c r="F248" s="218"/>
      <c r="G248" s="218"/>
      <c r="H248" s="218"/>
      <c r="I248" s="218"/>
      <c r="J248" s="218"/>
      <c r="K248" s="218"/>
      <c r="L248" s="218"/>
      <c r="M248" s="218"/>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293"/>
      <c r="AW248" s="14"/>
      <c r="AX248" s="14"/>
      <c r="AY248" s="14"/>
      <c r="AZ248" s="14"/>
      <c r="BA248" s="14"/>
      <c r="BB248" s="14"/>
      <c r="BC248" s="14"/>
      <c r="BD248" s="70"/>
      <c r="BE248" s="165" t="s">
        <v>18</v>
      </c>
      <c r="BF248" s="23">
        <v>22</v>
      </c>
      <c r="BG248" s="23">
        <v>17</v>
      </c>
      <c r="BH248" s="23">
        <v>2</v>
      </c>
      <c r="BI248" s="90" t="b">
        <f t="shared" si="326"/>
        <v>1</v>
      </c>
      <c r="BJ248" s="46" t="b">
        <f t="shared" si="348"/>
        <v>0</v>
      </c>
      <c r="BK248" s="166">
        <f t="shared" si="349"/>
        <v>0</v>
      </c>
      <c r="BL248" s="175">
        <f>IF(SUM(BL$232:BL247,BK248)&gt;$BQ$4,0,BK248)</f>
        <v>0</v>
      </c>
      <c r="BM248" s="23">
        <f t="shared" si="311"/>
        <v>0</v>
      </c>
      <c r="BN248" s="90">
        <f t="shared" si="312"/>
        <v>0</v>
      </c>
      <c r="BO248" s="24">
        <f t="shared" si="332"/>
        <v>0</v>
      </c>
      <c r="BP248" s="349">
        <f t="shared" si="350"/>
        <v>0</v>
      </c>
      <c r="BQ248" s="171">
        <f t="shared" si="351"/>
        <v>0</v>
      </c>
      <c r="BR248" s="170">
        <f t="shared" si="313"/>
        <v>0</v>
      </c>
      <c r="BS248" s="168">
        <f t="shared" si="352"/>
        <v>0</v>
      </c>
      <c r="BT248" s="171">
        <f t="shared" si="353"/>
        <v>0</v>
      </c>
      <c r="BU248" s="170">
        <f t="shared" si="314"/>
        <v>0</v>
      </c>
      <c r="BV248" s="168">
        <f t="shared" si="354"/>
        <v>0</v>
      </c>
      <c r="BW248" s="171">
        <f t="shared" si="355"/>
        <v>0</v>
      </c>
      <c r="BX248" s="170">
        <f t="shared" si="315"/>
        <v>0</v>
      </c>
      <c r="BY248" s="168">
        <f t="shared" si="356"/>
        <v>0</v>
      </c>
      <c r="BZ248" s="171">
        <f t="shared" si="357"/>
        <v>0</v>
      </c>
      <c r="CA248" s="170">
        <f t="shared" si="316"/>
        <v>0</v>
      </c>
      <c r="CB248" s="90">
        <f t="shared" si="358"/>
        <v>0</v>
      </c>
      <c r="CC248" s="171">
        <f t="shared" si="359"/>
        <v>0</v>
      </c>
      <c r="CD248" s="170">
        <f t="shared" si="317"/>
        <v>0</v>
      </c>
      <c r="CE248" s="90">
        <f t="shared" si="360"/>
        <v>0</v>
      </c>
      <c r="CF248" s="171">
        <f t="shared" si="361"/>
        <v>0</v>
      </c>
      <c r="CG248" s="170">
        <f t="shared" si="318"/>
        <v>0</v>
      </c>
      <c r="CH248" s="90">
        <f t="shared" si="362"/>
        <v>0</v>
      </c>
      <c r="CI248" s="171">
        <f t="shared" si="363"/>
        <v>0</v>
      </c>
      <c r="CJ248" s="170">
        <f t="shared" si="319"/>
        <v>0</v>
      </c>
      <c r="CK248" s="90">
        <f t="shared" si="364"/>
        <v>0</v>
      </c>
      <c r="CL248" s="171">
        <f t="shared" si="365"/>
        <v>0</v>
      </c>
      <c r="CM248" s="170">
        <f t="shared" si="320"/>
        <v>0</v>
      </c>
      <c r="CN248" s="90">
        <f t="shared" si="366"/>
        <v>0</v>
      </c>
      <c r="CO248" s="171">
        <f t="shared" si="367"/>
        <v>0</v>
      </c>
      <c r="CP248" s="170">
        <f t="shared" si="321"/>
        <v>0</v>
      </c>
      <c r="CQ248" s="90">
        <f t="shared" si="368"/>
        <v>0</v>
      </c>
      <c r="CR248" s="171">
        <f t="shared" si="369"/>
        <v>0</v>
      </c>
      <c r="CS248" s="170">
        <f t="shared" si="322"/>
        <v>0</v>
      </c>
      <c r="CT248" s="90">
        <f t="shared" si="370"/>
        <v>0</v>
      </c>
      <c r="CU248" s="171">
        <f t="shared" si="371"/>
        <v>0</v>
      </c>
      <c r="CV248" s="170">
        <f t="shared" si="323"/>
        <v>0</v>
      </c>
      <c r="CW248" s="90">
        <f t="shared" si="372"/>
        <v>0</v>
      </c>
      <c r="CX248" s="171">
        <f t="shared" si="373"/>
        <v>0</v>
      </c>
      <c r="CY248" s="170">
        <f t="shared" si="324"/>
        <v>0</v>
      </c>
      <c r="CZ248" s="168">
        <f t="shared" si="325"/>
        <v>0</v>
      </c>
      <c r="DA248" s="172">
        <f t="shared" si="327"/>
        <v>0</v>
      </c>
      <c r="DB248" s="173">
        <f t="shared" si="328"/>
        <v>0</v>
      </c>
      <c r="DC248" s="172">
        <f t="shared" si="375"/>
        <v>0</v>
      </c>
      <c r="DD248" s="172">
        <f t="shared" si="375"/>
        <v>0</v>
      </c>
      <c r="DE248" s="172">
        <f t="shared" si="375"/>
        <v>0</v>
      </c>
      <c r="DF248" s="172">
        <f t="shared" si="330"/>
        <v>0</v>
      </c>
      <c r="DG248" s="136"/>
      <c r="DH248" s="136"/>
      <c r="DI248" s="3"/>
      <c r="DJ248" s="340" t="s">
        <v>464</v>
      </c>
      <c r="DK248" s="363">
        <v>1.4</v>
      </c>
      <c r="DL248" s="423" t="s">
        <v>474</v>
      </c>
      <c r="DM248" s="424"/>
      <c r="DN248" s="425"/>
      <c r="DO248" s="8"/>
      <c r="DP248" s="8"/>
      <c r="DQ248" s="3"/>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row>
    <row r="249" spans="1:155" s="566" customFormat="1" ht="15" customHeight="1">
      <c r="A249" s="422"/>
      <c r="B249" s="277" t="s">
        <v>476</v>
      </c>
      <c r="C249" s="27"/>
      <c r="D249" s="27"/>
      <c r="E249" s="27"/>
      <c r="F249" s="27"/>
      <c r="G249" s="27"/>
      <c r="H249" s="27"/>
      <c r="I249" s="27"/>
      <c r="J249" s="404"/>
      <c r="K249" s="307"/>
      <c r="L249" s="307"/>
      <c r="M249" s="307"/>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293"/>
      <c r="AW249" s="14"/>
      <c r="AX249" s="14"/>
      <c r="AY249" s="14"/>
      <c r="AZ249" s="14"/>
      <c r="BA249" s="14"/>
      <c r="BB249" s="14"/>
      <c r="BC249" s="14"/>
      <c r="BD249" s="70"/>
      <c r="BE249" s="165" t="s">
        <v>18</v>
      </c>
      <c r="BF249" s="23">
        <v>22</v>
      </c>
      <c r="BG249" s="23">
        <v>18</v>
      </c>
      <c r="BH249" s="23">
        <v>3</v>
      </c>
      <c r="BI249" s="90" t="b">
        <f t="shared" si="326"/>
        <v>1</v>
      </c>
      <c r="BJ249" s="46" t="b">
        <f t="shared" si="348"/>
        <v>0</v>
      </c>
      <c r="BK249" s="166">
        <f t="shared" si="349"/>
        <v>0</v>
      </c>
      <c r="BL249" s="175">
        <f>IF(SUM(BL$232:BL248,BK249)&gt;$BQ$4,0,BK249)</f>
        <v>0</v>
      </c>
      <c r="BM249" s="23">
        <f t="shared" si="311"/>
        <v>0</v>
      </c>
      <c r="BN249" s="90">
        <f t="shared" si="312"/>
        <v>0</v>
      </c>
      <c r="BO249" s="24">
        <f t="shared" si="332"/>
        <v>0</v>
      </c>
      <c r="BP249" s="349">
        <f t="shared" si="350"/>
        <v>0</v>
      </c>
      <c r="BQ249" s="171">
        <f t="shared" si="351"/>
        <v>0</v>
      </c>
      <c r="BR249" s="170">
        <f t="shared" si="313"/>
        <v>0</v>
      </c>
      <c r="BS249" s="168">
        <f t="shared" si="352"/>
        <v>0</v>
      </c>
      <c r="BT249" s="171">
        <f t="shared" si="353"/>
        <v>0</v>
      </c>
      <c r="BU249" s="170">
        <f t="shared" si="314"/>
        <v>0</v>
      </c>
      <c r="BV249" s="168">
        <f t="shared" si="354"/>
        <v>0</v>
      </c>
      <c r="BW249" s="171">
        <f t="shared" si="355"/>
        <v>0</v>
      </c>
      <c r="BX249" s="170">
        <f t="shared" si="315"/>
        <v>0</v>
      </c>
      <c r="BY249" s="168">
        <f t="shared" si="356"/>
        <v>0</v>
      </c>
      <c r="BZ249" s="171">
        <f t="shared" si="357"/>
        <v>0</v>
      </c>
      <c r="CA249" s="170">
        <f t="shared" si="316"/>
        <v>0</v>
      </c>
      <c r="CB249" s="90">
        <f t="shared" si="358"/>
        <v>0</v>
      </c>
      <c r="CC249" s="171">
        <f t="shared" si="359"/>
        <v>0</v>
      </c>
      <c r="CD249" s="170">
        <f t="shared" si="317"/>
        <v>0</v>
      </c>
      <c r="CE249" s="90">
        <f t="shared" si="360"/>
        <v>0</v>
      </c>
      <c r="CF249" s="171">
        <f t="shared" si="361"/>
        <v>0</v>
      </c>
      <c r="CG249" s="170">
        <f t="shared" si="318"/>
        <v>0</v>
      </c>
      <c r="CH249" s="90">
        <f t="shared" si="362"/>
        <v>0</v>
      </c>
      <c r="CI249" s="171">
        <f t="shared" si="363"/>
        <v>0</v>
      </c>
      <c r="CJ249" s="170">
        <f t="shared" si="319"/>
        <v>0</v>
      </c>
      <c r="CK249" s="90">
        <f t="shared" si="364"/>
        <v>0</v>
      </c>
      <c r="CL249" s="171">
        <f t="shared" si="365"/>
        <v>0</v>
      </c>
      <c r="CM249" s="170">
        <f t="shared" si="320"/>
        <v>0</v>
      </c>
      <c r="CN249" s="90">
        <f t="shared" si="366"/>
        <v>0</v>
      </c>
      <c r="CO249" s="171">
        <f t="shared" si="367"/>
        <v>0</v>
      </c>
      <c r="CP249" s="170">
        <f t="shared" si="321"/>
        <v>0</v>
      </c>
      <c r="CQ249" s="90">
        <f t="shared" si="368"/>
        <v>0</v>
      </c>
      <c r="CR249" s="171">
        <f t="shared" si="369"/>
        <v>0</v>
      </c>
      <c r="CS249" s="170">
        <f t="shared" si="322"/>
        <v>0</v>
      </c>
      <c r="CT249" s="90">
        <f t="shared" si="370"/>
        <v>0</v>
      </c>
      <c r="CU249" s="171">
        <f t="shared" si="371"/>
        <v>0</v>
      </c>
      <c r="CV249" s="170">
        <f t="shared" si="323"/>
        <v>0</v>
      </c>
      <c r="CW249" s="90">
        <f t="shared" si="372"/>
        <v>0</v>
      </c>
      <c r="CX249" s="171">
        <f t="shared" si="373"/>
        <v>0</v>
      </c>
      <c r="CY249" s="170">
        <f t="shared" si="324"/>
        <v>0</v>
      </c>
      <c r="CZ249" s="168">
        <f t="shared" si="325"/>
        <v>0</v>
      </c>
      <c r="DA249" s="172">
        <f t="shared" si="327"/>
        <v>0</v>
      </c>
      <c r="DB249" s="173">
        <f t="shared" si="328"/>
        <v>0</v>
      </c>
      <c r="DC249" s="172">
        <f t="shared" si="375"/>
        <v>0</v>
      </c>
      <c r="DD249" s="172">
        <f t="shared" si="375"/>
        <v>0</v>
      </c>
      <c r="DE249" s="172">
        <f t="shared" si="375"/>
        <v>0</v>
      </c>
      <c r="DF249" s="172">
        <f t="shared" si="330"/>
        <v>0</v>
      </c>
      <c r="DG249" s="136"/>
      <c r="DH249" s="136"/>
      <c r="DI249" s="3"/>
      <c r="DJ249" s="340" t="s">
        <v>477</v>
      </c>
      <c r="DK249" s="363">
        <v>0.1</v>
      </c>
      <c r="DL249" s="426" t="s">
        <v>478</v>
      </c>
      <c r="DM249" s="427"/>
      <c r="DN249" s="428"/>
      <c r="DO249" s="8"/>
      <c r="DP249" s="8"/>
      <c r="DQ249" s="3"/>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row>
    <row r="250" spans="1:155" s="566" customFormat="1" ht="15" customHeight="1">
      <c r="A250" s="422"/>
      <c r="B250" s="429" t="s">
        <v>479</v>
      </c>
      <c r="C250" s="260"/>
      <c r="D250" s="260"/>
      <c r="E250" s="231" t="s">
        <v>417</v>
      </c>
      <c r="F250" s="27"/>
      <c r="G250" s="27"/>
      <c r="H250" s="27"/>
      <c r="I250" s="27"/>
      <c r="J250" s="404"/>
      <c r="K250" s="307"/>
      <c r="L250" s="307"/>
      <c r="M250" s="307"/>
      <c r="N250" s="14" t="s">
        <v>480</v>
      </c>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293"/>
      <c r="AW250" s="14"/>
      <c r="AX250" s="14"/>
      <c r="AY250" s="14"/>
      <c r="AZ250" s="14"/>
      <c r="BA250" s="14"/>
      <c r="BB250" s="14"/>
      <c r="BC250" s="14"/>
      <c r="BD250" s="70"/>
      <c r="BE250" s="165" t="s">
        <v>18</v>
      </c>
      <c r="BF250" s="23">
        <v>22</v>
      </c>
      <c r="BG250" s="23">
        <v>19</v>
      </c>
      <c r="BH250" s="23">
        <v>4</v>
      </c>
      <c r="BI250" s="90" t="b">
        <f t="shared" si="326"/>
        <v>1</v>
      </c>
      <c r="BJ250" s="46" t="b">
        <f t="shared" si="348"/>
        <v>0</v>
      </c>
      <c r="BK250" s="166">
        <f t="shared" si="349"/>
        <v>0</v>
      </c>
      <c r="BL250" s="175">
        <f>IF(SUM(BL$232:BL249,BK250)&gt;$BQ$4,0,BK250)</f>
        <v>0</v>
      </c>
      <c r="BM250" s="23">
        <f t="shared" si="311"/>
        <v>0</v>
      </c>
      <c r="BN250" s="90">
        <f t="shared" si="312"/>
        <v>0</v>
      </c>
      <c r="BO250" s="24">
        <f t="shared" si="332"/>
        <v>0</v>
      </c>
      <c r="BP250" s="349">
        <f t="shared" si="350"/>
        <v>0</v>
      </c>
      <c r="BQ250" s="171">
        <f t="shared" si="351"/>
        <v>0</v>
      </c>
      <c r="BR250" s="170">
        <f t="shared" si="313"/>
        <v>0</v>
      </c>
      <c r="BS250" s="168">
        <f t="shared" si="352"/>
        <v>0</v>
      </c>
      <c r="BT250" s="171">
        <f t="shared" si="353"/>
        <v>0</v>
      </c>
      <c r="BU250" s="170">
        <f t="shared" si="314"/>
        <v>0</v>
      </c>
      <c r="BV250" s="168">
        <f t="shared" si="354"/>
        <v>0</v>
      </c>
      <c r="BW250" s="171">
        <f t="shared" si="355"/>
        <v>0</v>
      </c>
      <c r="BX250" s="170">
        <f t="shared" si="315"/>
        <v>0</v>
      </c>
      <c r="BY250" s="168">
        <f t="shared" si="356"/>
        <v>0</v>
      </c>
      <c r="BZ250" s="171">
        <f t="shared" si="357"/>
        <v>0</v>
      </c>
      <c r="CA250" s="170">
        <f t="shared" si="316"/>
        <v>0</v>
      </c>
      <c r="CB250" s="90">
        <f t="shared" si="358"/>
        <v>0</v>
      </c>
      <c r="CC250" s="171">
        <f t="shared" si="359"/>
        <v>0</v>
      </c>
      <c r="CD250" s="170">
        <f t="shared" si="317"/>
        <v>0</v>
      </c>
      <c r="CE250" s="90">
        <f t="shared" si="360"/>
        <v>0</v>
      </c>
      <c r="CF250" s="171">
        <f t="shared" si="361"/>
        <v>0</v>
      </c>
      <c r="CG250" s="170">
        <f t="shared" si="318"/>
        <v>0</v>
      </c>
      <c r="CH250" s="90">
        <f t="shared" si="362"/>
        <v>0</v>
      </c>
      <c r="CI250" s="171">
        <f t="shared" si="363"/>
        <v>0</v>
      </c>
      <c r="CJ250" s="170">
        <f t="shared" si="319"/>
        <v>0</v>
      </c>
      <c r="CK250" s="90">
        <f t="shared" si="364"/>
        <v>0</v>
      </c>
      <c r="CL250" s="171">
        <f t="shared" si="365"/>
        <v>0</v>
      </c>
      <c r="CM250" s="170">
        <f t="shared" si="320"/>
        <v>0</v>
      </c>
      <c r="CN250" s="90">
        <f t="shared" si="366"/>
        <v>0</v>
      </c>
      <c r="CO250" s="171">
        <f t="shared" si="367"/>
        <v>0</v>
      </c>
      <c r="CP250" s="170">
        <f t="shared" si="321"/>
        <v>0</v>
      </c>
      <c r="CQ250" s="90">
        <f t="shared" si="368"/>
        <v>0</v>
      </c>
      <c r="CR250" s="171">
        <f t="shared" si="369"/>
        <v>0</v>
      </c>
      <c r="CS250" s="170">
        <f t="shared" si="322"/>
        <v>0</v>
      </c>
      <c r="CT250" s="90">
        <f t="shared" si="370"/>
        <v>0</v>
      </c>
      <c r="CU250" s="171">
        <f t="shared" si="371"/>
        <v>0</v>
      </c>
      <c r="CV250" s="170">
        <f t="shared" si="323"/>
        <v>0</v>
      </c>
      <c r="CW250" s="90">
        <f t="shared" si="372"/>
        <v>0</v>
      </c>
      <c r="CX250" s="171">
        <f t="shared" si="373"/>
        <v>0</v>
      </c>
      <c r="CY250" s="170">
        <f t="shared" si="324"/>
        <v>0</v>
      </c>
      <c r="CZ250" s="168">
        <f t="shared" si="325"/>
        <v>0</v>
      </c>
      <c r="DA250" s="172">
        <f t="shared" si="327"/>
        <v>0</v>
      </c>
      <c r="DB250" s="173">
        <f t="shared" si="328"/>
        <v>0</v>
      </c>
      <c r="DC250" s="172">
        <f t="shared" si="375"/>
        <v>0</v>
      </c>
      <c r="DD250" s="172">
        <f t="shared" si="375"/>
        <v>0</v>
      </c>
      <c r="DE250" s="172">
        <f t="shared" si="375"/>
        <v>0</v>
      </c>
      <c r="DF250" s="172">
        <f t="shared" si="330"/>
        <v>0</v>
      </c>
      <c r="DG250" s="136"/>
      <c r="DH250" s="136"/>
      <c r="DI250" s="3"/>
      <c r="DJ250" s="8"/>
      <c r="DK250" s="8"/>
      <c r="DL250" s="8"/>
      <c r="DM250" s="8"/>
      <c r="DN250" s="8"/>
      <c r="DO250" s="8"/>
      <c r="DP250" s="8"/>
      <c r="DQ250" s="3"/>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row>
    <row r="251" spans="1:155" s="566" customFormat="1" ht="15" customHeight="1">
      <c r="A251" s="422"/>
      <c r="B251" s="27"/>
      <c r="C251" s="27"/>
      <c r="D251" s="27"/>
      <c r="E251" s="27"/>
      <c r="F251" s="27"/>
      <c r="G251" s="27"/>
      <c r="H251" s="27"/>
      <c r="I251" s="27"/>
      <c r="J251" s="404"/>
      <c r="K251" s="307"/>
      <c r="L251" s="307"/>
      <c r="M251" s="307"/>
      <c r="N251" s="14" t="b">
        <f>E250="Yes"</f>
        <v>0</v>
      </c>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293"/>
      <c r="AW251" s="14"/>
      <c r="AX251" s="14"/>
      <c r="AY251" s="14"/>
      <c r="AZ251" s="14"/>
      <c r="BA251" s="14"/>
      <c r="BB251" s="14"/>
      <c r="BC251" s="14"/>
      <c r="BD251" s="70"/>
      <c r="BE251" s="165" t="s">
        <v>18</v>
      </c>
      <c r="BF251" s="23">
        <v>22</v>
      </c>
      <c r="BG251" s="23">
        <v>20</v>
      </c>
      <c r="BH251" s="23">
        <v>5</v>
      </c>
      <c r="BI251" s="90" t="b">
        <f t="shared" si="326"/>
        <v>1</v>
      </c>
      <c r="BJ251" s="46" t="b">
        <f t="shared" si="348"/>
        <v>0</v>
      </c>
      <c r="BK251" s="166">
        <f t="shared" si="349"/>
        <v>0</v>
      </c>
      <c r="BL251" s="175">
        <f>IF(SUM(BL$232:BL250,BK251)&gt;$BQ$4,0,BK251)</f>
        <v>0</v>
      </c>
      <c r="BM251" s="23">
        <f t="shared" si="311"/>
        <v>0</v>
      </c>
      <c r="BN251" s="90">
        <f t="shared" si="312"/>
        <v>0</v>
      </c>
      <c r="BO251" s="24">
        <f t="shared" si="332"/>
        <v>0</v>
      </c>
      <c r="BP251" s="349">
        <f t="shared" si="350"/>
        <v>0</v>
      </c>
      <c r="BQ251" s="171">
        <f t="shared" si="351"/>
        <v>0</v>
      </c>
      <c r="BR251" s="170">
        <f t="shared" si="313"/>
        <v>0</v>
      </c>
      <c r="BS251" s="168">
        <f t="shared" si="352"/>
        <v>0</v>
      </c>
      <c r="BT251" s="171">
        <f t="shared" si="353"/>
        <v>0</v>
      </c>
      <c r="BU251" s="170">
        <f t="shared" si="314"/>
        <v>0</v>
      </c>
      <c r="BV251" s="168">
        <f t="shared" si="354"/>
        <v>0</v>
      </c>
      <c r="BW251" s="171">
        <f t="shared" si="355"/>
        <v>0</v>
      </c>
      <c r="BX251" s="170">
        <f t="shared" si="315"/>
        <v>0</v>
      </c>
      <c r="BY251" s="168">
        <f t="shared" si="356"/>
        <v>0</v>
      </c>
      <c r="BZ251" s="171">
        <f t="shared" si="357"/>
        <v>0</v>
      </c>
      <c r="CA251" s="170">
        <f t="shared" si="316"/>
        <v>0</v>
      </c>
      <c r="CB251" s="90">
        <f t="shared" si="358"/>
        <v>0</v>
      </c>
      <c r="CC251" s="171">
        <f t="shared" si="359"/>
        <v>0</v>
      </c>
      <c r="CD251" s="170">
        <f t="shared" si="317"/>
        <v>0</v>
      </c>
      <c r="CE251" s="90">
        <f t="shared" si="360"/>
        <v>0</v>
      </c>
      <c r="CF251" s="171">
        <f t="shared" si="361"/>
        <v>0</v>
      </c>
      <c r="CG251" s="170">
        <f t="shared" si="318"/>
        <v>0</v>
      </c>
      <c r="CH251" s="90">
        <f t="shared" si="362"/>
        <v>0</v>
      </c>
      <c r="CI251" s="171">
        <f t="shared" si="363"/>
        <v>0</v>
      </c>
      <c r="CJ251" s="170">
        <f t="shared" si="319"/>
        <v>0</v>
      </c>
      <c r="CK251" s="90">
        <f t="shared" si="364"/>
        <v>0</v>
      </c>
      <c r="CL251" s="171">
        <f t="shared" si="365"/>
        <v>0</v>
      </c>
      <c r="CM251" s="170">
        <f t="shared" si="320"/>
        <v>0</v>
      </c>
      <c r="CN251" s="90">
        <f t="shared" si="366"/>
        <v>0</v>
      </c>
      <c r="CO251" s="171">
        <f t="shared" si="367"/>
        <v>0</v>
      </c>
      <c r="CP251" s="170">
        <f t="shared" si="321"/>
        <v>0</v>
      </c>
      <c r="CQ251" s="90">
        <f t="shared" si="368"/>
        <v>0</v>
      </c>
      <c r="CR251" s="171">
        <f t="shared" si="369"/>
        <v>0</v>
      </c>
      <c r="CS251" s="170">
        <f t="shared" si="322"/>
        <v>0</v>
      </c>
      <c r="CT251" s="90">
        <f t="shared" si="370"/>
        <v>0</v>
      </c>
      <c r="CU251" s="171">
        <f t="shared" si="371"/>
        <v>0</v>
      </c>
      <c r="CV251" s="170">
        <f t="shared" si="323"/>
        <v>0</v>
      </c>
      <c r="CW251" s="90">
        <f t="shared" si="372"/>
        <v>0</v>
      </c>
      <c r="CX251" s="171">
        <f t="shared" si="373"/>
        <v>0</v>
      </c>
      <c r="CY251" s="170">
        <f t="shared" si="324"/>
        <v>0</v>
      </c>
      <c r="CZ251" s="168">
        <f t="shared" si="325"/>
        <v>0</v>
      </c>
      <c r="DA251" s="172">
        <f t="shared" si="327"/>
        <v>0</v>
      </c>
      <c r="DB251" s="173">
        <f t="shared" si="328"/>
        <v>0</v>
      </c>
      <c r="DC251" s="172">
        <f t="shared" si="375"/>
        <v>0</v>
      </c>
      <c r="DD251" s="172">
        <f t="shared" si="375"/>
        <v>0</v>
      </c>
      <c r="DE251" s="172">
        <f t="shared" si="375"/>
        <v>0</v>
      </c>
      <c r="DF251" s="172">
        <f t="shared" si="330"/>
        <v>0</v>
      </c>
      <c r="DG251" s="136"/>
      <c r="DH251" s="136"/>
      <c r="DI251" s="3"/>
      <c r="DJ251" s="8"/>
      <c r="DK251" s="8"/>
      <c r="DL251" s="8"/>
      <c r="DM251" s="8"/>
      <c r="DN251" s="8"/>
      <c r="DO251" s="8"/>
      <c r="DP251" s="8"/>
      <c r="DQ251" s="3"/>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row>
    <row r="252" spans="1:155" s="566" customFormat="1" ht="15.75" customHeight="1">
      <c r="A252" s="422"/>
      <c r="B252" s="27"/>
      <c r="C252" s="27"/>
      <c r="D252" s="27"/>
      <c r="E252" s="27"/>
      <c r="F252" s="27"/>
      <c r="G252" s="27"/>
      <c r="H252" s="27"/>
      <c r="I252" s="27"/>
      <c r="J252" s="404"/>
      <c r="K252" s="307"/>
      <c r="L252" s="307"/>
      <c r="M252" s="307"/>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293"/>
      <c r="AW252" s="14"/>
      <c r="AX252" s="14"/>
      <c r="AY252" s="14"/>
      <c r="AZ252" s="14"/>
      <c r="BA252" s="14"/>
      <c r="BB252" s="14"/>
      <c r="BC252" s="14"/>
      <c r="BD252" s="70"/>
      <c r="BE252" s="165" t="s">
        <v>18</v>
      </c>
      <c r="BF252" s="23">
        <v>22</v>
      </c>
      <c r="BG252" s="23">
        <v>21</v>
      </c>
      <c r="BH252" s="23">
        <v>6</v>
      </c>
      <c r="BI252" s="90" t="b">
        <f t="shared" si="326"/>
        <v>0</v>
      </c>
      <c r="BJ252" s="46" t="b">
        <f t="shared" si="348"/>
        <v>0</v>
      </c>
      <c r="BK252" s="166">
        <f t="shared" si="349"/>
        <v>0</v>
      </c>
      <c r="BL252" s="175">
        <f>IF(SUM(BL$232:BL251,BK252)&gt;$BQ$4,0,BK252)</f>
        <v>0</v>
      </c>
      <c r="BM252" s="23">
        <f t="shared" si="311"/>
        <v>0</v>
      </c>
      <c r="BN252" s="90">
        <f t="shared" si="312"/>
        <v>0</v>
      </c>
      <c r="BO252" s="24">
        <f t="shared" si="332"/>
        <v>0</v>
      </c>
      <c r="BP252" s="349">
        <f t="shared" si="350"/>
        <v>0</v>
      </c>
      <c r="BQ252" s="171">
        <f t="shared" si="351"/>
        <v>0</v>
      </c>
      <c r="BR252" s="170">
        <f t="shared" si="313"/>
        <v>0</v>
      </c>
      <c r="BS252" s="168">
        <f t="shared" si="352"/>
        <v>0</v>
      </c>
      <c r="BT252" s="171">
        <f t="shared" si="353"/>
        <v>0</v>
      </c>
      <c r="BU252" s="170">
        <f t="shared" si="314"/>
        <v>0</v>
      </c>
      <c r="BV252" s="168">
        <f t="shared" si="354"/>
        <v>0</v>
      </c>
      <c r="BW252" s="171">
        <f t="shared" si="355"/>
        <v>0</v>
      </c>
      <c r="BX252" s="170">
        <f t="shared" si="315"/>
        <v>0</v>
      </c>
      <c r="BY252" s="168">
        <f t="shared" si="356"/>
        <v>0</v>
      </c>
      <c r="BZ252" s="171">
        <f t="shared" si="357"/>
        <v>0</v>
      </c>
      <c r="CA252" s="170">
        <f t="shared" si="316"/>
        <v>0</v>
      </c>
      <c r="CB252" s="90">
        <f t="shared" si="358"/>
        <v>0</v>
      </c>
      <c r="CC252" s="171">
        <f t="shared" si="359"/>
        <v>0</v>
      </c>
      <c r="CD252" s="170">
        <f t="shared" si="317"/>
        <v>0</v>
      </c>
      <c r="CE252" s="90">
        <f t="shared" si="360"/>
        <v>0</v>
      </c>
      <c r="CF252" s="171">
        <f t="shared" si="361"/>
        <v>0</v>
      </c>
      <c r="CG252" s="170">
        <f t="shared" si="318"/>
        <v>0</v>
      </c>
      <c r="CH252" s="90">
        <f t="shared" si="362"/>
        <v>0</v>
      </c>
      <c r="CI252" s="171">
        <f t="shared" si="363"/>
        <v>0</v>
      </c>
      <c r="CJ252" s="170">
        <f t="shared" si="319"/>
        <v>0</v>
      </c>
      <c r="CK252" s="90">
        <f t="shared" si="364"/>
        <v>0</v>
      </c>
      <c r="CL252" s="171">
        <f t="shared" si="365"/>
        <v>0</v>
      </c>
      <c r="CM252" s="170">
        <f t="shared" si="320"/>
        <v>0</v>
      </c>
      <c r="CN252" s="90">
        <f t="shared" si="366"/>
        <v>0</v>
      </c>
      <c r="CO252" s="171">
        <f t="shared" si="367"/>
        <v>0</v>
      </c>
      <c r="CP252" s="170">
        <f t="shared" si="321"/>
        <v>0</v>
      </c>
      <c r="CQ252" s="90">
        <f t="shared" si="368"/>
        <v>0</v>
      </c>
      <c r="CR252" s="171">
        <f t="shared" si="369"/>
        <v>0</v>
      </c>
      <c r="CS252" s="170">
        <f t="shared" si="322"/>
        <v>0</v>
      </c>
      <c r="CT252" s="90">
        <f t="shared" si="370"/>
        <v>0</v>
      </c>
      <c r="CU252" s="171">
        <f t="shared" si="371"/>
        <v>0</v>
      </c>
      <c r="CV252" s="170">
        <f t="shared" si="323"/>
        <v>0</v>
      </c>
      <c r="CW252" s="90">
        <f t="shared" si="372"/>
        <v>0</v>
      </c>
      <c r="CX252" s="171">
        <f t="shared" si="373"/>
        <v>0</v>
      </c>
      <c r="CY252" s="170">
        <f t="shared" si="324"/>
        <v>0</v>
      </c>
      <c r="CZ252" s="168">
        <f t="shared" si="325"/>
        <v>0</v>
      </c>
      <c r="DA252" s="172">
        <f t="shared" si="327"/>
        <v>0</v>
      </c>
      <c r="DB252" s="173">
        <f t="shared" si="328"/>
        <v>0</v>
      </c>
      <c r="DC252" s="172">
        <f t="shared" si="375"/>
        <v>0</v>
      </c>
      <c r="DD252" s="172">
        <f t="shared" si="375"/>
        <v>0</v>
      </c>
      <c r="DE252" s="172">
        <f t="shared" si="375"/>
        <v>0</v>
      </c>
      <c r="DF252" s="172">
        <f t="shared" si="330"/>
        <v>0</v>
      </c>
      <c r="DG252" s="136"/>
      <c r="DH252" s="136"/>
      <c r="DI252" s="3"/>
      <c r="DJ252" s="8"/>
      <c r="DK252" s="8"/>
      <c r="DL252" s="8"/>
      <c r="DM252" s="8"/>
      <c r="DN252" s="8"/>
      <c r="DO252" s="8"/>
      <c r="DP252" s="8"/>
      <c r="DQ252" s="3"/>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row>
    <row r="253" spans="1:155" s="566" customFormat="1" ht="14.25" customHeight="1">
      <c r="A253" s="422"/>
      <c r="B253" s="27"/>
      <c r="C253" s="27"/>
      <c r="D253" s="27"/>
      <c r="E253" s="27"/>
      <c r="F253" s="27"/>
      <c r="G253" s="27"/>
      <c r="H253" s="27"/>
      <c r="I253" s="27"/>
      <c r="J253" s="404"/>
      <c r="K253" s="307"/>
      <c r="L253" s="307"/>
      <c r="M253" s="307"/>
      <c r="N253" s="14" t="s">
        <v>481</v>
      </c>
      <c r="O253" s="14"/>
      <c r="P253" s="14" t="b">
        <f>G258&lt;N266</f>
        <v>0</v>
      </c>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293"/>
      <c r="AW253" s="14"/>
      <c r="AX253" s="14"/>
      <c r="AY253" s="14"/>
      <c r="AZ253" s="14"/>
      <c r="BA253" s="14"/>
      <c r="BB253" s="14"/>
      <c r="BC253" s="14"/>
      <c r="BD253" s="70"/>
      <c r="BE253" s="165" t="s">
        <v>18</v>
      </c>
      <c r="BF253" s="23">
        <v>22</v>
      </c>
      <c r="BG253" s="23">
        <v>22</v>
      </c>
      <c r="BH253" s="23">
        <v>7</v>
      </c>
      <c r="BI253" s="90" t="b">
        <f t="shared" si="326"/>
        <v>0</v>
      </c>
      <c r="BJ253" s="46" t="b">
        <f t="shared" si="348"/>
        <v>0</v>
      </c>
      <c r="BK253" s="166">
        <f t="shared" si="349"/>
        <v>0</v>
      </c>
      <c r="BL253" s="175">
        <f>IF(SUM(BL$232:BL252,BK253)&gt;$BQ$4,0,BK253)</f>
        <v>0</v>
      </c>
      <c r="BM253" s="23">
        <f t="shared" si="311"/>
        <v>0</v>
      </c>
      <c r="BN253" s="90">
        <f t="shared" si="312"/>
        <v>0</v>
      </c>
      <c r="BO253" s="24">
        <f t="shared" si="332"/>
        <v>0</v>
      </c>
      <c r="BP253" s="349">
        <f t="shared" si="350"/>
        <v>0</v>
      </c>
      <c r="BQ253" s="171">
        <f t="shared" si="351"/>
        <v>0</v>
      </c>
      <c r="BR253" s="170">
        <f t="shared" si="313"/>
        <v>0</v>
      </c>
      <c r="BS253" s="168">
        <f t="shared" si="352"/>
        <v>0</v>
      </c>
      <c r="BT253" s="171">
        <f t="shared" si="353"/>
        <v>0</v>
      </c>
      <c r="BU253" s="170">
        <f t="shared" si="314"/>
        <v>0</v>
      </c>
      <c r="BV253" s="168">
        <f t="shared" si="354"/>
        <v>0</v>
      </c>
      <c r="BW253" s="171">
        <f t="shared" si="355"/>
        <v>0</v>
      </c>
      <c r="BX253" s="170">
        <f t="shared" si="315"/>
        <v>0</v>
      </c>
      <c r="BY253" s="168">
        <f t="shared" si="356"/>
        <v>0</v>
      </c>
      <c r="BZ253" s="171">
        <f t="shared" si="357"/>
        <v>0</v>
      </c>
      <c r="CA253" s="170">
        <f t="shared" si="316"/>
        <v>0</v>
      </c>
      <c r="CB253" s="90">
        <f t="shared" si="358"/>
        <v>0</v>
      </c>
      <c r="CC253" s="171">
        <f t="shared" si="359"/>
        <v>0</v>
      </c>
      <c r="CD253" s="170">
        <f t="shared" si="317"/>
        <v>0</v>
      </c>
      <c r="CE253" s="90">
        <f t="shared" si="360"/>
        <v>0</v>
      </c>
      <c r="CF253" s="171">
        <f t="shared" si="361"/>
        <v>0</v>
      </c>
      <c r="CG253" s="170">
        <f t="shared" si="318"/>
        <v>0</v>
      </c>
      <c r="CH253" s="90">
        <f t="shared" si="362"/>
        <v>0</v>
      </c>
      <c r="CI253" s="171">
        <f t="shared" si="363"/>
        <v>0</v>
      </c>
      <c r="CJ253" s="170">
        <f t="shared" si="319"/>
        <v>0</v>
      </c>
      <c r="CK253" s="90">
        <f t="shared" si="364"/>
        <v>0</v>
      </c>
      <c r="CL253" s="171">
        <f t="shared" si="365"/>
        <v>0</v>
      </c>
      <c r="CM253" s="170">
        <f t="shared" si="320"/>
        <v>0</v>
      </c>
      <c r="CN253" s="90">
        <f t="shared" si="366"/>
        <v>0</v>
      </c>
      <c r="CO253" s="171">
        <f t="shared" si="367"/>
        <v>0</v>
      </c>
      <c r="CP253" s="170">
        <f t="shared" si="321"/>
        <v>0</v>
      </c>
      <c r="CQ253" s="90">
        <f t="shared" si="368"/>
        <v>0</v>
      </c>
      <c r="CR253" s="171">
        <f t="shared" si="369"/>
        <v>0</v>
      </c>
      <c r="CS253" s="170">
        <f t="shared" si="322"/>
        <v>0</v>
      </c>
      <c r="CT253" s="90">
        <f t="shared" si="370"/>
        <v>0</v>
      </c>
      <c r="CU253" s="171">
        <f t="shared" si="371"/>
        <v>0</v>
      </c>
      <c r="CV253" s="170">
        <f t="shared" si="323"/>
        <v>0</v>
      </c>
      <c r="CW253" s="90">
        <f t="shared" si="372"/>
        <v>0</v>
      </c>
      <c r="CX253" s="171">
        <f t="shared" si="373"/>
        <v>0</v>
      </c>
      <c r="CY253" s="170">
        <f t="shared" si="324"/>
        <v>0</v>
      </c>
      <c r="CZ253" s="168">
        <f t="shared" si="325"/>
        <v>0</v>
      </c>
      <c r="DA253" s="172">
        <f t="shared" si="327"/>
        <v>0</v>
      </c>
      <c r="DB253" s="173">
        <f t="shared" si="328"/>
        <v>0</v>
      </c>
      <c r="DC253" s="172">
        <f t="shared" si="375"/>
        <v>0</v>
      </c>
      <c r="DD253" s="172">
        <f t="shared" si="375"/>
        <v>0</v>
      </c>
      <c r="DE253" s="172">
        <f t="shared" si="375"/>
        <v>0</v>
      </c>
      <c r="DF253" s="172">
        <f>IF(DA253-(DE252+CZ253)&lt;0,0,DA253-(DE252+CZ253))</f>
        <v>0</v>
      </c>
      <c r="DG253" s="136"/>
      <c r="DH253" s="136"/>
      <c r="DI253" s="3"/>
      <c r="DJ253" s="8"/>
      <c r="DK253" s="8"/>
      <c r="DL253" s="8"/>
      <c r="DM253" s="8"/>
      <c r="DN253" s="8"/>
      <c r="DO253" s="8"/>
      <c r="DP253" s="8"/>
      <c r="DQ253" s="3"/>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row>
    <row r="254" spans="1:155" s="566" customFormat="1" ht="15.75" customHeight="1">
      <c r="A254" s="422"/>
      <c r="B254" s="221" t="s">
        <v>482</v>
      </c>
      <c r="C254" s="430"/>
      <c r="D254" s="430"/>
      <c r="E254" s="27"/>
      <c r="F254" s="27"/>
      <c r="G254" s="27"/>
      <c r="H254" s="27"/>
      <c r="I254" s="667" t="s">
        <v>608</v>
      </c>
      <c r="J254" s="671"/>
      <c r="K254" s="672" t="s">
        <v>233</v>
      </c>
      <c r="L254" s="307"/>
      <c r="M254" s="307"/>
      <c r="N254" s="14" t="s">
        <v>483</v>
      </c>
      <c r="O254" s="14"/>
      <c r="P254" s="14" t="b">
        <f>G258&gt;=N266</f>
        <v>1</v>
      </c>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293"/>
      <c r="AW254" s="14"/>
      <c r="AX254" s="14"/>
      <c r="AY254" s="14"/>
      <c r="AZ254" s="14"/>
      <c r="BA254" s="14"/>
      <c r="BB254" s="14"/>
      <c r="BC254" s="14"/>
      <c r="BD254" s="70"/>
      <c r="BE254" s="165" t="s">
        <v>18</v>
      </c>
      <c r="BF254" s="23">
        <v>22</v>
      </c>
      <c r="BG254" s="23">
        <v>23</v>
      </c>
      <c r="BH254" s="23">
        <v>1</v>
      </c>
      <c r="BI254" s="90" t="b">
        <f t="shared" si="326"/>
        <v>1</v>
      </c>
      <c r="BJ254" s="46" t="b">
        <f t="shared" si="348"/>
        <v>0</v>
      </c>
      <c r="BK254" s="166">
        <f>IF(BJ254,BQ$8,0)</f>
        <v>0</v>
      </c>
      <c r="BL254" s="175">
        <f>IF(SUM(BL$232:BL253,BK254)&gt;$BQ$4,0,BK254)</f>
        <v>0</v>
      </c>
      <c r="BM254" s="23">
        <f t="shared" si="311"/>
        <v>0</v>
      </c>
      <c r="BN254" s="90">
        <f t="shared" si="312"/>
        <v>0</v>
      </c>
      <c r="BO254" s="24">
        <f t="shared" si="332"/>
        <v>0</v>
      </c>
      <c r="BP254" s="349">
        <f t="shared" si="350"/>
        <v>0</v>
      </c>
      <c r="BQ254" s="171">
        <f t="shared" si="351"/>
        <v>0</v>
      </c>
      <c r="BR254" s="170">
        <f t="shared" si="313"/>
        <v>0</v>
      </c>
      <c r="BS254" s="168">
        <f t="shared" si="352"/>
        <v>0</v>
      </c>
      <c r="BT254" s="171">
        <f t="shared" si="353"/>
        <v>0</v>
      </c>
      <c r="BU254" s="170">
        <f t="shared" si="314"/>
        <v>0</v>
      </c>
      <c r="BV254" s="168">
        <f t="shared" si="354"/>
        <v>0</v>
      </c>
      <c r="BW254" s="171">
        <f t="shared" si="355"/>
        <v>0</v>
      </c>
      <c r="BX254" s="170">
        <f t="shared" si="315"/>
        <v>0</v>
      </c>
      <c r="BY254" s="168">
        <f t="shared" si="356"/>
        <v>0</v>
      </c>
      <c r="BZ254" s="171">
        <f t="shared" si="357"/>
        <v>0</v>
      </c>
      <c r="CA254" s="170">
        <f t="shared" si="316"/>
        <v>0</v>
      </c>
      <c r="CB254" s="90">
        <f t="shared" si="358"/>
        <v>0</v>
      </c>
      <c r="CC254" s="171">
        <f t="shared" si="359"/>
        <v>0</v>
      </c>
      <c r="CD254" s="170">
        <f t="shared" si="317"/>
        <v>0</v>
      </c>
      <c r="CE254" s="90">
        <f t="shared" si="360"/>
        <v>0</v>
      </c>
      <c r="CF254" s="171">
        <f t="shared" si="361"/>
        <v>0</v>
      </c>
      <c r="CG254" s="170">
        <f t="shared" si="318"/>
        <v>0</v>
      </c>
      <c r="CH254" s="90">
        <f t="shared" si="362"/>
        <v>0</v>
      </c>
      <c r="CI254" s="171">
        <f t="shared" si="363"/>
        <v>0</v>
      </c>
      <c r="CJ254" s="170">
        <f t="shared" si="319"/>
        <v>0</v>
      </c>
      <c r="CK254" s="90">
        <f t="shared" si="364"/>
        <v>0</v>
      </c>
      <c r="CL254" s="171">
        <f t="shared" si="365"/>
        <v>0</v>
      </c>
      <c r="CM254" s="170">
        <f t="shared" si="320"/>
        <v>0</v>
      </c>
      <c r="CN254" s="90">
        <f t="shared" si="366"/>
        <v>0</v>
      </c>
      <c r="CO254" s="171">
        <f t="shared" si="367"/>
        <v>0</v>
      </c>
      <c r="CP254" s="170">
        <f t="shared" si="321"/>
        <v>0</v>
      </c>
      <c r="CQ254" s="90">
        <f t="shared" si="368"/>
        <v>0</v>
      </c>
      <c r="CR254" s="171">
        <f t="shared" si="369"/>
        <v>0</v>
      </c>
      <c r="CS254" s="170">
        <f t="shared" si="322"/>
        <v>0</v>
      </c>
      <c r="CT254" s="90">
        <f t="shared" si="370"/>
        <v>0</v>
      </c>
      <c r="CU254" s="171">
        <f t="shared" si="371"/>
        <v>0</v>
      </c>
      <c r="CV254" s="170">
        <f t="shared" si="323"/>
        <v>0</v>
      </c>
      <c r="CW254" s="90">
        <f t="shared" si="372"/>
        <v>0</v>
      </c>
      <c r="CX254" s="171">
        <f t="shared" si="373"/>
        <v>0</v>
      </c>
      <c r="CY254" s="170">
        <f t="shared" si="324"/>
        <v>0</v>
      </c>
      <c r="CZ254" s="168">
        <f t="shared" si="325"/>
        <v>0</v>
      </c>
      <c r="DA254" s="172">
        <f t="shared" si="327"/>
        <v>0</v>
      </c>
      <c r="DB254" s="173">
        <f t="shared" si="328"/>
        <v>0</v>
      </c>
      <c r="DC254" s="172">
        <f t="shared" si="375"/>
        <v>0</v>
      </c>
      <c r="DD254" s="172">
        <f t="shared" si="375"/>
        <v>0</v>
      </c>
      <c r="DE254" s="172">
        <f t="shared" si="375"/>
        <v>0</v>
      </c>
      <c r="DF254" s="172">
        <f>IF(DA254-(DE253+CZ254)&lt;0,0,DA254-(DE253+CZ254))</f>
        <v>0</v>
      </c>
      <c r="DG254" s="136"/>
      <c r="DH254" s="136"/>
      <c r="DI254" s="3"/>
      <c r="DJ254" s="8"/>
      <c r="DK254" s="8"/>
      <c r="DL254" s="8"/>
      <c r="DM254" s="8"/>
      <c r="DN254" s="8"/>
      <c r="DO254" s="8"/>
      <c r="DP254" s="8"/>
      <c r="DQ254" s="3"/>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row>
    <row r="255" spans="1:155" s="566" customFormat="1" ht="32.25" customHeight="1">
      <c r="A255" s="422"/>
      <c r="B255" s="70"/>
      <c r="C255" s="190" t="s">
        <v>484</v>
      </c>
      <c r="D255" s="27"/>
      <c r="E255" s="662" t="s">
        <v>36</v>
      </c>
      <c r="F255" s="662"/>
      <c r="G255" s="322"/>
      <c r="H255" s="27"/>
      <c r="I255" s="667"/>
      <c r="J255" s="671"/>
      <c r="K255" s="673"/>
      <c r="L255" s="307"/>
      <c r="M255" s="307"/>
      <c r="N255" s="14" t="s">
        <v>485</v>
      </c>
      <c r="O255" s="14"/>
      <c r="P255" s="14" t="b">
        <f>K254="Yes"</f>
        <v>1</v>
      </c>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293"/>
      <c r="AW255" s="14"/>
      <c r="AX255" s="14"/>
      <c r="AY255" s="14"/>
      <c r="AZ255" s="14"/>
      <c r="BA255" s="14"/>
      <c r="BB255" s="14"/>
      <c r="BC255" s="14"/>
      <c r="BD255" s="27"/>
      <c r="BE255" s="165" t="s">
        <v>18</v>
      </c>
      <c r="BF255" s="23">
        <v>22</v>
      </c>
      <c r="BG255" s="23">
        <v>24</v>
      </c>
      <c r="BH255" s="23">
        <v>2</v>
      </c>
      <c r="BI255" s="90" t="b">
        <f t="shared" si="326"/>
        <v>1</v>
      </c>
      <c r="BJ255" s="46" t="b">
        <f t="shared" si="348"/>
        <v>0</v>
      </c>
      <c r="BK255" s="166">
        <f>IF(BJ255,BQ$8,0)</f>
        <v>0</v>
      </c>
      <c r="BL255" s="175">
        <f>IF(SUM(BL$232:BL254,BK255)&gt;$BQ$4,0,BK255)</f>
        <v>0</v>
      </c>
      <c r="BM255" s="23">
        <f t="shared" si="311"/>
        <v>0</v>
      </c>
      <c r="BN255" s="90">
        <f t="shared" si="312"/>
        <v>0</v>
      </c>
      <c r="BO255" s="24">
        <f t="shared" si="332"/>
        <v>0</v>
      </c>
      <c r="BP255" s="349">
        <f t="shared" si="350"/>
        <v>0</v>
      </c>
      <c r="BQ255" s="171">
        <f t="shared" si="351"/>
        <v>0</v>
      </c>
      <c r="BR255" s="170">
        <f t="shared" si="313"/>
        <v>0</v>
      </c>
      <c r="BS255" s="168">
        <f t="shared" si="352"/>
        <v>0</v>
      </c>
      <c r="BT255" s="171">
        <f t="shared" si="353"/>
        <v>0</v>
      </c>
      <c r="BU255" s="170">
        <f t="shared" si="314"/>
        <v>0</v>
      </c>
      <c r="BV255" s="168">
        <f t="shared" si="354"/>
        <v>0</v>
      </c>
      <c r="BW255" s="171">
        <f t="shared" si="355"/>
        <v>0</v>
      </c>
      <c r="BX255" s="170">
        <f t="shared" si="315"/>
        <v>0</v>
      </c>
      <c r="BY255" s="168">
        <f t="shared" si="356"/>
        <v>0</v>
      </c>
      <c r="BZ255" s="171">
        <f t="shared" si="357"/>
        <v>0</v>
      </c>
      <c r="CA255" s="170">
        <f t="shared" si="316"/>
        <v>0</v>
      </c>
      <c r="CB255" s="90">
        <f t="shared" si="358"/>
        <v>0</v>
      </c>
      <c r="CC255" s="171">
        <f t="shared" si="359"/>
        <v>0</v>
      </c>
      <c r="CD255" s="170">
        <f t="shared" si="317"/>
        <v>0</v>
      </c>
      <c r="CE255" s="90">
        <f t="shared" si="360"/>
        <v>0</v>
      </c>
      <c r="CF255" s="171">
        <f t="shared" si="361"/>
        <v>0</v>
      </c>
      <c r="CG255" s="170">
        <f t="shared" si="318"/>
        <v>0</v>
      </c>
      <c r="CH255" s="90">
        <f t="shared" si="362"/>
        <v>0</v>
      </c>
      <c r="CI255" s="171">
        <f t="shared" si="363"/>
        <v>0</v>
      </c>
      <c r="CJ255" s="170">
        <f t="shared" si="319"/>
        <v>0</v>
      </c>
      <c r="CK255" s="90">
        <f t="shared" si="364"/>
        <v>0</v>
      </c>
      <c r="CL255" s="171">
        <f t="shared" si="365"/>
        <v>0</v>
      </c>
      <c r="CM255" s="170">
        <f t="shared" si="320"/>
        <v>0</v>
      </c>
      <c r="CN255" s="90">
        <f t="shared" si="366"/>
        <v>0</v>
      </c>
      <c r="CO255" s="171">
        <f t="shared" si="367"/>
        <v>0</v>
      </c>
      <c r="CP255" s="170">
        <f t="shared" si="321"/>
        <v>0</v>
      </c>
      <c r="CQ255" s="90">
        <f t="shared" si="368"/>
        <v>0</v>
      </c>
      <c r="CR255" s="171">
        <f t="shared" si="369"/>
        <v>0</v>
      </c>
      <c r="CS255" s="170">
        <f t="shared" si="322"/>
        <v>0</v>
      </c>
      <c r="CT255" s="90">
        <f t="shared" si="370"/>
        <v>0</v>
      </c>
      <c r="CU255" s="171">
        <f t="shared" si="371"/>
        <v>0</v>
      </c>
      <c r="CV255" s="170">
        <f t="shared" si="323"/>
        <v>0</v>
      </c>
      <c r="CW255" s="90">
        <f t="shared" si="372"/>
        <v>0</v>
      </c>
      <c r="CX255" s="171">
        <f t="shared" si="373"/>
        <v>0</v>
      </c>
      <c r="CY255" s="170">
        <f t="shared" si="324"/>
        <v>0</v>
      </c>
      <c r="CZ255" s="168">
        <f t="shared" si="325"/>
        <v>0</v>
      </c>
      <c r="DA255" s="172">
        <f t="shared" si="327"/>
        <v>0</v>
      </c>
      <c r="DB255" s="173">
        <f t="shared" si="328"/>
        <v>0</v>
      </c>
      <c r="DC255" s="172">
        <f t="shared" si="375"/>
        <v>0</v>
      </c>
      <c r="DD255" s="172">
        <f t="shared" si="375"/>
        <v>0</v>
      </c>
      <c r="DE255" s="172">
        <f t="shared" si="375"/>
        <v>0</v>
      </c>
      <c r="DF255" s="172">
        <f>IF(DA255-(DE254+CZ255)&lt;0,0,DA255-(DE254+CZ255))</f>
        <v>0</v>
      </c>
      <c r="DG255" s="136"/>
      <c r="DH255" s="136"/>
      <c r="DI255" s="3"/>
      <c r="DJ255" s="8"/>
      <c r="DK255" s="8"/>
      <c r="DL255" s="8"/>
      <c r="DM255" s="8"/>
      <c r="DN255" s="8"/>
      <c r="DO255" s="8"/>
      <c r="DP255" s="8"/>
      <c r="DQ255" s="3"/>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row>
    <row r="256" spans="1:155" s="566" customFormat="1" ht="27.75" customHeight="1">
      <c r="A256" s="422"/>
      <c r="B256" s="194" t="s">
        <v>168</v>
      </c>
      <c r="C256" s="310"/>
      <c r="D256" s="27"/>
      <c r="E256" s="655" t="s">
        <v>486</v>
      </c>
      <c r="F256" s="656"/>
      <c r="G256" s="195">
        <f>SUM(D337:D342)</f>
        <v>0</v>
      </c>
      <c r="H256" s="27"/>
      <c r="I256" s="27"/>
      <c r="J256" s="27"/>
      <c r="K256" s="27"/>
      <c r="L256" s="307"/>
      <c r="M256" s="307"/>
      <c r="N256" s="14" t="s">
        <v>487</v>
      </c>
      <c r="O256" s="14"/>
      <c r="P256" s="14">
        <f>P254+P255</f>
        <v>2</v>
      </c>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293"/>
      <c r="AW256" s="14"/>
      <c r="AX256" s="14"/>
      <c r="AY256" s="14"/>
      <c r="AZ256" s="14"/>
      <c r="BA256" s="14"/>
      <c r="BB256" s="14"/>
      <c r="BC256" s="14"/>
      <c r="BD256" s="27"/>
      <c r="BE256" s="165" t="s">
        <v>18</v>
      </c>
      <c r="BF256" s="23">
        <v>22</v>
      </c>
      <c r="BG256" s="23">
        <v>25</v>
      </c>
      <c r="BH256" s="23">
        <v>3</v>
      </c>
      <c r="BI256" s="90" t="b">
        <f t="shared" si="326"/>
        <v>1</v>
      </c>
      <c r="BJ256" s="46" t="b">
        <f t="shared" si="348"/>
        <v>0</v>
      </c>
      <c r="BK256" s="166">
        <f t="shared" si="349"/>
        <v>0</v>
      </c>
      <c r="BL256" s="175">
        <f>IF(SUM(BL$232:BL255,BK256)&gt;$BQ$4,0,BK256)</f>
        <v>0</v>
      </c>
      <c r="BM256" s="23">
        <f t="shared" si="311"/>
        <v>0</v>
      </c>
      <c r="BN256" s="90">
        <f t="shared" si="312"/>
        <v>0</v>
      </c>
      <c r="BO256" s="24">
        <f t="shared" si="332"/>
        <v>0</v>
      </c>
      <c r="BP256" s="349">
        <f t="shared" si="350"/>
        <v>0</v>
      </c>
      <c r="BQ256" s="171">
        <f t="shared" si="351"/>
        <v>0</v>
      </c>
      <c r="BR256" s="170">
        <f t="shared" si="313"/>
        <v>0</v>
      </c>
      <c r="BS256" s="168">
        <f t="shared" si="352"/>
        <v>0</v>
      </c>
      <c r="BT256" s="171">
        <f t="shared" si="353"/>
        <v>0</v>
      </c>
      <c r="BU256" s="170">
        <f t="shared" si="314"/>
        <v>0</v>
      </c>
      <c r="BV256" s="168">
        <f t="shared" si="354"/>
        <v>0</v>
      </c>
      <c r="BW256" s="171">
        <f t="shared" si="355"/>
        <v>0</v>
      </c>
      <c r="BX256" s="170">
        <f t="shared" si="315"/>
        <v>0</v>
      </c>
      <c r="BY256" s="168">
        <f t="shared" si="356"/>
        <v>0</v>
      </c>
      <c r="BZ256" s="171">
        <f t="shared" si="357"/>
        <v>0</v>
      </c>
      <c r="CA256" s="170">
        <f t="shared" si="316"/>
        <v>0</v>
      </c>
      <c r="CB256" s="90">
        <f t="shared" si="358"/>
        <v>0</v>
      </c>
      <c r="CC256" s="171">
        <f t="shared" si="359"/>
        <v>0</v>
      </c>
      <c r="CD256" s="170">
        <f t="shared" si="317"/>
        <v>0</v>
      </c>
      <c r="CE256" s="90">
        <f t="shared" si="360"/>
        <v>0</v>
      </c>
      <c r="CF256" s="171">
        <f t="shared" si="361"/>
        <v>0</v>
      </c>
      <c r="CG256" s="170">
        <f t="shared" si="318"/>
        <v>0</v>
      </c>
      <c r="CH256" s="90">
        <f t="shared" si="362"/>
        <v>0</v>
      </c>
      <c r="CI256" s="171">
        <f t="shared" si="363"/>
        <v>0</v>
      </c>
      <c r="CJ256" s="170">
        <f t="shared" si="319"/>
        <v>0</v>
      </c>
      <c r="CK256" s="90">
        <f t="shared" si="364"/>
        <v>0</v>
      </c>
      <c r="CL256" s="171">
        <f t="shared" si="365"/>
        <v>0</v>
      </c>
      <c r="CM256" s="170">
        <f t="shared" si="320"/>
        <v>0</v>
      </c>
      <c r="CN256" s="90">
        <f t="shared" si="366"/>
        <v>0</v>
      </c>
      <c r="CO256" s="171">
        <f t="shared" si="367"/>
        <v>0</v>
      </c>
      <c r="CP256" s="170">
        <f t="shared" si="321"/>
        <v>0</v>
      </c>
      <c r="CQ256" s="90">
        <f t="shared" si="368"/>
        <v>0</v>
      </c>
      <c r="CR256" s="171">
        <f t="shared" si="369"/>
        <v>0</v>
      </c>
      <c r="CS256" s="170">
        <f t="shared" si="322"/>
        <v>0</v>
      </c>
      <c r="CT256" s="90">
        <f t="shared" si="370"/>
        <v>0</v>
      </c>
      <c r="CU256" s="171">
        <f t="shared" si="371"/>
        <v>0</v>
      </c>
      <c r="CV256" s="170">
        <f t="shared" si="323"/>
        <v>0</v>
      </c>
      <c r="CW256" s="90">
        <f t="shared" si="372"/>
        <v>0</v>
      </c>
      <c r="CX256" s="171">
        <f t="shared" si="373"/>
        <v>0</v>
      </c>
      <c r="CY256" s="170">
        <f t="shared" si="324"/>
        <v>0</v>
      </c>
      <c r="CZ256" s="168">
        <f t="shared" si="325"/>
        <v>0</v>
      </c>
      <c r="DA256" s="172">
        <f t="shared" si="327"/>
        <v>0</v>
      </c>
      <c r="DB256" s="173">
        <f t="shared" si="328"/>
        <v>0</v>
      </c>
      <c r="DC256" s="172">
        <f t="shared" si="375"/>
        <v>0</v>
      </c>
      <c r="DD256" s="172">
        <f t="shared" si="375"/>
        <v>0</v>
      </c>
      <c r="DE256" s="172">
        <f t="shared" si="375"/>
        <v>0</v>
      </c>
      <c r="DF256" s="172">
        <f>IF(DA256-(DE255+CZ256)&lt;0,0,DA256-(DE255+CZ256))</f>
        <v>0</v>
      </c>
      <c r="DG256" s="136"/>
      <c r="DH256" s="136"/>
      <c r="DI256" s="3"/>
      <c r="DJ256" s="8"/>
      <c r="DK256" s="8"/>
      <c r="DL256" s="8"/>
      <c r="DM256" s="8"/>
      <c r="DN256" s="8"/>
      <c r="DO256" s="8"/>
      <c r="DP256" s="8"/>
      <c r="DQ256" s="3"/>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row>
    <row r="257" spans="1:155" s="566" customFormat="1" ht="15" customHeight="1">
      <c r="A257" s="422"/>
      <c r="B257" s="194" t="s">
        <v>172</v>
      </c>
      <c r="C257" s="310"/>
      <c r="D257" s="27"/>
      <c r="E257" s="655" t="s">
        <v>488</v>
      </c>
      <c r="F257" s="656"/>
      <c r="G257" s="195">
        <f>SUM(C256:C267)*DK261/1000</f>
        <v>0</v>
      </c>
      <c r="H257" s="27"/>
      <c r="I257" s="307"/>
      <c r="J257" s="307"/>
      <c r="K257" s="307"/>
      <c r="L257" s="307"/>
      <c r="M257" s="307"/>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293"/>
      <c r="AW257" s="14"/>
      <c r="AX257" s="14"/>
      <c r="AY257" s="14"/>
      <c r="AZ257" s="14"/>
      <c r="BA257" s="14"/>
      <c r="BB257" s="14"/>
      <c r="BC257" s="14"/>
      <c r="BD257" s="27"/>
      <c r="BE257" s="165" t="s">
        <v>18</v>
      </c>
      <c r="BF257" s="23">
        <v>22</v>
      </c>
      <c r="BG257" s="23">
        <v>26</v>
      </c>
      <c r="BH257" s="23">
        <v>4</v>
      </c>
      <c r="BI257" s="90" t="b">
        <f t="shared" si="326"/>
        <v>1</v>
      </c>
      <c r="BJ257" s="46" t="b">
        <f t="shared" si="348"/>
        <v>0</v>
      </c>
      <c r="BK257" s="166">
        <f t="shared" si="349"/>
        <v>0</v>
      </c>
      <c r="BL257" s="175">
        <f>IF(SUM(BL$232:BL256,BK257)&gt;$BQ$4,0,BK257)</f>
        <v>0</v>
      </c>
      <c r="BM257" s="23">
        <f t="shared" si="311"/>
        <v>0</v>
      </c>
      <c r="BN257" s="90">
        <f t="shared" si="312"/>
        <v>0</v>
      </c>
      <c r="BO257" s="24">
        <f t="shared" si="332"/>
        <v>0</v>
      </c>
      <c r="BP257" s="349">
        <f t="shared" si="350"/>
        <v>0</v>
      </c>
      <c r="BQ257" s="171">
        <f t="shared" si="351"/>
        <v>0</v>
      </c>
      <c r="BR257" s="170">
        <f t="shared" si="313"/>
        <v>0</v>
      </c>
      <c r="BS257" s="168">
        <f t="shared" si="352"/>
        <v>0</v>
      </c>
      <c r="BT257" s="171">
        <f t="shared" si="353"/>
        <v>0</v>
      </c>
      <c r="BU257" s="170">
        <f t="shared" si="314"/>
        <v>0</v>
      </c>
      <c r="BV257" s="168">
        <f t="shared" si="354"/>
        <v>0</v>
      </c>
      <c r="BW257" s="171">
        <f t="shared" si="355"/>
        <v>0</v>
      </c>
      <c r="BX257" s="170">
        <f t="shared" si="315"/>
        <v>0</v>
      </c>
      <c r="BY257" s="168">
        <f t="shared" si="356"/>
        <v>0</v>
      </c>
      <c r="BZ257" s="171">
        <f t="shared" si="357"/>
        <v>0</v>
      </c>
      <c r="CA257" s="170">
        <f t="shared" si="316"/>
        <v>0</v>
      </c>
      <c r="CB257" s="90">
        <f t="shared" si="358"/>
        <v>0</v>
      </c>
      <c r="CC257" s="171">
        <f t="shared" si="359"/>
        <v>0</v>
      </c>
      <c r="CD257" s="170">
        <f t="shared" si="317"/>
        <v>0</v>
      </c>
      <c r="CE257" s="90">
        <f t="shared" si="360"/>
        <v>0</v>
      </c>
      <c r="CF257" s="171">
        <f t="shared" si="361"/>
        <v>0</v>
      </c>
      <c r="CG257" s="170">
        <f t="shared" si="318"/>
        <v>0</v>
      </c>
      <c r="CH257" s="90">
        <f t="shared" si="362"/>
        <v>0</v>
      </c>
      <c r="CI257" s="171">
        <f t="shared" si="363"/>
        <v>0</v>
      </c>
      <c r="CJ257" s="170">
        <f t="shared" si="319"/>
        <v>0</v>
      </c>
      <c r="CK257" s="90">
        <f t="shared" si="364"/>
        <v>0</v>
      </c>
      <c r="CL257" s="171">
        <f t="shared" si="365"/>
        <v>0</v>
      </c>
      <c r="CM257" s="170">
        <f t="shared" si="320"/>
        <v>0</v>
      </c>
      <c r="CN257" s="90">
        <f t="shared" si="366"/>
        <v>0</v>
      </c>
      <c r="CO257" s="171">
        <f t="shared" si="367"/>
        <v>0</v>
      </c>
      <c r="CP257" s="170">
        <f t="shared" si="321"/>
        <v>0</v>
      </c>
      <c r="CQ257" s="90">
        <f t="shared" si="368"/>
        <v>0</v>
      </c>
      <c r="CR257" s="171">
        <f t="shared" si="369"/>
        <v>0</v>
      </c>
      <c r="CS257" s="170">
        <f t="shared" si="322"/>
        <v>0</v>
      </c>
      <c r="CT257" s="90">
        <f t="shared" si="370"/>
        <v>0</v>
      </c>
      <c r="CU257" s="171">
        <f t="shared" si="371"/>
        <v>0</v>
      </c>
      <c r="CV257" s="170">
        <f t="shared" si="323"/>
        <v>0</v>
      </c>
      <c r="CW257" s="90">
        <f t="shared" si="372"/>
        <v>0</v>
      </c>
      <c r="CX257" s="171">
        <f t="shared" si="373"/>
        <v>0</v>
      </c>
      <c r="CY257" s="170">
        <f t="shared" si="324"/>
        <v>0</v>
      </c>
      <c r="CZ257" s="168">
        <f t="shared" si="325"/>
        <v>0</v>
      </c>
      <c r="DA257" s="172">
        <f t="shared" si="327"/>
        <v>0</v>
      </c>
      <c r="DB257" s="173">
        <f t="shared" si="328"/>
        <v>0</v>
      </c>
      <c r="DC257" s="172">
        <f t="shared" si="375"/>
        <v>0</v>
      </c>
      <c r="DD257" s="172">
        <f t="shared" si="375"/>
        <v>0</v>
      </c>
      <c r="DE257" s="172">
        <f t="shared" si="375"/>
        <v>0</v>
      </c>
      <c r="DF257" s="172">
        <f t="shared" si="330"/>
        <v>0</v>
      </c>
      <c r="DG257" s="136"/>
      <c r="DH257" s="136"/>
      <c r="DI257" s="3"/>
      <c r="DJ257" s="8"/>
      <c r="DK257" s="8"/>
      <c r="DL257" s="8"/>
      <c r="DM257" s="8"/>
      <c r="DN257" s="8"/>
      <c r="DO257" s="8"/>
      <c r="DP257" s="8"/>
      <c r="DQ257" s="3"/>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row>
    <row r="258" spans="1:155" s="566" customFormat="1" ht="15" customHeight="1">
      <c r="A258" s="422"/>
      <c r="B258" s="194" t="s">
        <v>177</v>
      </c>
      <c r="C258" s="310"/>
      <c r="D258" s="27"/>
      <c r="E258" s="655" t="s">
        <v>489</v>
      </c>
      <c r="F258" s="656"/>
      <c r="G258" s="431" t="str">
        <f>IFERROR(G257/G256,"-")</f>
        <v>-</v>
      </c>
      <c r="H258" s="27"/>
      <c r="I258" s="27"/>
      <c r="J258" s="27"/>
      <c r="K258" s="322" t="s">
        <v>490</v>
      </c>
      <c r="L258" s="307"/>
      <c r="M258" s="307"/>
      <c r="N258" s="14" t="s">
        <v>491</v>
      </c>
      <c r="O258" s="14"/>
      <c r="P258" s="14" t="b">
        <f>AND(OR(P254,P255),N251)</f>
        <v>0</v>
      </c>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293"/>
      <c r="AW258" s="14"/>
      <c r="AX258" s="14"/>
      <c r="AY258" s="14"/>
      <c r="AZ258" s="14"/>
      <c r="BA258" s="14"/>
      <c r="BB258" s="14"/>
      <c r="BC258" s="14"/>
      <c r="BD258" s="27"/>
      <c r="BE258" s="165" t="s">
        <v>18</v>
      </c>
      <c r="BF258" s="23">
        <v>22</v>
      </c>
      <c r="BG258" s="23">
        <v>27</v>
      </c>
      <c r="BH258" s="23">
        <v>5</v>
      </c>
      <c r="BI258" s="90" t="b">
        <f t="shared" si="326"/>
        <v>1</v>
      </c>
      <c r="BJ258" s="46" t="b">
        <f t="shared" si="348"/>
        <v>0</v>
      </c>
      <c r="BK258" s="166">
        <f t="shared" si="349"/>
        <v>0</v>
      </c>
      <c r="BL258" s="175">
        <f>IF(SUM(BL$232:BL257,BK258)&gt;$BQ$4,0,BK258)</f>
        <v>0</v>
      </c>
      <c r="BM258" s="23">
        <f t="shared" si="311"/>
        <v>0</v>
      </c>
      <c r="BN258" s="90">
        <f t="shared" si="312"/>
        <v>0</v>
      </c>
      <c r="BO258" s="24">
        <f t="shared" si="332"/>
        <v>0</v>
      </c>
      <c r="BP258" s="349">
        <f t="shared" si="350"/>
        <v>0</v>
      </c>
      <c r="BQ258" s="171">
        <f t="shared" si="351"/>
        <v>0</v>
      </c>
      <c r="BR258" s="170">
        <f t="shared" si="313"/>
        <v>0</v>
      </c>
      <c r="BS258" s="168">
        <f t="shared" si="352"/>
        <v>0</v>
      </c>
      <c r="BT258" s="171">
        <f t="shared" si="353"/>
        <v>0</v>
      </c>
      <c r="BU258" s="170">
        <f t="shared" si="314"/>
        <v>0</v>
      </c>
      <c r="BV258" s="168">
        <f t="shared" si="354"/>
        <v>0</v>
      </c>
      <c r="BW258" s="171">
        <f t="shared" si="355"/>
        <v>0</v>
      </c>
      <c r="BX258" s="170">
        <f t="shared" si="315"/>
        <v>0</v>
      </c>
      <c r="BY258" s="168">
        <f t="shared" si="356"/>
        <v>0</v>
      </c>
      <c r="BZ258" s="171">
        <f t="shared" si="357"/>
        <v>0</v>
      </c>
      <c r="CA258" s="170">
        <f t="shared" si="316"/>
        <v>0</v>
      </c>
      <c r="CB258" s="90">
        <f t="shared" si="358"/>
        <v>0</v>
      </c>
      <c r="CC258" s="171">
        <f t="shared" si="359"/>
        <v>0</v>
      </c>
      <c r="CD258" s="170">
        <f t="shared" si="317"/>
        <v>0</v>
      </c>
      <c r="CE258" s="90">
        <f t="shared" si="360"/>
        <v>0</v>
      </c>
      <c r="CF258" s="171">
        <f t="shared" si="361"/>
        <v>0</v>
      </c>
      <c r="CG258" s="170">
        <f t="shared" si="318"/>
        <v>0</v>
      </c>
      <c r="CH258" s="90">
        <f t="shared" si="362"/>
        <v>0</v>
      </c>
      <c r="CI258" s="171">
        <f t="shared" si="363"/>
        <v>0</v>
      </c>
      <c r="CJ258" s="170">
        <f t="shared" si="319"/>
        <v>0</v>
      </c>
      <c r="CK258" s="90">
        <f t="shared" si="364"/>
        <v>0</v>
      </c>
      <c r="CL258" s="171">
        <f t="shared" si="365"/>
        <v>0</v>
      </c>
      <c r="CM258" s="170">
        <f t="shared" si="320"/>
        <v>0</v>
      </c>
      <c r="CN258" s="90">
        <f t="shared" si="366"/>
        <v>0</v>
      </c>
      <c r="CO258" s="171">
        <f t="shared" si="367"/>
        <v>0</v>
      </c>
      <c r="CP258" s="170">
        <f t="shared" si="321"/>
        <v>0</v>
      </c>
      <c r="CQ258" s="90">
        <f t="shared" si="368"/>
        <v>0</v>
      </c>
      <c r="CR258" s="171">
        <f t="shared" si="369"/>
        <v>0</v>
      </c>
      <c r="CS258" s="170">
        <f t="shared" si="322"/>
        <v>0</v>
      </c>
      <c r="CT258" s="90">
        <f t="shared" si="370"/>
        <v>0</v>
      </c>
      <c r="CU258" s="171">
        <f t="shared" si="371"/>
        <v>0</v>
      </c>
      <c r="CV258" s="170">
        <f t="shared" si="323"/>
        <v>0</v>
      </c>
      <c r="CW258" s="90">
        <f t="shared" si="372"/>
        <v>0</v>
      </c>
      <c r="CX258" s="171">
        <f t="shared" si="373"/>
        <v>0</v>
      </c>
      <c r="CY258" s="170">
        <f t="shared" si="324"/>
        <v>0</v>
      </c>
      <c r="CZ258" s="168">
        <f t="shared" si="325"/>
        <v>0</v>
      </c>
      <c r="DA258" s="172">
        <f t="shared" si="327"/>
        <v>0</v>
      </c>
      <c r="DB258" s="173">
        <f t="shared" si="328"/>
        <v>0</v>
      </c>
      <c r="DC258" s="172">
        <f t="shared" si="375"/>
        <v>0</v>
      </c>
      <c r="DD258" s="172">
        <f t="shared" si="375"/>
        <v>0</v>
      </c>
      <c r="DE258" s="172">
        <f t="shared" si="375"/>
        <v>0</v>
      </c>
      <c r="DF258" s="172">
        <f t="shared" si="330"/>
        <v>0</v>
      </c>
      <c r="DG258" s="136"/>
      <c r="DH258" s="136"/>
      <c r="DI258" s="3"/>
      <c r="DJ258" s="8"/>
      <c r="DK258" s="8"/>
      <c r="DL258" s="8"/>
      <c r="DM258" s="8"/>
      <c r="DN258" s="8"/>
      <c r="DO258" s="8"/>
      <c r="DP258" s="8"/>
      <c r="DQ258" s="3"/>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row>
    <row r="259" spans="1:155" s="566" customFormat="1" ht="15" customHeight="1">
      <c r="A259" s="422"/>
      <c r="B259" s="194" t="s">
        <v>180</v>
      </c>
      <c r="C259" s="310"/>
      <c r="D259" s="27"/>
      <c r="E259" s="351" t="s">
        <v>492</v>
      </c>
      <c r="F259" s="27"/>
      <c r="G259" s="27"/>
      <c r="H259" s="27"/>
      <c r="I259" s="323" t="s">
        <v>168</v>
      </c>
      <c r="J259" s="194"/>
      <c r="K259" s="432">
        <f t="shared" ref="K259:K270" si="376">C256*$DK$261/1000*$P$258</f>
        <v>0</v>
      </c>
      <c r="L259" s="307"/>
      <c r="M259" s="307"/>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293"/>
      <c r="AW259" s="14"/>
      <c r="AX259" s="14"/>
      <c r="AY259" s="14"/>
      <c r="AZ259" s="14"/>
      <c r="BA259" s="14"/>
      <c r="BB259" s="14"/>
      <c r="BC259" s="14"/>
      <c r="BD259" s="27"/>
      <c r="BE259" s="165" t="s">
        <v>18</v>
      </c>
      <c r="BF259" s="23">
        <v>22</v>
      </c>
      <c r="BG259" s="23">
        <v>28</v>
      </c>
      <c r="BH259" s="23">
        <v>6</v>
      </c>
      <c r="BI259" s="90" t="b">
        <f t="shared" si="326"/>
        <v>0</v>
      </c>
      <c r="BJ259" s="46" t="b">
        <f t="shared" si="348"/>
        <v>0</v>
      </c>
      <c r="BK259" s="166">
        <f t="shared" si="349"/>
        <v>0</v>
      </c>
      <c r="BL259" s="175">
        <f>IF(SUM(BL$232:BL258,BK259)&gt;$BQ$4,0,BK259)</f>
        <v>0</v>
      </c>
      <c r="BM259" s="23">
        <f t="shared" si="311"/>
        <v>0</v>
      </c>
      <c r="BN259" s="90">
        <f t="shared" si="312"/>
        <v>0</v>
      </c>
      <c r="BO259" s="24">
        <f t="shared" si="332"/>
        <v>0</v>
      </c>
      <c r="BP259" s="349">
        <f t="shared" si="350"/>
        <v>0</v>
      </c>
      <c r="BQ259" s="171">
        <f t="shared" si="351"/>
        <v>0</v>
      </c>
      <c r="BR259" s="170">
        <f t="shared" si="313"/>
        <v>0</v>
      </c>
      <c r="BS259" s="168">
        <f t="shared" si="352"/>
        <v>0</v>
      </c>
      <c r="BT259" s="171">
        <f t="shared" si="353"/>
        <v>0</v>
      </c>
      <c r="BU259" s="170">
        <f t="shared" si="314"/>
        <v>0</v>
      </c>
      <c r="BV259" s="168">
        <f t="shared" si="354"/>
        <v>0</v>
      </c>
      <c r="BW259" s="171">
        <f t="shared" si="355"/>
        <v>0</v>
      </c>
      <c r="BX259" s="170">
        <f t="shared" si="315"/>
        <v>0</v>
      </c>
      <c r="BY259" s="168">
        <f t="shared" si="356"/>
        <v>0</v>
      </c>
      <c r="BZ259" s="171">
        <f t="shared" si="357"/>
        <v>0</v>
      </c>
      <c r="CA259" s="170">
        <f t="shared" si="316"/>
        <v>0</v>
      </c>
      <c r="CB259" s="90">
        <f t="shared" si="358"/>
        <v>0</v>
      </c>
      <c r="CC259" s="171">
        <f t="shared" si="359"/>
        <v>0</v>
      </c>
      <c r="CD259" s="170">
        <f t="shared" si="317"/>
        <v>0</v>
      </c>
      <c r="CE259" s="90">
        <f t="shared" si="360"/>
        <v>0</v>
      </c>
      <c r="CF259" s="171">
        <f t="shared" si="361"/>
        <v>0</v>
      </c>
      <c r="CG259" s="170">
        <f t="shared" si="318"/>
        <v>0</v>
      </c>
      <c r="CH259" s="90">
        <f t="shared" si="362"/>
        <v>0</v>
      </c>
      <c r="CI259" s="171">
        <f t="shared" si="363"/>
        <v>0</v>
      </c>
      <c r="CJ259" s="170">
        <f t="shared" si="319"/>
        <v>0</v>
      </c>
      <c r="CK259" s="90">
        <f t="shared" si="364"/>
        <v>0</v>
      </c>
      <c r="CL259" s="171">
        <f t="shared" si="365"/>
        <v>0</v>
      </c>
      <c r="CM259" s="170">
        <f t="shared" si="320"/>
        <v>0</v>
      </c>
      <c r="CN259" s="90">
        <f t="shared" si="366"/>
        <v>0</v>
      </c>
      <c r="CO259" s="171">
        <f t="shared" si="367"/>
        <v>0</v>
      </c>
      <c r="CP259" s="170">
        <f t="shared" si="321"/>
        <v>0</v>
      </c>
      <c r="CQ259" s="90">
        <f t="shared" si="368"/>
        <v>0</v>
      </c>
      <c r="CR259" s="171">
        <f t="shared" si="369"/>
        <v>0</v>
      </c>
      <c r="CS259" s="170">
        <f t="shared" si="322"/>
        <v>0</v>
      </c>
      <c r="CT259" s="90">
        <f t="shared" si="370"/>
        <v>0</v>
      </c>
      <c r="CU259" s="171">
        <f t="shared" si="371"/>
        <v>0</v>
      </c>
      <c r="CV259" s="170">
        <f t="shared" si="323"/>
        <v>0</v>
      </c>
      <c r="CW259" s="90">
        <f t="shared" si="372"/>
        <v>0</v>
      </c>
      <c r="CX259" s="171">
        <f t="shared" si="373"/>
        <v>0</v>
      </c>
      <c r="CY259" s="170">
        <f t="shared" si="324"/>
        <v>0</v>
      </c>
      <c r="CZ259" s="168">
        <f t="shared" si="325"/>
        <v>0</v>
      </c>
      <c r="DA259" s="172">
        <f t="shared" si="327"/>
        <v>0</v>
      </c>
      <c r="DB259" s="173">
        <f t="shared" si="328"/>
        <v>0</v>
      </c>
      <c r="DC259" s="172">
        <f t="shared" si="375"/>
        <v>0</v>
      </c>
      <c r="DD259" s="172">
        <f t="shared" si="375"/>
        <v>0</v>
      </c>
      <c r="DE259" s="172">
        <f t="shared" si="375"/>
        <v>0</v>
      </c>
      <c r="DF259" s="172">
        <f t="shared" si="330"/>
        <v>0</v>
      </c>
      <c r="DG259" s="136"/>
      <c r="DH259" s="136"/>
      <c r="DI259" s="3"/>
      <c r="DJ259" s="8"/>
      <c r="DK259" s="8"/>
      <c r="DL259" s="8"/>
      <c r="DM259" s="8"/>
      <c r="DN259" s="8"/>
      <c r="DO259" s="8"/>
      <c r="DP259" s="8"/>
      <c r="DQ259" s="3"/>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row>
    <row r="260" spans="1:155" s="566" customFormat="1" ht="15" customHeight="1">
      <c r="A260" s="422"/>
      <c r="B260" s="194" t="s">
        <v>15</v>
      </c>
      <c r="C260" s="310"/>
      <c r="D260" s="27"/>
      <c r="E260" s="27"/>
      <c r="F260" s="27"/>
      <c r="G260" s="27"/>
      <c r="H260" s="27"/>
      <c r="I260" s="323" t="s">
        <v>172</v>
      </c>
      <c r="J260" s="194"/>
      <c r="K260" s="432">
        <f t="shared" si="376"/>
        <v>0</v>
      </c>
      <c r="L260" s="307"/>
      <c r="M260" s="307"/>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293"/>
      <c r="AW260" s="14"/>
      <c r="AX260" s="14"/>
      <c r="AY260" s="14"/>
      <c r="AZ260" s="14"/>
      <c r="BA260" s="14"/>
      <c r="BB260" s="14"/>
      <c r="BC260" s="14"/>
      <c r="BD260" s="180"/>
      <c r="BE260" s="165" t="s">
        <v>18</v>
      </c>
      <c r="BF260" s="23">
        <v>22</v>
      </c>
      <c r="BG260" s="23">
        <v>29</v>
      </c>
      <c r="BH260" s="23">
        <v>7</v>
      </c>
      <c r="BI260" s="90" t="b">
        <f t="shared" si="326"/>
        <v>0</v>
      </c>
      <c r="BJ260" s="46" t="b">
        <f t="shared" si="348"/>
        <v>0</v>
      </c>
      <c r="BK260" s="166">
        <f t="shared" si="349"/>
        <v>0</v>
      </c>
      <c r="BL260" s="175">
        <f>IF(SUM(BL$232:BL259,BK260)&gt;$BQ$4,0,BK260)</f>
        <v>0</v>
      </c>
      <c r="BM260" s="23">
        <f t="shared" si="311"/>
        <v>0</v>
      </c>
      <c r="BN260" s="90">
        <f t="shared" si="312"/>
        <v>0</v>
      </c>
      <c r="BO260" s="24">
        <f t="shared" si="332"/>
        <v>0</v>
      </c>
      <c r="BP260" s="349">
        <f t="shared" si="350"/>
        <v>0</v>
      </c>
      <c r="BQ260" s="171">
        <f t="shared" si="351"/>
        <v>0</v>
      </c>
      <c r="BR260" s="170">
        <f t="shared" si="313"/>
        <v>0</v>
      </c>
      <c r="BS260" s="168">
        <f t="shared" si="352"/>
        <v>0</v>
      </c>
      <c r="BT260" s="171">
        <f t="shared" si="353"/>
        <v>0</v>
      </c>
      <c r="BU260" s="170">
        <f t="shared" si="314"/>
        <v>0</v>
      </c>
      <c r="BV260" s="168">
        <f t="shared" si="354"/>
        <v>0</v>
      </c>
      <c r="BW260" s="171">
        <f t="shared" si="355"/>
        <v>0</v>
      </c>
      <c r="BX260" s="170">
        <f t="shared" si="315"/>
        <v>0</v>
      </c>
      <c r="BY260" s="168">
        <f t="shared" si="356"/>
        <v>0</v>
      </c>
      <c r="BZ260" s="171">
        <f t="shared" si="357"/>
        <v>0</v>
      </c>
      <c r="CA260" s="170">
        <f t="shared" si="316"/>
        <v>0</v>
      </c>
      <c r="CB260" s="90">
        <f t="shared" si="358"/>
        <v>0</v>
      </c>
      <c r="CC260" s="171">
        <f t="shared" si="359"/>
        <v>0</v>
      </c>
      <c r="CD260" s="170">
        <f t="shared" si="317"/>
        <v>0</v>
      </c>
      <c r="CE260" s="90">
        <f t="shared" si="360"/>
        <v>0</v>
      </c>
      <c r="CF260" s="171">
        <f t="shared" si="361"/>
        <v>0</v>
      </c>
      <c r="CG260" s="170">
        <f t="shared" si="318"/>
        <v>0</v>
      </c>
      <c r="CH260" s="90">
        <f t="shared" si="362"/>
        <v>0</v>
      </c>
      <c r="CI260" s="171">
        <f t="shared" si="363"/>
        <v>0</v>
      </c>
      <c r="CJ260" s="170">
        <f t="shared" si="319"/>
        <v>0</v>
      </c>
      <c r="CK260" s="90">
        <f t="shared" si="364"/>
        <v>0</v>
      </c>
      <c r="CL260" s="171">
        <f t="shared" si="365"/>
        <v>0</v>
      </c>
      <c r="CM260" s="170">
        <f t="shared" si="320"/>
        <v>0</v>
      </c>
      <c r="CN260" s="90">
        <f t="shared" si="366"/>
        <v>0</v>
      </c>
      <c r="CO260" s="171">
        <f t="shared" si="367"/>
        <v>0</v>
      </c>
      <c r="CP260" s="170">
        <f t="shared" si="321"/>
        <v>0</v>
      </c>
      <c r="CQ260" s="90">
        <f t="shared" si="368"/>
        <v>0</v>
      </c>
      <c r="CR260" s="171">
        <f t="shared" si="369"/>
        <v>0</v>
      </c>
      <c r="CS260" s="170">
        <f t="shared" si="322"/>
        <v>0</v>
      </c>
      <c r="CT260" s="90">
        <f t="shared" si="370"/>
        <v>0</v>
      </c>
      <c r="CU260" s="171">
        <f t="shared" si="371"/>
        <v>0</v>
      </c>
      <c r="CV260" s="170">
        <f t="shared" si="323"/>
        <v>0</v>
      </c>
      <c r="CW260" s="90">
        <f t="shared" si="372"/>
        <v>0</v>
      </c>
      <c r="CX260" s="171">
        <f t="shared" si="373"/>
        <v>0</v>
      </c>
      <c r="CY260" s="170">
        <f t="shared" si="324"/>
        <v>0</v>
      </c>
      <c r="CZ260" s="168">
        <f t="shared" si="325"/>
        <v>0</v>
      </c>
      <c r="DA260" s="172">
        <f t="shared" si="327"/>
        <v>0</v>
      </c>
      <c r="DB260" s="173">
        <f t="shared" si="328"/>
        <v>0</v>
      </c>
      <c r="DC260" s="172">
        <f t="shared" si="375"/>
        <v>0</v>
      </c>
      <c r="DD260" s="172">
        <f t="shared" si="375"/>
        <v>0</v>
      </c>
      <c r="DE260" s="172">
        <f t="shared" si="375"/>
        <v>0</v>
      </c>
      <c r="DF260" s="172">
        <f t="shared" si="330"/>
        <v>0</v>
      </c>
      <c r="DG260" s="136"/>
      <c r="DH260" s="136"/>
      <c r="DI260" s="3"/>
      <c r="DJ260" s="382" t="s">
        <v>493</v>
      </c>
      <c r="DK260" s="415"/>
      <c r="DL260" s="8"/>
      <c r="DM260" s="8"/>
      <c r="DN260" s="8"/>
      <c r="DO260" s="8"/>
      <c r="DP260" s="8"/>
      <c r="DQ260" s="3"/>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row>
    <row r="261" spans="1:155" s="566" customFormat="1" ht="15" customHeight="1">
      <c r="A261" s="422"/>
      <c r="B261" s="194" t="s">
        <v>185</v>
      </c>
      <c r="C261" s="310"/>
      <c r="D261" s="27"/>
      <c r="E261" s="27"/>
      <c r="F261" s="27"/>
      <c r="G261" s="27"/>
      <c r="H261" s="27"/>
      <c r="I261" s="323" t="s">
        <v>177</v>
      </c>
      <c r="J261" s="194"/>
      <c r="K261" s="432">
        <f t="shared" si="376"/>
        <v>0</v>
      </c>
      <c r="L261" s="307"/>
      <c r="M261" s="307"/>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293"/>
      <c r="AW261" s="14"/>
      <c r="AX261" s="14"/>
      <c r="AY261" s="14"/>
      <c r="AZ261" s="14"/>
      <c r="BA261" s="14"/>
      <c r="BB261" s="14"/>
      <c r="BC261" s="14"/>
      <c r="BD261" s="180"/>
      <c r="BE261" s="165" t="s">
        <v>18</v>
      </c>
      <c r="BF261" s="23">
        <v>22</v>
      </c>
      <c r="BG261" s="23">
        <v>30</v>
      </c>
      <c r="BH261" s="23">
        <v>1</v>
      </c>
      <c r="BI261" s="90" t="b">
        <f t="shared" si="326"/>
        <v>1</v>
      </c>
      <c r="BJ261" s="46" t="b">
        <f t="shared" si="348"/>
        <v>0</v>
      </c>
      <c r="BK261" s="166">
        <f t="shared" si="349"/>
        <v>0</v>
      </c>
      <c r="BL261" s="175">
        <f>IF(SUM(BL$232:BL260,BK261)&gt;$BQ$4,0,BK261)</f>
        <v>0</v>
      </c>
      <c r="BM261" s="23">
        <f t="shared" si="311"/>
        <v>0</v>
      </c>
      <c r="BN261" s="90">
        <f t="shared" si="312"/>
        <v>0</v>
      </c>
      <c r="BO261" s="24">
        <f t="shared" si="332"/>
        <v>0</v>
      </c>
      <c r="BP261" s="349">
        <f t="shared" si="350"/>
        <v>0</v>
      </c>
      <c r="BQ261" s="171">
        <f t="shared" si="351"/>
        <v>0</v>
      </c>
      <c r="BR261" s="170">
        <f t="shared" si="313"/>
        <v>0</v>
      </c>
      <c r="BS261" s="168">
        <f t="shared" si="352"/>
        <v>0</v>
      </c>
      <c r="BT261" s="171">
        <f t="shared" si="353"/>
        <v>0</v>
      </c>
      <c r="BU261" s="170">
        <f t="shared" si="314"/>
        <v>0</v>
      </c>
      <c r="BV261" s="168">
        <f t="shared" si="354"/>
        <v>0</v>
      </c>
      <c r="BW261" s="171">
        <f t="shared" si="355"/>
        <v>0</v>
      </c>
      <c r="BX261" s="170">
        <f t="shared" si="315"/>
        <v>0</v>
      </c>
      <c r="BY261" s="168">
        <f t="shared" si="356"/>
        <v>0</v>
      </c>
      <c r="BZ261" s="171">
        <f t="shared" si="357"/>
        <v>0</v>
      </c>
      <c r="CA261" s="170">
        <f t="shared" si="316"/>
        <v>0</v>
      </c>
      <c r="CB261" s="90">
        <f t="shared" si="358"/>
        <v>0</v>
      </c>
      <c r="CC261" s="171">
        <f t="shared" si="359"/>
        <v>0</v>
      </c>
      <c r="CD261" s="170">
        <f t="shared" si="317"/>
        <v>0</v>
      </c>
      <c r="CE261" s="90">
        <f t="shared" si="360"/>
        <v>0</v>
      </c>
      <c r="CF261" s="171">
        <f t="shared" si="361"/>
        <v>0</v>
      </c>
      <c r="CG261" s="170">
        <f t="shared" si="318"/>
        <v>0</v>
      </c>
      <c r="CH261" s="90">
        <f t="shared" si="362"/>
        <v>0</v>
      </c>
      <c r="CI261" s="171">
        <f t="shared" si="363"/>
        <v>0</v>
      </c>
      <c r="CJ261" s="170">
        <f t="shared" si="319"/>
        <v>0</v>
      </c>
      <c r="CK261" s="90">
        <f t="shared" si="364"/>
        <v>0</v>
      </c>
      <c r="CL261" s="171">
        <f t="shared" si="365"/>
        <v>0</v>
      </c>
      <c r="CM261" s="170">
        <f t="shared" si="320"/>
        <v>0</v>
      </c>
      <c r="CN261" s="90">
        <f t="shared" si="366"/>
        <v>0</v>
      </c>
      <c r="CO261" s="171">
        <f t="shared" si="367"/>
        <v>0</v>
      </c>
      <c r="CP261" s="170">
        <f t="shared" si="321"/>
        <v>0</v>
      </c>
      <c r="CQ261" s="90">
        <f t="shared" si="368"/>
        <v>0</v>
      </c>
      <c r="CR261" s="171">
        <f t="shared" si="369"/>
        <v>0</v>
      </c>
      <c r="CS261" s="170">
        <f t="shared" si="322"/>
        <v>0</v>
      </c>
      <c r="CT261" s="90">
        <f t="shared" si="370"/>
        <v>0</v>
      </c>
      <c r="CU261" s="171">
        <f t="shared" si="371"/>
        <v>0</v>
      </c>
      <c r="CV261" s="170">
        <f t="shared" si="323"/>
        <v>0</v>
      </c>
      <c r="CW261" s="90">
        <f t="shared" si="372"/>
        <v>0</v>
      </c>
      <c r="CX261" s="171">
        <f t="shared" si="373"/>
        <v>0</v>
      </c>
      <c r="CY261" s="170">
        <f t="shared" si="324"/>
        <v>0</v>
      </c>
      <c r="CZ261" s="168">
        <f t="shared" si="325"/>
        <v>0</v>
      </c>
      <c r="DA261" s="172">
        <f t="shared" si="327"/>
        <v>0</v>
      </c>
      <c r="DB261" s="173">
        <f t="shared" si="328"/>
        <v>0</v>
      </c>
      <c r="DC261" s="172">
        <f t="shared" ref="DC261:DE276" si="377">IF(DC260+$DB261&lt;0,0,IF(DC260+$DB261&gt;$F$405,$F$405,DC260+$DB261))</f>
        <v>0</v>
      </c>
      <c r="DD261" s="172">
        <f t="shared" si="377"/>
        <v>0</v>
      </c>
      <c r="DE261" s="172">
        <f t="shared" si="377"/>
        <v>0</v>
      </c>
      <c r="DF261" s="172">
        <f t="shared" si="330"/>
        <v>0</v>
      </c>
      <c r="DG261" s="136"/>
      <c r="DH261" s="136"/>
      <c r="DI261" s="3"/>
      <c r="DJ261" s="663" t="s">
        <v>494</v>
      </c>
      <c r="DK261" s="665">
        <v>26</v>
      </c>
      <c r="DL261" s="8"/>
      <c r="DM261" s="8"/>
      <c r="DN261" s="8"/>
      <c r="DO261" s="8"/>
      <c r="DP261" s="8"/>
      <c r="DQ261" s="3"/>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row>
    <row r="262" spans="1:155" s="566" customFormat="1" ht="15" customHeight="1">
      <c r="A262" s="422"/>
      <c r="B262" s="194" t="s">
        <v>186</v>
      </c>
      <c r="C262" s="310"/>
      <c r="D262" s="27"/>
      <c r="E262" s="27"/>
      <c r="F262" s="27"/>
      <c r="G262" s="27"/>
      <c r="H262" s="27"/>
      <c r="I262" s="323" t="s">
        <v>180</v>
      </c>
      <c r="J262" s="194"/>
      <c r="K262" s="432">
        <f t="shared" si="376"/>
        <v>0</v>
      </c>
      <c r="L262" s="307"/>
      <c r="M262" s="307"/>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293"/>
      <c r="AW262" s="14"/>
      <c r="AX262" s="14"/>
      <c r="AY262" s="14"/>
      <c r="AZ262" s="14"/>
      <c r="BA262" s="14"/>
      <c r="BB262" s="14"/>
      <c r="BC262" s="14"/>
      <c r="BD262" s="180"/>
      <c r="BE262" s="165" t="s">
        <v>18</v>
      </c>
      <c r="BF262" s="23">
        <v>22</v>
      </c>
      <c r="BG262" s="23">
        <v>31</v>
      </c>
      <c r="BH262" s="23">
        <v>2</v>
      </c>
      <c r="BI262" s="90" t="b">
        <f t="shared" si="326"/>
        <v>1</v>
      </c>
      <c r="BJ262" s="46" t="b">
        <f t="shared" si="348"/>
        <v>1</v>
      </c>
      <c r="BK262" s="166">
        <f t="shared" si="349"/>
        <v>6</v>
      </c>
      <c r="BL262" s="167">
        <f>$BQ$4-SUM(BL232:BL261)</f>
        <v>6</v>
      </c>
      <c r="BM262" s="23">
        <f t="shared" si="311"/>
        <v>0</v>
      </c>
      <c r="BN262" s="90">
        <f t="shared" si="312"/>
        <v>0</v>
      </c>
      <c r="BO262" s="24">
        <f t="shared" si="332"/>
        <v>0</v>
      </c>
      <c r="BP262" s="349">
        <f t="shared" si="350"/>
        <v>0</v>
      </c>
      <c r="BQ262" s="171">
        <f t="shared" si="351"/>
        <v>0</v>
      </c>
      <c r="BR262" s="170">
        <f t="shared" si="313"/>
        <v>0</v>
      </c>
      <c r="BS262" s="168">
        <f t="shared" si="352"/>
        <v>0</v>
      </c>
      <c r="BT262" s="171">
        <f t="shared" si="353"/>
        <v>0</v>
      </c>
      <c r="BU262" s="170">
        <f t="shared" si="314"/>
        <v>0</v>
      </c>
      <c r="BV262" s="168">
        <f t="shared" si="354"/>
        <v>0</v>
      </c>
      <c r="BW262" s="171">
        <f t="shared" si="355"/>
        <v>0</v>
      </c>
      <c r="BX262" s="170">
        <f t="shared" si="315"/>
        <v>0</v>
      </c>
      <c r="BY262" s="168">
        <f t="shared" si="356"/>
        <v>0</v>
      </c>
      <c r="BZ262" s="171">
        <f t="shared" si="357"/>
        <v>0</v>
      </c>
      <c r="CA262" s="170">
        <f t="shared" si="316"/>
        <v>0</v>
      </c>
      <c r="CB262" s="90">
        <f t="shared" si="358"/>
        <v>0</v>
      </c>
      <c r="CC262" s="171">
        <f t="shared" si="359"/>
        <v>0</v>
      </c>
      <c r="CD262" s="170">
        <f t="shared" si="317"/>
        <v>0</v>
      </c>
      <c r="CE262" s="90">
        <f t="shared" si="360"/>
        <v>0</v>
      </c>
      <c r="CF262" s="171">
        <f t="shared" si="361"/>
        <v>0</v>
      </c>
      <c r="CG262" s="170">
        <f t="shared" si="318"/>
        <v>0</v>
      </c>
      <c r="CH262" s="90">
        <f t="shared" si="362"/>
        <v>0</v>
      </c>
      <c r="CI262" s="171">
        <f t="shared" si="363"/>
        <v>0</v>
      </c>
      <c r="CJ262" s="170">
        <f t="shared" si="319"/>
        <v>0</v>
      </c>
      <c r="CK262" s="90">
        <f t="shared" si="364"/>
        <v>0</v>
      </c>
      <c r="CL262" s="171">
        <f t="shared" si="365"/>
        <v>0</v>
      </c>
      <c r="CM262" s="170">
        <f t="shared" si="320"/>
        <v>0</v>
      </c>
      <c r="CN262" s="90">
        <f t="shared" si="366"/>
        <v>0</v>
      </c>
      <c r="CO262" s="171">
        <f t="shared" si="367"/>
        <v>0</v>
      </c>
      <c r="CP262" s="170">
        <f t="shared" si="321"/>
        <v>0</v>
      </c>
      <c r="CQ262" s="90">
        <f t="shared" si="368"/>
        <v>0</v>
      </c>
      <c r="CR262" s="171">
        <f t="shared" si="369"/>
        <v>0</v>
      </c>
      <c r="CS262" s="170">
        <f t="shared" si="322"/>
        <v>0</v>
      </c>
      <c r="CT262" s="90">
        <f t="shared" si="370"/>
        <v>0</v>
      </c>
      <c r="CU262" s="171">
        <f t="shared" si="371"/>
        <v>0</v>
      </c>
      <c r="CV262" s="170">
        <f t="shared" si="323"/>
        <v>0</v>
      </c>
      <c r="CW262" s="90">
        <f t="shared" si="372"/>
        <v>0</v>
      </c>
      <c r="CX262" s="171">
        <f t="shared" si="373"/>
        <v>0</v>
      </c>
      <c r="CY262" s="170">
        <f t="shared" si="324"/>
        <v>0</v>
      </c>
      <c r="CZ262" s="168">
        <f t="shared" si="325"/>
        <v>0</v>
      </c>
      <c r="DA262" s="172">
        <f t="shared" si="327"/>
        <v>0</v>
      </c>
      <c r="DB262" s="173">
        <f t="shared" si="328"/>
        <v>0</v>
      </c>
      <c r="DC262" s="172">
        <f t="shared" si="377"/>
        <v>0</v>
      </c>
      <c r="DD262" s="172">
        <f t="shared" si="377"/>
        <v>0</v>
      </c>
      <c r="DE262" s="172">
        <f t="shared" si="377"/>
        <v>0</v>
      </c>
      <c r="DF262" s="172">
        <f t="shared" si="330"/>
        <v>0</v>
      </c>
      <c r="DG262" s="136"/>
      <c r="DH262" s="136"/>
      <c r="DI262" s="3"/>
      <c r="DJ262" s="664"/>
      <c r="DK262" s="666"/>
      <c r="DL262" s="8"/>
      <c r="DM262" s="8"/>
      <c r="DN262" s="8"/>
      <c r="DO262" s="8"/>
      <c r="DP262" s="8"/>
      <c r="DQ262" s="3"/>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row>
    <row r="263" spans="1:155" s="566" customFormat="1" ht="15" customHeight="1">
      <c r="A263" s="422"/>
      <c r="B263" s="194" t="s">
        <v>187</v>
      </c>
      <c r="C263" s="310"/>
      <c r="D263" s="27"/>
      <c r="E263" s="433"/>
      <c r="F263" s="27"/>
      <c r="G263" s="27"/>
      <c r="H263" s="27"/>
      <c r="I263" s="323" t="s">
        <v>15</v>
      </c>
      <c r="J263" s="194"/>
      <c r="K263" s="432">
        <f t="shared" si="376"/>
        <v>0</v>
      </c>
      <c r="L263" s="307"/>
      <c r="M263" s="307"/>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293"/>
      <c r="AW263" s="14"/>
      <c r="AX263" s="14"/>
      <c r="AY263" s="14"/>
      <c r="AZ263" s="14"/>
      <c r="BA263" s="14"/>
      <c r="BB263" s="14"/>
      <c r="BC263" s="14"/>
      <c r="BD263" s="180"/>
      <c r="BE263" s="165" t="s">
        <v>19</v>
      </c>
      <c r="BF263" s="23">
        <v>22</v>
      </c>
      <c r="BG263" s="23">
        <v>1</v>
      </c>
      <c r="BH263" s="23">
        <v>3</v>
      </c>
      <c r="BI263" s="90" t="b">
        <f t="shared" si="326"/>
        <v>1</v>
      </c>
      <c r="BJ263" s="46" t="b">
        <f t="shared" ref="BJ263:BJ292" si="378">MOD(BG263,$BR$7)=0</f>
        <v>0</v>
      </c>
      <c r="BK263" s="166">
        <f t="shared" ref="BK263:BK292" si="379">IF(BJ263,BR$8,0)</f>
        <v>0</v>
      </c>
      <c r="BL263" s="167">
        <f>BK263</f>
        <v>0</v>
      </c>
      <c r="BM263" s="23">
        <f t="shared" si="311"/>
        <v>0</v>
      </c>
      <c r="BN263" s="90">
        <f t="shared" si="312"/>
        <v>0</v>
      </c>
      <c r="BO263" s="24">
        <f t="shared" si="332"/>
        <v>0</v>
      </c>
      <c r="BP263" s="349">
        <f t="shared" ref="BP263:BP292" si="380">$Q$342/$BF$263*BR$16*$BI263</f>
        <v>0</v>
      </c>
      <c r="BQ263" s="171">
        <f t="shared" ref="BQ263:BQ292" si="381">AQ$377/$BF263*$BI263</f>
        <v>0</v>
      </c>
      <c r="BR263" s="170">
        <f t="shared" si="313"/>
        <v>0</v>
      </c>
      <c r="BS263" s="168">
        <f t="shared" ref="BS263:BS292" si="382">$R$342/$BF263*BU$16*$BI263</f>
        <v>0</v>
      </c>
      <c r="BT263" s="171">
        <f t="shared" ref="BT263:BT292" si="383">AR$377/$BF263*$BI263</f>
        <v>0</v>
      </c>
      <c r="BU263" s="170">
        <f t="shared" si="314"/>
        <v>0</v>
      </c>
      <c r="BV263" s="168">
        <f t="shared" ref="BV263:BV292" si="384">$S$342/$BF263*BX$16*$BI263</f>
        <v>0</v>
      </c>
      <c r="BW263" s="171">
        <f t="shared" ref="BW263:BW292" si="385">AS$377/$BF263*$BI263</f>
        <v>0</v>
      </c>
      <c r="BX263" s="170">
        <f t="shared" si="315"/>
        <v>0</v>
      </c>
      <c r="BY263" s="168">
        <f t="shared" ref="BY263:BY292" si="386">$T$342/$BF263*CA$16*$BI263</f>
        <v>0</v>
      </c>
      <c r="BZ263" s="171">
        <f t="shared" ref="BZ263:BZ292" si="387">AT$377/$BF263*$BI263</f>
        <v>0</v>
      </c>
      <c r="CA263" s="170">
        <f t="shared" si="316"/>
        <v>0</v>
      </c>
      <c r="CB263" s="90">
        <f t="shared" ref="CB263:CB292" si="388">$W$342/BF263*BI263*$C$419</f>
        <v>0</v>
      </c>
      <c r="CC263" s="171">
        <f t="shared" ref="CC263:CC292" si="389">AU$377/$BF263*$BI263</f>
        <v>0</v>
      </c>
      <c r="CD263" s="170">
        <f t="shared" si="317"/>
        <v>0</v>
      </c>
      <c r="CE263" s="90">
        <f t="shared" ref="CE263:CE292" si="390">$X$342/BF263*BI263*$C$420</f>
        <v>0</v>
      </c>
      <c r="CF263" s="171">
        <f t="shared" ref="CF263:CF292" si="391">AV$377/$BF263*$BI263</f>
        <v>0</v>
      </c>
      <c r="CG263" s="170">
        <f t="shared" si="318"/>
        <v>0</v>
      </c>
      <c r="CH263" s="90">
        <f t="shared" ref="CH263:CH292" si="392">$Y$342/BF263*BI263*$C$421</f>
        <v>0</v>
      </c>
      <c r="CI263" s="171">
        <f t="shared" ref="CI263:CI292" si="393">AW$377/$BF263*$BI263</f>
        <v>0</v>
      </c>
      <c r="CJ263" s="170">
        <f t="shared" si="319"/>
        <v>0</v>
      </c>
      <c r="CK263" s="90">
        <f t="shared" ref="CK263:CK292" si="394">$Z$342/BF263*BI263*$CM$16</f>
        <v>0</v>
      </c>
      <c r="CL263" s="171">
        <f t="shared" ref="CL263:CL292" si="395">AX$377/$BF263*$BI263</f>
        <v>0</v>
      </c>
      <c r="CM263" s="170">
        <f t="shared" si="320"/>
        <v>0</v>
      </c>
      <c r="CN263" s="90">
        <f t="shared" ref="CN263:CN292" si="396">$AA$342/BF263*BI263*$CP$16</f>
        <v>0</v>
      </c>
      <c r="CO263" s="171">
        <f t="shared" ref="CO263:CO292" si="397">$AY$377/$BF263*$BI263</f>
        <v>0</v>
      </c>
      <c r="CP263" s="170">
        <f t="shared" si="321"/>
        <v>0</v>
      </c>
      <c r="CQ263" s="90">
        <f t="shared" ref="CQ263:CQ292" si="398">$AB$342/BF263*BI263*$CS$16</f>
        <v>0</v>
      </c>
      <c r="CR263" s="171">
        <f t="shared" ref="CR263:CR292" si="399">AZ$377/$BF263*$BI263</f>
        <v>0</v>
      </c>
      <c r="CS263" s="170">
        <f t="shared" si="322"/>
        <v>0</v>
      </c>
      <c r="CT263" s="90">
        <f t="shared" ref="CT263:CT292" si="400">$AC$342/BF263*BI263*$CV$16</f>
        <v>0</v>
      </c>
      <c r="CU263" s="171">
        <f t="shared" ref="CU263:CU292" si="401">BA$377/$BF263*$BI263</f>
        <v>0</v>
      </c>
      <c r="CV263" s="170">
        <f t="shared" si="323"/>
        <v>0</v>
      </c>
      <c r="CW263" s="90">
        <f t="shared" ref="CW263:CW292" si="402">$AD$342/BF263*BI263*$CY$16</f>
        <v>0</v>
      </c>
      <c r="CX263" s="171">
        <f t="shared" ref="CX263:CX292" si="403">BB$377/$BF263*$BI263</f>
        <v>0</v>
      </c>
      <c r="CY263" s="170">
        <f t="shared" si="324"/>
        <v>0</v>
      </c>
      <c r="CZ263" s="168">
        <f t="shared" si="325"/>
        <v>0</v>
      </c>
      <c r="DA263" s="172">
        <f t="shared" si="327"/>
        <v>0</v>
      </c>
      <c r="DB263" s="173">
        <f t="shared" si="328"/>
        <v>0</v>
      </c>
      <c r="DC263" s="172">
        <f t="shared" si="377"/>
        <v>0</v>
      </c>
      <c r="DD263" s="172">
        <f t="shared" si="377"/>
        <v>0</v>
      </c>
      <c r="DE263" s="172">
        <f t="shared" si="377"/>
        <v>0</v>
      </c>
      <c r="DF263" s="172">
        <f>IF(DA263-(DE262+CZ263)&lt;0,0,DA263-(DE262+CZ263))</f>
        <v>0</v>
      </c>
      <c r="DG263" s="136"/>
      <c r="DH263" s="136"/>
      <c r="DI263" s="3"/>
      <c r="DJ263" s="8"/>
      <c r="DK263" s="8"/>
      <c r="DL263" s="8"/>
      <c r="DM263" s="8"/>
      <c r="DN263" s="8"/>
      <c r="DO263" s="8"/>
      <c r="DP263" s="8"/>
      <c r="DQ263" s="3"/>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row>
    <row r="264" spans="1:155" s="566" customFormat="1" ht="15" customHeight="1">
      <c r="A264" s="422"/>
      <c r="B264" s="194" t="s">
        <v>188</v>
      </c>
      <c r="C264" s="310"/>
      <c r="D264" s="27"/>
      <c r="E264" s="27"/>
      <c r="F264" s="27"/>
      <c r="G264" s="27"/>
      <c r="H264" s="27"/>
      <c r="I264" s="323" t="s">
        <v>185</v>
      </c>
      <c r="J264" s="194"/>
      <c r="K264" s="432">
        <f t="shared" si="376"/>
        <v>0</v>
      </c>
      <c r="L264" s="307"/>
      <c r="M264" s="307"/>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293"/>
      <c r="AW264" s="14"/>
      <c r="AX264" s="14"/>
      <c r="AY264" s="14"/>
      <c r="AZ264" s="14"/>
      <c r="BA264" s="14"/>
      <c r="BB264" s="14"/>
      <c r="BC264" s="14"/>
      <c r="BD264" s="180"/>
      <c r="BE264" s="165" t="s">
        <v>19</v>
      </c>
      <c r="BF264" s="23">
        <v>22</v>
      </c>
      <c r="BG264" s="23">
        <v>2</v>
      </c>
      <c r="BH264" s="23">
        <v>4</v>
      </c>
      <c r="BI264" s="90" t="b">
        <f t="shared" si="326"/>
        <v>1</v>
      </c>
      <c r="BJ264" s="46" t="b">
        <f t="shared" si="378"/>
        <v>0</v>
      </c>
      <c r="BK264" s="166">
        <f t="shared" si="379"/>
        <v>0</v>
      </c>
      <c r="BL264" s="175">
        <f>IF(SUM(BL$263:BL263,BK264)&gt;$BR$4,0,BK264)</f>
        <v>0</v>
      </c>
      <c r="BM264" s="23">
        <f t="shared" si="311"/>
        <v>0</v>
      </c>
      <c r="BN264" s="90">
        <f t="shared" si="312"/>
        <v>0</v>
      </c>
      <c r="BO264" s="24">
        <f t="shared" si="332"/>
        <v>0</v>
      </c>
      <c r="BP264" s="349">
        <f t="shared" si="380"/>
        <v>0</v>
      </c>
      <c r="BQ264" s="171">
        <f t="shared" si="381"/>
        <v>0</v>
      </c>
      <c r="BR264" s="170">
        <f t="shared" si="313"/>
        <v>0</v>
      </c>
      <c r="BS264" s="168">
        <f t="shared" si="382"/>
        <v>0</v>
      </c>
      <c r="BT264" s="171">
        <f t="shared" si="383"/>
        <v>0</v>
      </c>
      <c r="BU264" s="170">
        <f t="shared" si="314"/>
        <v>0</v>
      </c>
      <c r="BV264" s="168">
        <f t="shared" si="384"/>
        <v>0</v>
      </c>
      <c r="BW264" s="171">
        <f t="shared" si="385"/>
        <v>0</v>
      </c>
      <c r="BX264" s="170">
        <f t="shared" si="315"/>
        <v>0</v>
      </c>
      <c r="BY264" s="168">
        <f t="shared" si="386"/>
        <v>0</v>
      </c>
      <c r="BZ264" s="171">
        <f t="shared" si="387"/>
        <v>0</v>
      </c>
      <c r="CA264" s="170">
        <f t="shared" si="316"/>
        <v>0</v>
      </c>
      <c r="CB264" s="90">
        <f t="shared" si="388"/>
        <v>0</v>
      </c>
      <c r="CC264" s="171">
        <f t="shared" si="389"/>
        <v>0</v>
      </c>
      <c r="CD264" s="170">
        <f t="shared" si="317"/>
        <v>0</v>
      </c>
      <c r="CE264" s="90">
        <f t="shared" si="390"/>
        <v>0</v>
      </c>
      <c r="CF264" s="171">
        <f t="shared" si="391"/>
        <v>0</v>
      </c>
      <c r="CG264" s="170">
        <f t="shared" si="318"/>
        <v>0</v>
      </c>
      <c r="CH264" s="90">
        <f t="shared" si="392"/>
        <v>0</v>
      </c>
      <c r="CI264" s="171">
        <f t="shared" si="393"/>
        <v>0</v>
      </c>
      <c r="CJ264" s="170">
        <f t="shared" si="319"/>
        <v>0</v>
      </c>
      <c r="CK264" s="90">
        <f t="shared" si="394"/>
        <v>0</v>
      </c>
      <c r="CL264" s="171">
        <f t="shared" si="395"/>
        <v>0</v>
      </c>
      <c r="CM264" s="170">
        <f t="shared" si="320"/>
        <v>0</v>
      </c>
      <c r="CN264" s="90">
        <f t="shared" si="396"/>
        <v>0</v>
      </c>
      <c r="CO264" s="171">
        <f t="shared" si="397"/>
        <v>0</v>
      </c>
      <c r="CP264" s="170">
        <f t="shared" si="321"/>
        <v>0</v>
      </c>
      <c r="CQ264" s="90">
        <f t="shared" si="398"/>
        <v>0</v>
      </c>
      <c r="CR264" s="171">
        <f t="shared" si="399"/>
        <v>0</v>
      </c>
      <c r="CS264" s="170">
        <f t="shared" si="322"/>
        <v>0</v>
      </c>
      <c r="CT264" s="90">
        <f t="shared" si="400"/>
        <v>0</v>
      </c>
      <c r="CU264" s="171">
        <f t="shared" si="401"/>
        <v>0</v>
      </c>
      <c r="CV264" s="170">
        <f t="shared" si="323"/>
        <v>0</v>
      </c>
      <c r="CW264" s="90">
        <f t="shared" si="402"/>
        <v>0</v>
      </c>
      <c r="CX264" s="171">
        <f t="shared" si="403"/>
        <v>0</v>
      </c>
      <c r="CY264" s="170">
        <f t="shared" si="324"/>
        <v>0</v>
      </c>
      <c r="CZ264" s="168">
        <f t="shared" si="325"/>
        <v>0</v>
      </c>
      <c r="DA264" s="172">
        <f t="shared" si="327"/>
        <v>0</v>
      </c>
      <c r="DB264" s="173">
        <f t="shared" si="328"/>
        <v>0</v>
      </c>
      <c r="DC264" s="172">
        <f t="shared" si="377"/>
        <v>0</v>
      </c>
      <c r="DD264" s="172">
        <f t="shared" si="377"/>
        <v>0</v>
      </c>
      <c r="DE264" s="172">
        <f t="shared" si="377"/>
        <v>0</v>
      </c>
      <c r="DF264" s="172">
        <f t="shared" si="330"/>
        <v>0</v>
      </c>
      <c r="DG264" s="136"/>
      <c r="DH264" s="136"/>
      <c r="DI264" s="3"/>
      <c r="DJ264" s="8"/>
      <c r="DK264" s="8"/>
      <c r="DL264" s="8"/>
      <c r="DM264" s="8"/>
      <c r="DN264" s="8"/>
      <c r="DO264" s="8"/>
      <c r="DP264" s="8"/>
      <c r="DQ264" s="3"/>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row>
    <row r="265" spans="1:155" s="566" customFormat="1" ht="15" customHeight="1">
      <c r="A265" s="422"/>
      <c r="B265" s="194" t="s">
        <v>189</v>
      </c>
      <c r="C265" s="310"/>
      <c r="D265" s="27"/>
      <c r="E265" s="27"/>
      <c r="F265" s="27"/>
      <c r="G265" s="27"/>
      <c r="H265" s="27"/>
      <c r="I265" s="323" t="s">
        <v>186</v>
      </c>
      <c r="J265" s="194"/>
      <c r="K265" s="432">
        <f t="shared" si="376"/>
        <v>0</v>
      </c>
      <c r="L265" s="307"/>
      <c r="M265" s="307"/>
      <c r="N265" s="14" t="s">
        <v>495</v>
      </c>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293"/>
      <c r="AW265" s="14"/>
      <c r="AX265" s="14"/>
      <c r="AY265" s="14"/>
      <c r="AZ265" s="14"/>
      <c r="BA265" s="14"/>
      <c r="BB265" s="14"/>
      <c r="BC265" s="14"/>
      <c r="BD265" s="70"/>
      <c r="BE265" s="165" t="s">
        <v>19</v>
      </c>
      <c r="BF265" s="23">
        <v>22</v>
      </c>
      <c r="BG265" s="23">
        <v>3</v>
      </c>
      <c r="BH265" s="23">
        <v>5</v>
      </c>
      <c r="BI265" s="90" t="b">
        <f t="shared" si="326"/>
        <v>1</v>
      </c>
      <c r="BJ265" s="46" t="b">
        <f t="shared" si="378"/>
        <v>0</v>
      </c>
      <c r="BK265" s="166">
        <f t="shared" si="379"/>
        <v>0</v>
      </c>
      <c r="BL265" s="175">
        <f>IF(SUM(BL$263:BL264,BK265)&gt;$BR$4,0,BK265)</f>
        <v>0</v>
      </c>
      <c r="BM265" s="23">
        <f t="shared" si="311"/>
        <v>0</v>
      </c>
      <c r="BN265" s="90">
        <f t="shared" si="312"/>
        <v>0</v>
      </c>
      <c r="BO265" s="24">
        <f t="shared" si="332"/>
        <v>0</v>
      </c>
      <c r="BP265" s="349">
        <f t="shared" si="380"/>
        <v>0</v>
      </c>
      <c r="BQ265" s="171">
        <f t="shared" si="381"/>
        <v>0</v>
      </c>
      <c r="BR265" s="170">
        <f t="shared" si="313"/>
        <v>0</v>
      </c>
      <c r="BS265" s="168">
        <f t="shared" si="382"/>
        <v>0</v>
      </c>
      <c r="BT265" s="171">
        <f t="shared" si="383"/>
        <v>0</v>
      </c>
      <c r="BU265" s="170">
        <f t="shared" si="314"/>
        <v>0</v>
      </c>
      <c r="BV265" s="168">
        <f t="shared" si="384"/>
        <v>0</v>
      </c>
      <c r="BW265" s="171">
        <f t="shared" si="385"/>
        <v>0</v>
      </c>
      <c r="BX265" s="170">
        <f t="shared" si="315"/>
        <v>0</v>
      </c>
      <c r="BY265" s="168">
        <f t="shared" si="386"/>
        <v>0</v>
      </c>
      <c r="BZ265" s="171">
        <f t="shared" si="387"/>
        <v>0</v>
      </c>
      <c r="CA265" s="170">
        <f t="shared" si="316"/>
        <v>0</v>
      </c>
      <c r="CB265" s="90">
        <f t="shared" si="388"/>
        <v>0</v>
      </c>
      <c r="CC265" s="171">
        <f t="shared" si="389"/>
        <v>0</v>
      </c>
      <c r="CD265" s="170">
        <f t="shared" si="317"/>
        <v>0</v>
      </c>
      <c r="CE265" s="90">
        <f t="shared" si="390"/>
        <v>0</v>
      </c>
      <c r="CF265" s="171">
        <f t="shared" si="391"/>
        <v>0</v>
      </c>
      <c r="CG265" s="170">
        <f t="shared" si="318"/>
        <v>0</v>
      </c>
      <c r="CH265" s="90">
        <f t="shared" si="392"/>
        <v>0</v>
      </c>
      <c r="CI265" s="171">
        <f t="shared" si="393"/>
        <v>0</v>
      </c>
      <c r="CJ265" s="170">
        <f t="shared" si="319"/>
        <v>0</v>
      </c>
      <c r="CK265" s="90">
        <f t="shared" si="394"/>
        <v>0</v>
      </c>
      <c r="CL265" s="171">
        <f t="shared" si="395"/>
        <v>0</v>
      </c>
      <c r="CM265" s="170">
        <f t="shared" si="320"/>
        <v>0</v>
      </c>
      <c r="CN265" s="90">
        <f t="shared" si="396"/>
        <v>0</v>
      </c>
      <c r="CO265" s="171">
        <f t="shared" si="397"/>
        <v>0</v>
      </c>
      <c r="CP265" s="170">
        <f t="shared" si="321"/>
        <v>0</v>
      </c>
      <c r="CQ265" s="90">
        <f t="shared" si="398"/>
        <v>0</v>
      </c>
      <c r="CR265" s="171">
        <f t="shared" si="399"/>
        <v>0</v>
      </c>
      <c r="CS265" s="170">
        <f t="shared" si="322"/>
        <v>0</v>
      </c>
      <c r="CT265" s="90">
        <f t="shared" si="400"/>
        <v>0</v>
      </c>
      <c r="CU265" s="171">
        <f t="shared" si="401"/>
        <v>0</v>
      </c>
      <c r="CV265" s="170">
        <f t="shared" si="323"/>
        <v>0</v>
      </c>
      <c r="CW265" s="90">
        <f t="shared" si="402"/>
        <v>0</v>
      </c>
      <c r="CX265" s="171">
        <f t="shared" si="403"/>
        <v>0</v>
      </c>
      <c r="CY265" s="170">
        <f t="shared" si="324"/>
        <v>0</v>
      </c>
      <c r="CZ265" s="168">
        <f t="shared" si="325"/>
        <v>0</v>
      </c>
      <c r="DA265" s="172">
        <f t="shared" si="327"/>
        <v>0</v>
      </c>
      <c r="DB265" s="173">
        <f t="shared" si="328"/>
        <v>0</v>
      </c>
      <c r="DC265" s="172">
        <f t="shared" si="377"/>
        <v>0</v>
      </c>
      <c r="DD265" s="172">
        <f t="shared" si="377"/>
        <v>0</v>
      </c>
      <c r="DE265" s="172">
        <f t="shared" si="377"/>
        <v>0</v>
      </c>
      <c r="DF265" s="172">
        <f t="shared" si="330"/>
        <v>0</v>
      </c>
      <c r="DG265" s="136"/>
      <c r="DH265" s="136"/>
      <c r="DI265" s="3"/>
      <c r="DJ265" s="8"/>
      <c r="DK265" s="8"/>
      <c r="DL265" s="8"/>
      <c r="DM265" s="8"/>
      <c r="DN265" s="8"/>
      <c r="DO265" s="8"/>
      <c r="DP265" s="8"/>
      <c r="DQ265" s="3"/>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row>
    <row r="266" spans="1:155" s="566" customFormat="1" ht="15" customHeight="1">
      <c r="A266" s="422"/>
      <c r="B266" s="194" t="s">
        <v>190</v>
      </c>
      <c r="C266" s="310"/>
      <c r="D266" s="27"/>
      <c r="E266" s="27"/>
      <c r="F266" s="27"/>
      <c r="G266" s="27"/>
      <c r="H266" s="27"/>
      <c r="I266" s="323" t="s">
        <v>187</v>
      </c>
      <c r="J266" s="194"/>
      <c r="K266" s="432">
        <f t="shared" si="376"/>
        <v>0</v>
      </c>
      <c r="L266" s="307"/>
      <c r="M266" s="307"/>
      <c r="N266" s="434">
        <v>0.03</v>
      </c>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293"/>
      <c r="AW266" s="14"/>
      <c r="AX266" s="14"/>
      <c r="AY266" s="14"/>
      <c r="AZ266" s="14"/>
      <c r="BA266" s="14"/>
      <c r="BB266" s="14"/>
      <c r="BC266" s="14"/>
      <c r="BD266" s="70"/>
      <c r="BE266" s="165" t="s">
        <v>19</v>
      </c>
      <c r="BF266" s="23">
        <v>22</v>
      </c>
      <c r="BG266" s="23">
        <v>4</v>
      </c>
      <c r="BH266" s="23">
        <v>6</v>
      </c>
      <c r="BI266" s="90" t="b">
        <f t="shared" si="326"/>
        <v>0</v>
      </c>
      <c r="BJ266" s="46" t="b">
        <f t="shared" si="378"/>
        <v>0</v>
      </c>
      <c r="BK266" s="166">
        <f t="shared" si="379"/>
        <v>0</v>
      </c>
      <c r="BL266" s="175">
        <f>IF(SUM(BL$263:BL265,BK266)&gt;$BR$4,0,BK266)</f>
        <v>0</v>
      </c>
      <c r="BM266" s="23">
        <f t="shared" si="311"/>
        <v>0</v>
      </c>
      <c r="BN266" s="90">
        <f t="shared" si="312"/>
        <v>0</v>
      </c>
      <c r="BO266" s="24">
        <f t="shared" si="332"/>
        <v>0</v>
      </c>
      <c r="BP266" s="349">
        <f t="shared" si="380"/>
        <v>0</v>
      </c>
      <c r="BQ266" s="171">
        <f t="shared" si="381"/>
        <v>0</v>
      </c>
      <c r="BR266" s="170">
        <f t="shared" si="313"/>
        <v>0</v>
      </c>
      <c r="BS266" s="168">
        <f t="shared" si="382"/>
        <v>0</v>
      </c>
      <c r="BT266" s="171">
        <f t="shared" si="383"/>
        <v>0</v>
      </c>
      <c r="BU266" s="170">
        <f t="shared" si="314"/>
        <v>0</v>
      </c>
      <c r="BV266" s="168">
        <f t="shared" si="384"/>
        <v>0</v>
      </c>
      <c r="BW266" s="171">
        <f t="shared" si="385"/>
        <v>0</v>
      </c>
      <c r="BX266" s="170">
        <f t="shared" si="315"/>
        <v>0</v>
      </c>
      <c r="BY266" s="168">
        <f t="shared" si="386"/>
        <v>0</v>
      </c>
      <c r="BZ266" s="171">
        <f t="shared" si="387"/>
        <v>0</v>
      </c>
      <c r="CA266" s="170">
        <f t="shared" si="316"/>
        <v>0</v>
      </c>
      <c r="CB266" s="90">
        <f t="shared" si="388"/>
        <v>0</v>
      </c>
      <c r="CC266" s="171">
        <f t="shared" si="389"/>
        <v>0</v>
      </c>
      <c r="CD266" s="170">
        <f t="shared" si="317"/>
        <v>0</v>
      </c>
      <c r="CE266" s="90">
        <f t="shared" si="390"/>
        <v>0</v>
      </c>
      <c r="CF266" s="171">
        <f t="shared" si="391"/>
        <v>0</v>
      </c>
      <c r="CG266" s="170">
        <f t="shared" si="318"/>
        <v>0</v>
      </c>
      <c r="CH266" s="90">
        <f t="shared" si="392"/>
        <v>0</v>
      </c>
      <c r="CI266" s="171">
        <f t="shared" si="393"/>
        <v>0</v>
      </c>
      <c r="CJ266" s="170">
        <f t="shared" si="319"/>
        <v>0</v>
      </c>
      <c r="CK266" s="90">
        <f t="shared" si="394"/>
        <v>0</v>
      </c>
      <c r="CL266" s="171">
        <f t="shared" si="395"/>
        <v>0</v>
      </c>
      <c r="CM266" s="170">
        <f t="shared" si="320"/>
        <v>0</v>
      </c>
      <c r="CN266" s="90">
        <f t="shared" si="396"/>
        <v>0</v>
      </c>
      <c r="CO266" s="171">
        <f t="shared" si="397"/>
        <v>0</v>
      </c>
      <c r="CP266" s="170">
        <f t="shared" si="321"/>
        <v>0</v>
      </c>
      <c r="CQ266" s="90">
        <f t="shared" si="398"/>
        <v>0</v>
      </c>
      <c r="CR266" s="171">
        <f t="shared" si="399"/>
        <v>0</v>
      </c>
      <c r="CS266" s="170">
        <f t="shared" si="322"/>
        <v>0</v>
      </c>
      <c r="CT266" s="90">
        <f t="shared" si="400"/>
        <v>0</v>
      </c>
      <c r="CU266" s="171">
        <f t="shared" si="401"/>
        <v>0</v>
      </c>
      <c r="CV266" s="170">
        <f t="shared" si="323"/>
        <v>0</v>
      </c>
      <c r="CW266" s="90">
        <f t="shared" si="402"/>
        <v>0</v>
      </c>
      <c r="CX266" s="171">
        <f t="shared" si="403"/>
        <v>0</v>
      </c>
      <c r="CY266" s="170">
        <f t="shared" si="324"/>
        <v>0</v>
      </c>
      <c r="CZ266" s="168">
        <f t="shared" si="325"/>
        <v>0</v>
      </c>
      <c r="DA266" s="172">
        <f t="shared" si="327"/>
        <v>0</v>
      </c>
      <c r="DB266" s="173">
        <f t="shared" si="328"/>
        <v>0</v>
      </c>
      <c r="DC266" s="172">
        <f t="shared" si="377"/>
        <v>0</v>
      </c>
      <c r="DD266" s="172">
        <f t="shared" si="377"/>
        <v>0</v>
      </c>
      <c r="DE266" s="172">
        <f t="shared" si="377"/>
        <v>0</v>
      </c>
      <c r="DF266" s="172">
        <f t="shared" si="330"/>
        <v>0</v>
      </c>
      <c r="DG266" s="136"/>
      <c r="DH266" s="136"/>
      <c r="DI266" s="3"/>
      <c r="DJ266" s="8"/>
      <c r="DK266" s="8"/>
      <c r="DL266" s="8"/>
      <c r="DM266" s="8"/>
      <c r="DN266" s="8"/>
      <c r="DO266" s="8"/>
      <c r="DP266" s="8"/>
      <c r="DQ266" s="3"/>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row>
    <row r="267" spans="1:155" s="566" customFormat="1" ht="15" customHeight="1">
      <c r="A267" s="422"/>
      <c r="B267" s="194" t="s">
        <v>191</v>
      </c>
      <c r="C267" s="310"/>
      <c r="D267" s="27"/>
      <c r="E267" s="27"/>
      <c r="F267" s="27"/>
      <c r="G267" s="27"/>
      <c r="H267" s="27"/>
      <c r="I267" s="323" t="s">
        <v>188</v>
      </c>
      <c r="J267" s="194"/>
      <c r="K267" s="432">
        <f t="shared" si="376"/>
        <v>0</v>
      </c>
      <c r="L267" s="307"/>
      <c r="M267" s="307"/>
      <c r="N267" s="14" t="s">
        <v>496</v>
      </c>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293"/>
      <c r="AW267" s="14"/>
      <c r="AX267" s="14"/>
      <c r="AY267" s="14"/>
      <c r="AZ267" s="14"/>
      <c r="BA267" s="14"/>
      <c r="BB267" s="14"/>
      <c r="BC267" s="14"/>
      <c r="BD267" s="70"/>
      <c r="BE267" s="165" t="s">
        <v>19</v>
      </c>
      <c r="BF267" s="23">
        <v>22</v>
      </c>
      <c r="BG267" s="23">
        <v>5</v>
      </c>
      <c r="BH267" s="23">
        <v>7</v>
      </c>
      <c r="BI267" s="90" t="b">
        <f t="shared" si="326"/>
        <v>0</v>
      </c>
      <c r="BJ267" s="46" t="b">
        <f t="shared" si="378"/>
        <v>0</v>
      </c>
      <c r="BK267" s="166">
        <f t="shared" si="379"/>
        <v>0</v>
      </c>
      <c r="BL267" s="175">
        <f>IF(SUM(BL$263:BL266,BK267)&gt;$BR$4,0,BK267)</f>
        <v>0</v>
      </c>
      <c r="BM267" s="23">
        <f t="shared" si="311"/>
        <v>0</v>
      </c>
      <c r="BN267" s="90">
        <f t="shared" si="312"/>
        <v>0</v>
      </c>
      <c r="BO267" s="24">
        <f t="shared" si="332"/>
        <v>0</v>
      </c>
      <c r="BP267" s="349">
        <f t="shared" si="380"/>
        <v>0</v>
      </c>
      <c r="BQ267" s="171">
        <f t="shared" si="381"/>
        <v>0</v>
      </c>
      <c r="BR267" s="170">
        <f t="shared" si="313"/>
        <v>0</v>
      </c>
      <c r="BS267" s="168">
        <f t="shared" si="382"/>
        <v>0</v>
      </c>
      <c r="BT267" s="171">
        <f t="shared" si="383"/>
        <v>0</v>
      </c>
      <c r="BU267" s="170">
        <f t="shared" si="314"/>
        <v>0</v>
      </c>
      <c r="BV267" s="168">
        <f t="shared" si="384"/>
        <v>0</v>
      </c>
      <c r="BW267" s="171">
        <f t="shared" si="385"/>
        <v>0</v>
      </c>
      <c r="BX267" s="170">
        <f t="shared" si="315"/>
        <v>0</v>
      </c>
      <c r="BY267" s="168">
        <f t="shared" si="386"/>
        <v>0</v>
      </c>
      <c r="BZ267" s="171">
        <f t="shared" si="387"/>
        <v>0</v>
      </c>
      <c r="CA267" s="170">
        <f t="shared" si="316"/>
        <v>0</v>
      </c>
      <c r="CB267" s="90">
        <f t="shared" si="388"/>
        <v>0</v>
      </c>
      <c r="CC267" s="171">
        <f t="shared" si="389"/>
        <v>0</v>
      </c>
      <c r="CD267" s="170">
        <f t="shared" si="317"/>
        <v>0</v>
      </c>
      <c r="CE267" s="90">
        <f t="shared" si="390"/>
        <v>0</v>
      </c>
      <c r="CF267" s="171">
        <f t="shared" si="391"/>
        <v>0</v>
      </c>
      <c r="CG267" s="170">
        <f t="shared" si="318"/>
        <v>0</v>
      </c>
      <c r="CH267" s="90">
        <f t="shared" si="392"/>
        <v>0</v>
      </c>
      <c r="CI267" s="171">
        <f t="shared" si="393"/>
        <v>0</v>
      </c>
      <c r="CJ267" s="170">
        <f t="shared" si="319"/>
        <v>0</v>
      </c>
      <c r="CK267" s="90">
        <f t="shared" si="394"/>
        <v>0</v>
      </c>
      <c r="CL267" s="171">
        <f t="shared" si="395"/>
        <v>0</v>
      </c>
      <c r="CM267" s="170">
        <f t="shared" si="320"/>
        <v>0</v>
      </c>
      <c r="CN267" s="90">
        <f t="shared" si="396"/>
        <v>0</v>
      </c>
      <c r="CO267" s="171">
        <f t="shared" si="397"/>
        <v>0</v>
      </c>
      <c r="CP267" s="170">
        <f t="shared" si="321"/>
        <v>0</v>
      </c>
      <c r="CQ267" s="90">
        <f t="shared" si="398"/>
        <v>0</v>
      </c>
      <c r="CR267" s="171">
        <f t="shared" si="399"/>
        <v>0</v>
      </c>
      <c r="CS267" s="170">
        <f t="shared" si="322"/>
        <v>0</v>
      </c>
      <c r="CT267" s="90">
        <f t="shared" si="400"/>
        <v>0</v>
      </c>
      <c r="CU267" s="171">
        <f t="shared" si="401"/>
        <v>0</v>
      </c>
      <c r="CV267" s="170">
        <f t="shared" si="323"/>
        <v>0</v>
      </c>
      <c r="CW267" s="90">
        <f t="shared" si="402"/>
        <v>0</v>
      </c>
      <c r="CX267" s="171">
        <f t="shared" si="403"/>
        <v>0</v>
      </c>
      <c r="CY267" s="170">
        <f t="shared" si="324"/>
        <v>0</v>
      </c>
      <c r="CZ267" s="168">
        <f t="shared" si="325"/>
        <v>0</v>
      </c>
      <c r="DA267" s="172">
        <f t="shared" si="327"/>
        <v>0</v>
      </c>
      <c r="DB267" s="173">
        <f t="shared" si="328"/>
        <v>0</v>
      </c>
      <c r="DC267" s="172">
        <f t="shared" si="377"/>
        <v>0</v>
      </c>
      <c r="DD267" s="172">
        <f t="shared" si="377"/>
        <v>0</v>
      </c>
      <c r="DE267" s="172">
        <f t="shared" si="377"/>
        <v>0</v>
      </c>
      <c r="DF267" s="172">
        <f t="shared" si="330"/>
        <v>0</v>
      </c>
      <c r="DG267" s="136"/>
      <c r="DH267" s="136"/>
      <c r="DI267" s="3"/>
      <c r="DJ267" s="8"/>
      <c r="DK267" s="8"/>
      <c r="DL267" s="8"/>
      <c r="DM267" s="8"/>
      <c r="DN267" s="8"/>
      <c r="DO267" s="8"/>
      <c r="DP267" s="8"/>
      <c r="DQ267" s="3"/>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row>
    <row r="268" spans="1:155" s="566" customFormat="1" ht="15" customHeight="1">
      <c r="A268" s="422"/>
      <c r="B268" s="70"/>
      <c r="C268" s="316">
        <f>SUM(C256:C267)</f>
        <v>0</v>
      </c>
      <c r="D268" s="27"/>
      <c r="E268" s="27"/>
      <c r="F268" s="27"/>
      <c r="G268" s="27"/>
      <c r="H268" s="27"/>
      <c r="I268" s="323" t="s">
        <v>189</v>
      </c>
      <c r="J268" s="194"/>
      <c r="K268" s="432">
        <f t="shared" si="376"/>
        <v>0</v>
      </c>
      <c r="L268" s="307"/>
      <c r="M268" s="307"/>
      <c r="N268" s="14" t="s">
        <v>497</v>
      </c>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293"/>
      <c r="AW268" s="14"/>
      <c r="AX268" s="14"/>
      <c r="AY268" s="14"/>
      <c r="AZ268" s="14"/>
      <c r="BA268" s="14"/>
      <c r="BB268" s="14"/>
      <c r="BC268" s="14"/>
      <c r="BD268" s="70"/>
      <c r="BE268" s="165" t="s">
        <v>19</v>
      </c>
      <c r="BF268" s="23">
        <v>22</v>
      </c>
      <c r="BG268" s="23">
        <v>6</v>
      </c>
      <c r="BH268" s="23">
        <v>1</v>
      </c>
      <c r="BI268" s="90" t="b">
        <f t="shared" si="326"/>
        <v>1</v>
      </c>
      <c r="BJ268" s="46" t="b">
        <f t="shared" si="378"/>
        <v>0</v>
      </c>
      <c r="BK268" s="166">
        <f t="shared" si="379"/>
        <v>0</v>
      </c>
      <c r="BL268" s="175">
        <f>IF(SUM(BL$263:BL267,BK268)&gt;$BR$4,0,BK268)</f>
        <v>0</v>
      </c>
      <c r="BM268" s="23">
        <f t="shared" si="311"/>
        <v>0</v>
      </c>
      <c r="BN268" s="90">
        <f t="shared" si="312"/>
        <v>0</v>
      </c>
      <c r="BO268" s="24">
        <f t="shared" si="332"/>
        <v>0</v>
      </c>
      <c r="BP268" s="349">
        <f t="shared" si="380"/>
        <v>0</v>
      </c>
      <c r="BQ268" s="171">
        <f t="shared" si="381"/>
        <v>0</v>
      </c>
      <c r="BR268" s="170">
        <f t="shared" si="313"/>
        <v>0</v>
      </c>
      <c r="BS268" s="168">
        <f t="shared" si="382"/>
        <v>0</v>
      </c>
      <c r="BT268" s="171">
        <f t="shared" si="383"/>
        <v>0</v>
      </c>
      <c r="BU268" s="170">
        <f t="shared" si="314"/>
        <v>0</v>
      </c>
      <c r="BV268" s="168">
        <f t="shared" si="384"/>
        <v>0</v>
      </c>
      <c r="BW268" s="171">
        <f t="shared" si="385"/>
        <v>0</v>
      </c>
      <c r="BX268" s="170">
        <f t="shared" si="315"/>
        <v>0</v>
      </c>
      <c r="BY268" s="168">
        <f t="shared" si="386"/>
        <v>0</v>
      </c>
      <c r="BZ268" s="171">
        <f t="shared" si="387"/>
        <v>0</v>
      </c>
      <c r="CA268" s="170">
        <f t="shared" si="316"/>
        <v>0</v>
      </c>
      <c r="CB268" s="90">
        <f t="shared" si="388"/>
        <v>0</v>
      </c>
      <c r="CC268" s="171">
        <f t="shared" si="389"/>
        <v>0</v>
      </c>
      <c r="CD268" s="170">
        <f t="shared" si="317"/>
        <v>0</v>
      </c>
      <c r="CE268" s="90">
        <f t="shared" si="390"/>
        <v>0</v>
      </c>
      <c r="CF268" s="171">
        <f t="shared" si="391"/>
        <v>0</v>
      </c>
      <c r="CG268" s="170">
        <f t="shared" si="318"/>
        <v>0</v>
      </c>
      <c r="CH268" s="90">
        <f t="shared" si="392"/>
        <v>0</v>
      </c>
      <c r="CI268" s="171">
        <f t="shared" si="393"/>
        <v>0</v>
      </c>
      <c r="CJ268" s="170">
        <f t="shared" si="319"/>
        <v>0</v>
      </c>
      <c r="CK268" s="90">
        <f t="shared" si="394"/>
        <v>0</v>
      </c>
      <c r="CL268" s="171">
        <f t="shared" si="395"/>
        <v>0</v>
      </c>
      <c r="CM268" s="170">
        <f t="shared" si="320"/>
        <v>0</v>
      </c>
      <c r="CN268" s="90">
        <f t="shared" si="396"/>
        <v>0</v>
      </c>
      <c r="CO268" s="171">
        <f t="shared" si="397"/>
        <v>0</v>
      </c>
      <c r="CP268" s="170">
        <f t="shared" si="321"/>
        <v>0</v>
      </c>
      <c r="CQ268" s="90">
        <f t="shared" si="398"/>
        <v>0</v>
      </c>
      <c r="CR268" s="171">
        <f t="shared" si="399"/>
        <v>0</v>
      </c>
      <c r="CS268" s="170">
        <f t="shared" si="322"/>
        <v>0</v>
      </c>
      <c r="CT268" s="90">
        <f t="shared" si="400"/>
        <v>0</v>
      </c>
      <c r="CU268" s="171">
        <f t="shared" si="401"/>
        <v>0</v>
      </c>
      <c r="CV268" s="170">
        <f t="shared" si="323"/>
        <v>0</v>
      </c>
      <c r="CW268" s="90">
        <f t="shared" si="402"/>
        <v>0</v>
      </c>
      <c r="CX268" s="171">
        <f t="shared" si="403"/>
        <v>0</v>
      </c>
      <c r="CY268" s="170">
        <f t="shared" si="324"/>
        <v>0</v>
      </c>
      <c r="CZ268" s="168">
        <f t="shared" si="325"/>
        <v>0</v>
      </c>
      <c r="DA268" s="172">
        <f t="shared" si="327"/>
        <v>0</v>
      </c>
      <c r="DB268" s="173">
        <f t="shared" si="328"/>
        <v>0</v>
      </c>
      <c r="DC268" s="172">
        <f t="shared" si="377"/>
        <v>0</v>
      </c>
      <c r="DD268" s="172">
        <f t="shared" si="377"/>
        <v>0</v>
      </c>
      <c r="DE268" s="172">
        <f t="shared" si="377"/>
        <v>0</v>
      </c>
      <c r="DF268" s="172">
        <f t="shared" si="330"/>
        <v>0</v>
      </c>
      <c r="DG268" s="136"/>
      <c r="DH268" s="136"/>
      <c r="DI268" s="3"/>
      <c r="DJ268" s="8"/>
      <c r="DK268" s="8"/>
      <c r="DL268" s="8"/>
      <c r="DM268" s="8"/>
      <c r="DN268" s="8"/>
      <c r="DO268" s="8"/>
      <c r="DP268" s="8"/>
      <c r="DQ268" s="3"/>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row>
    <row r="269" spans="1:155" s="566" customFormat="1" ht="15" customHeight="1">
      <c r="A269" s="422"/>
      <c r="B269" s="27"/>
      <c r="C269" s="27"/>
      <c r="D269" s="27"/>
      <c r="E269" s="27"/>
      <c r="F269" s="27"/>
      <c r="G269" s="27"/>
      <c r="H269" s="27"/>
      <c r="I269" s="323" t="s">
        <v>190</v>
      </c>
      <c r="J269" s="194"/>
      <c r="K269" s="432">
        <f t="shared" si="376"/>
        <v>0</v>
      </c>
      <c r="L269" s="307"/>
      <c r="M269" s="307"/>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293"/>
      <c r="AW269" s="14"/>
      <c r="AX269" s="14"/>
      <c r="AY269" s="14"/>
      <c r="AZ269" s="14"/>
      <c r="BA269" s="14"/>
      <c r="BB269" s="14"/>
      <c r="BC269" s="14"/>
      <c r="BD269" s="70"/>
      <c r="BE269" s="165" t="s">
        <v>19</v>
      </c>
      <c r="BF269" s="23">
        <v>22</v>
      </c>
      <c r="BG269" s="23">
        <v>7</v>
      </c>
      <c r="BH269" s="23">
        <v>2</v>
      </c>
      <c r="BI269" s="90" t="b">
        <f t="shared" si="326"/>
        <v>1</v>
      </c>
      <c r="BJ269" s="46" t="b">
        <f t="shared" si="378"/>
        <v>0</v>
      </c>
      <c r="BK269" s="166">
        <f t="shared" si="379"/>
        <v>0</v>
      </c>
      <c r="BL269" s="175">
        <f>IF(SUM(BL$263:BL268,BK269)&gt;$BR$4,0,BK269)</f>
        <v>0</v>
      </c>
      <c r="BM269" s="23">
        <f t="shared" si="311"/>
        <v>0</v>
      </c>
      <c r="BN269" s="90">
        <f t="shared" si="312"/>
        <v>0</v>
      </c>
      <c r="BO269" s="24">
        <f t="shared" si="332"/>
        <v>0</v>
      </c>
      <c r="BP269" s="349">
        <f t="shared" si="380"/>
        <v>0</v>
      </c>
      <c r="BQ269" s="171">
        <f t="shared" si="381"/>
        <v>0</v>
      </c>
      <c r="BR269" s="170">
        <f t="shared" si="313"/>
        <v>0</v>
      </c>
      <c r="BS269" s="168">
        <f t="shared" si="382"/>
        <v>0</v>
      </c>
      <c r="BT269" s="171">
        <f t="shared" si="383"/>
        <v>0</v>
      </c>
      <c r="BU269" s="170">
        <f t="shared" si="314"/>
        <v>0</v>
      </c>
      <c r="BV269" s="168">
        <f t="shared" si="384"/>
        <v>0</v>
      </c>
      <c r="BW269" s="171">
        <f t="shared" si="385"/>
        <v>0</v>
      </c>
      <c r="BX269" s="170">
        <f t="shared" si="315"/>
        <v>0</v>
      </c>
      <c r="BY269" s="168">
        <f t="shared" si="386"/>
        <v>0</v>
      </c>
      <c r="BZ269" s="171">
        <f t="shared" si="387"/>
        <v>0</v>
      </c>
      <c r="CA269" s="170">
        <f t="shared" si="316"/>
        <v>0</v>
      </c>
      <c r="CB269" s="90">
        <f t="shared" si="388"/>
        <v>0</v>
      </c>
      <c r="CC269" s="171">
        <f t="shared" si="389"/>
        <v>0</v>
      </c>
      <c r="CD269" s="170">
        <f t="shared" si="317"/>
        <v>0</v>
      </c>
      <c r="CE269" s="90">
        <f t="shared" si="390"/>
        <v>0</v>
      </c>
      <c r="CF269" s="171">
        <f t="shared" si="391"/>
        <v>0</v>
      </c>
      <c r="CG269" s="170">
        <f t="shared" si="318"/>
        <v>0</v>
      </c>
      <c r="CH269" s="90">
        <f t="shared" si="392"/>
        <v>0</v>
      </c>
      <c r="CI269" s="171">
        <f t="shared" si="393"/>
        <v>0</v>
      </c>
      <c r="CJ269" s="170">
        <f t="shared" si="319"/>
        <v>0</v>
      </c>
      <c r="CK269" s="90">
        <f t="shared" si="394"/>
        <v>0</v>
      </c>
      <c r="CL269" s="171">
        <f t="shared" si="395"/>
        <v>0</v>
      </c>
      <c r="CM269" s="170">
        <f t="shared" si="320"/>
        <v>0</v>
      </c>
      <c r="CN269" s="90">
        <f t="shared" si="396"/>
        <v>0</v>
      </c>
      <c r="CO269" s="171">
        <f t="shared" si="397"/>
        <v>0</v>
      </c>
      <c r="CP269" s="170">
        <f t="shared" si="321"/>
        <v>0</v>
      </c>
      <c r="CQ269" s="90">
        <f t="shared" si="398"/>
        <v>0</v>
      </c>
      <c r="CR269" s="171">
        <f t="shared" si="399"/>
        <v>0</v>
      </c>
      <c r="CS269" s="170">
        <f t="shared" si="322"/>
        <v>0</v>
      </c>
      <c r="CT269" s="90">
        <f t="shared" si="400"/>
        <v>0</v>
      </c>
      <c r="CU269" s="171">
        <f t="shared" si="401"/>
        <v>0</v>
      </c>
      <c r="CV269" s="170">
        <f t="shared" si="323"/>
        <v>0</v>
      </c>
      <c r="CW269" s="90">
        <f t="shared" si="402"/>
        <v>0</v>
      </c>
      <c r="CX269" s="171">
        <f t="shared" si="403"/>
        <v>0</v>
      </c>
      <c r="CY269" s="170">
        <f t="shared" si="324"/>
        <v>0</v>
      </c>
      <c r="CZ269" s="168">
        <f t="shared" si="325"/>
        <v>0</v>
      </c>
      <c r="DA269" s="172">
        <f t="shared" si="327"/>
        <v>0</v>
      </c>
      <c r="DB269" s="173">
        <f t="shared" si="328"/>
        <v>0</v>
      </c>
      <c r="DC269" s="172">
        <f t="shared" si="377"/>
        <v>0</v>
      </c>
      <c r="DD269" s="172">
        <f t="shared" si="377"/>
        <v>0</v>
      </c>
      <c r="DE269" s="172">
        <f t="shared" si="377"/>
        <v>0</v>
      </c>
      <c r="DF269" s="172">
        <f>IF(DA269-(DE268+CZ269)&lt;0,0,DA269-(DE268+CZ269))</f>
        <v>0</v>
      </c>
      <c r="DG269" s="136"/>
      <c r="DH269" s="136"/>
      <c r="DI269" s="3"/>
      <c r="DJ269" s="8"/>
      <c r="DK269" s="8"/>
      <c r="DL269" s="8"/>
      <c r="DM269" s="8"/>
      <c r="DN269" s="8"/>
      <c r="DO269" s="8"/>
      <c r="DP269" s="8"/>
      <c r="DQ269" s="3"/>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row>
    <row r="270" spans="1:155" s="566" customFormat="1" ht="30" customHeight="1">
      <c r="A270" s="422"/>
      <c r="B270" s="27"/>
      <c r="C270" s="27"/>
      <c r="D270" s="27"/>
      <c r="E270" s="27"/>
      <c r="F270" s="27"/>
      <c r="G270" s="27"/>
      <c r="H270" s="27"/>
      <c r="I270" s="323" t="s">
        <v>191</v>
      </c>
      <c r="J270" s="194"/>
      <c r="K270" s="432">
        <f t="shared" si="376"/>
        <v>0</v>
      </c>
      <c r="L270" s="307"/>
      <c r="M270" s="307"/>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293"/>
      <c r="AW270" s="14"/>
      <c r="AX270" s="14"/>
      <c r="AY270" s="14"/>
      <c r="AZ270" s="14"/>
      <c r="BA270" s="14"/>
      <c r="BB270" s="14"/>
      <c r="BC270" s="14"/>
      <c r="BD270" s="70"/>
      <c r="BE270" s="165" t="s">
        <v>19</v>
      </c>
      <c r="BF270" s="23">
        <v>22</v>
      </c>
      <c r="BG270" s="23">
        <v>8</v>
      </c>
      <c r="BH270" s="23">
        <v>3</v>
      </c>
      <c r="BI270" s="90" t="b">
        <f t="shared" si="326"/>
        <v>1</v>
      </c>
      <c r="BJ270" s="46" t="b">
        <f t="shared" si="378"/>
        <v>1</v>
      </c>
      <c r="BK270" s="166">
        <f t="shared" si="379"/>
        <v>6.75</v>
      </c>
      <c r="BL270" s="175">
        <f>IF(SUM(BL$263:BL269,BK270)&gt;$BR$4,0,BK270)</f>
        <v>6.75</v>
      </c>
      <c r="BM270" s="23">
        <f t="shared" si="311"/>
        <v>0</v>
      </c>
      <c r="BN270" s="90">
        <f t="shared" si="312"/>
        <v>0</v>
      </c>
      <c r="BO270" s="24">
        <f t="shared" si="332"/>
        <v>0</v>
      </c>
      <c r="BP270" s="349">
        <f t="shared" si="380"/>
        <v>0</v>
      </c>
      <c r="BQ270" s="171">
        <f t="shared" si="381"/>
        <v>0</v>
      </c>
      <c r="BR270" s="170">
        <f t="shared" si="313"/>
        <v>0</v>
      </c>
      <c r="BS270" s="168">
        <f t="shared" si="382"/>
        <v>0</v>
      </c>
      <c r="BT270" s="171">
        <f t="shared" si="383"/>
        <v>0</v>
      </c>
      <c r="BU270" s="170">
        <f t="shared" si="314"/>
        <v>0</v>
      </c>
      <c r="BV270" s="168">
        <f t="shared" si="384"/>
        <v>0</v>
      </c>
      <c r="BW270" s="171">
        <f t="shared" si="385"/>
        <v>0</v>
      </c>
      <c r="BX270" s="170">
        <f t="shared" si="315"/>
        <v>0</v>
      </c>
      <c r="BY270" s="168">
        <f t="shared" si="386"/>
        <v>0</v>
      </c>
      <c r="BZ270" s="171">
        <f t="shared" si="387"/>
        <v>0</v>
      </c>
      <c r="CA270" s="170">
        <f t="shared" si="316"/>
        <v>0</v>
      </c>
      <c r="CB270" s="90">
        <f t="shared" si="388"/>
        <v>0</v>
      </c>
      <c r="CC270" s="171">
        <f t="shared" si="389"/>
        <v>0</v>
      </c>
      <c r="CD270" s="170">
        <f t="shared" si="317"/>
        <v>0</v>
      </c>
      <c r="CE270" s="90">
        <f t="shared" si="390"/>
        <v>0</v>
      </c>
      <c r="CF270" s="171">
        <f t="shared" si="391"/>
        <v>0</v>
      </c>
      <c r="CG270" s="170">
        <f t="shared" si="318"/>
        <v>0</v>
      </c>
      <c r="CH270" s="90">
        <f t="shared" si="392"/>
        <v>0</v>
      </c>
      <c r="CI270" s="171">
        <f t="shared" si="393"/>
        <v>0</v>
      </c>
      <c r="CJ270" s="170">
        <f t="shared" si="319"/>
        <v>0</v>
      </c>
      <c r="CK270" s="90">
        <f t="shared" si="394"/>
        <v>0</v>
      </c>
      <c r="CL270" s="171">
        <f t="shared" si="395"/>
        <v>0</v>
      </c>
      <c r="CM270" s="170">
        <f t="shared" si="320"/>
        <v>0</v>
      </c>
      <c r="CN270" s="90">
        <f t="shared" si="396"/>
        <v>0</v>
      </c>
      <c r="CO270" s="171">
        <f t="shared" si="397"/>
        <v>0</v>
      </c>
      <c r="CP270" s="170">
        <f t="shared" si="321"/>
        <v>0</v>
      </c>
      <c r="CQ270" s="90">
        <f t="shared" si="398"/>
        <v>0</v>
      </c>
      <c r="CR270" s="171">
        <f t="shared" si="399"/>
        <v>0</v>
      </c>
      <c r="CS270" s="170">
        <f t="shared" si="322"/>
        <v>0</v>
      </c>
      <c r="CT270" s="90">
        <f t="shared" si="400"/>
        <v>0</v>
      </c>
      <c r="CU270" s="171">
        <f t="shared" si="401"/>
        <v>0</v>
      </c>
      <c r="CV270" s="170">
        <f t="shared" si="323"/>
        <v>0</v>
      </c>
      <c r="CW270" s="90">
        <f t="shared" si="402"/>
        <v>0</v>
      </c>
      <c r="CX270" s="171">
        <f t="shared" si="403"/>
        <v>0</v>
      </c>
      <c r="CY270" s="170">
        <f t="shared" si="324"/>
        <v>0</v>
      </c>
      <c r="CZ270" s="168">
        <f t="shared" si="325"/>
        <v>0</v>
      </c>
      <c r="DA270" s="172">
        <f t="shared" si="327"/>
        <v>0</v>
      </c>
      <c r="DB270" s="173">
        <f t="shared" si="328"/>
        <v>0</v>
      </c>
      <c r="DC270" s="172">
        <f t="shared" si="377"/>
        <v>0</v>
      </c>
      <c r="DD270" s="172">
        <f t="shared" si="377"/>
        <v>0</v>
      </c>
      <c r="DE270" s="172">
        <f t="shared" si="377"/>
        <v>0</v>
      </c>
      <c r="DF270" s="172">
        <f t="shared" si="330"/>
        <v>0</v>
      </c>
      <c r="DG270" s="136"/>
      <c r="DH270" s="136"/>
      <c r="DI270" s="3"/>
      <c r="DJ270" s="8"/>
      <c r="DK270" s="8"/>
      <c r="DL270" s="8"/>
      <c r="DM270" s="8"/>
      <c r="DN270" s="8"/>
      <c r="DO270" s="8"/>
      <c r="DP270" s="8"/>
      <c r="DQ270" s="3"/>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row>
    <row r="271" spans="1:155" s="566" customFormat="1" ht="15" customHeight="1">
      <c r="A271" s="422"/>
      <c r="B271" s="27"/>
      <c r="C271" s="27"/>
      <c r="D271" s="27"/>
      <c r="E271" s="27"/>
      <c r="F271" s="27"/>
      <c r="G271" s="27"/>
      <c r="H271" s="27"/>
      <c r="I271" s="27"/>
      <c r="J271" s="27"/>
      <c r="K271" s="316">
        <f>SUM(K259:K270)</f>
        <v>0</v>
      </c>
      <c r="L271" s="307"/>
      <c r="M271" s="307"/>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293"/>
      <c r="AW271" s="14"/>
      <c r="AX271" s="14"/>
      <c r="AY271" s="14"/>
      <c r="AZ271" s="14"/>
      <c r="BA271" s="14"/>
      <c r="BB271" s="14"/>
      <c r="BC271" s="14"/>
      <c r="BD271" s="70"/>
      <c r="BE271" s="165" t="s">
        <v>19</v>
      </c>
      <c r="BF271" s="23">
        <v>22</v>
      </c>
      <c r="BG271" s="23">
        <v>9</v>
      </c>
      <c r="BH271" s="23">
        <v>4</v>
      </c>
      <c r="BI271" s="90" t="b">
        <f t="shared" si="326"/>
        <v>1</v>
      </c>
      <c r="BJ271" s="46" t="b">
        <f t="shared" si="378"/>
        <v>0</v>
      </c>
      <c r="BK271" s="166">
        <f t="shared" si="379"/>
        <v>0</v>
      </c>
      <c r="BL271" s="175">
        <f>IF(SUM(BL$263:BL270,BK271)&gt;$BR$4,0,BK271)</f>
        <v>0</v>
      </c>
      <c r="BM271" s="23">
        <f t="shared" si="311"/>
        <v>0</v>
      </c>
      <c r="BN271" s="90">
        <f t="shared" si="312"/>
        <v>0</v>
      </c>
      <c r="BO271" s="24">
        <f t="shared" si="332"/>
        <v>0</v>
      </c>
      <c r="BP271" s="349">
        <f t="shared" si="380"/>
        <v>0</v>
      </c>
      <c r="BQ271" s="171">
        <f t="shared" si="381"/>
        <v>0</v>
      </c>
      <c r="BR271" s="170">
        <f t="shared" si="313"/>
        <v>0</v>
      </c>
      <c r="BS271" s="168">
        <f t="shared" si="382"/>
        <v>0</v>
      </c>
      <c r="BT271" s="171">
        <f t="shared" si="383"/>
        <v>0</v>
      </c>
      <c r="BU271" s="170">
        <f t="shared" si="314"/>
        <v>0</v>
      </c>
      <c r="BV271" s="168">
        <f t="shared" si="384"/>
        <v>0</v>
      </c>
      <c r="BW271" s="171">
        <f t="shared" si="385"/>
        <v>0</v>
      </c>
      <c r="BX271" s="170">
        <f t="shared" si="315"/>
        <v>0</v>
      </c>
      <c r="BY271" s="168">
        <f t="shared" si="386"/>
        <v>0</v>
      </c>
      <c r="BZ271" s="171">
        <f t="shared" si="387"/>
        <v>0</v>
      </c>
      <c r="CA271" s="170">
        <f t="shared" si="316"/>
        <v>0</v>
      </c>
      <c r="CB271" s="90">
        <f t="shared" si="388"/>
        <v>0</v>
      </c>
      <c r="CC271" s="171">
        <f t="shared" si="389"/>
        <v>0</v>
      </c>
      <c r="CD271" s="170">
        <f t="shared" si="317"/>
        <v>0</v>
      </c>
      <c r="CE271" s="90">
        <f t="shared" si="390"/>
        <v>0</v>
      </c>
      <c r="CF271" s="171">
        <f t="shared" si="391"/>
        <v>0</v>
      </c>
      <c r="CG271" s="170">
        <f t="shared" si="318"/>
        <v>0</v>
      </c>
      <c r="CH271" s="90">
        <f t="shared" si="392"/>
        <v>0</v>
      </c>
      <c r="CI271" s="171">
        <f t="shared" si="393"/>
        <v>0</v>
      </c>
      <c r="CJ271" s="170">
        <f t="shared" si="319"/>
        <v>0</v>
      </c>
      <c r="CK271" s="90">
        <f t="shared" si="394"/>
        <v>0</v>
      </c>
      <c r="CL271" s="171">
        <f t="shared" si="395"/>
        <v>0</v>
      </c>
      <c r="CM271" s="170">
        <f t="shared" si="320"/>
        <v>0</v>
      </c>
      <c r="CN271" s="90">
        <f t="shared" si="396"/>
        <v>0</v>
      </c>
      <c r="CO271" s="171">
        <f t="shared" si="397"/>
        <v>0</v>
      </c>
      <c r="CP271" s="170">
        <f t="shared" si="321"/>
        <v>0</v>
      </c>
      <c r="CQ271" s="90">
        <f t="shared" si="398"/>
        <v>0</v>
      </c>
      <c r="CR271" s="171">
        <f t="shared" si="399"/>
        <v>0</v>
      </c>
      <c r="CS271" s="170">
        <f t="shared" si="322"/>
        <v>0</v>
      </c>
      <c r="CT271" s="90">
        <f t="shared" si="400"/>
        <v>0</v>
      </c>
      <c r="CU271" s="171">
        <f t="shared" si="401"/>
        <v>0</v>
      </c>
      <c r="CV271" s="170">
        <f t="shared" si="323"/>
        <v>0</v>
      </c>
      <c r="CW271" s="90">
        <f t="shared" si="402"/>
        <v>0</v>
      </c>
      <c r="CX271" s="171">
        <f t="shared" si="403"/>
        <v>0</v>
      </c>
      <c r="CY271" s="170">
        <f t="shared" si="324"/>
        <v>0</v>
      </c>
      <c r="CZ271" s="168">
        <f t="shared" si="325"/>
        <v>0</v>
      </c>
      <c r="DA271" s="172">
        <f t="shared" si="327"/>
        <v>0</v>
      </c>
      <c r="DB271" s="173">
        <f t="shared" si="328"/>
        <v>0</v>
      </c>
      <c r="DC271" s="172">
        <f t="shared" si="377"/>
        <v>0</v>
      </c>
      <c r="DD271" s="172">
        <f t="shared" si="377"/>
        <v>0</v>
      </c>
      <c r="DE271" s="172">
        <f t="shared" si="377"/>
        <v>0</v>
      </c>
      <c r="DF271" s="172">
        <f>IF(DA271-(DE270+CZ271)&lt;0,0,DA271-(DE270+CZ271))</f>
        <v>0</v>
      </c>
      <c r="DG271" s="136"/>
      <c r="DH271" s="136"/>
      <c r="DI271" s="3"/>
      <c r="DJ271" s="8"/>
      <c r="DK271" s="8"/>
      <c r="DL271" s="8"/>
      <c r="DM271" s="8"/>
      <c r="DN271" s="8"/>
      <c r="DO271" s="8"/>
      <c r="DP271" s="8"/>
      <c r="DQ271" s="3"/>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row>
    <row r="272" spans="1:155" s="566" customFormat="1" ht="15" customHeight="1">
      <c r="A272" s="422"/>
      <c r="B272" s="27"/>
      <c r="C272" s="27"/>
      <c r="D272" s="435"/>
      <c r="E272" s="27"/>
      <c r="F272" s="27"/>
      <c r="G272" s="27"/>
      <c r="H272" s="27"/>
      <c r="I272" s="27"/>
      <c r="J272" s="27"/>
      <c r="K272" s="307"/>
      <c r="L272" s="307"/>
      <c r="M272" s="307"/>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293"/>
      <c r="AW272" s="14"/>
      <c r="AX272" s="14"/>
      <c r="AY272" s="14"/>
      <c r="AZ272" s="14"/>
      <c r="BA272" s="14"/>
      <c r="BB272" s="14"/>
      <c r="BC272" s="14"/>
      <c r="BD272" s="70"/>
      <c r="BE272" s="165" t="s">
        <v>19</v>
      </c>
      <c r="BF272" s="23">
        <v>22</v>
      </c>
      <c r="BG272" s="23">
        <v>10</v>
      </c>
      <c r="BH272" s="23">
        <v>5</v>
      </c>
      <c r="BI272" s="90" t="b">
        <f t="shared" si="326"/>
        <v>1</v>
      </c>
      <c r="BJ272" s="46" t="b">
        <f t="shared" si="378"/>
        <v>0</v>
      </c>
      <c r="BK272" s="166">
        <f t="shared" si="379"/>
        <v>0</v>
      </c>
      <c r="BL272" s="175">
        <f>IF(SUM(BL$263:BL271,BK272)&gt;$BR$4,0,BK272)</f>
        <v>0</v>
      </c>
      <c r="BM272" s="23">
        <f t="shared" si="311"/>
        <v>0</v>
      </c>
      <c r="BN272" s="90">
        <f t="shared" si="312"/>
        <v>0</v>
      </c>
      <c r="BO272" s="24">
        <f t="shared" si="332"/>
        <v>0</v>
      </c>
      <c r="BP272" s="349">
        <f t="shared" si="380"/>
        <v>0</v>
      </c>
      <c r="BQ272" s="171">
        <f t="shared" si="381"/>
        <v>0</v>
      </c>
      <c r="BR272" s="170">
        <f t="shared" si="313"/>
        <v>0</v>
      </c>
      <c r="BS272" s="168">
        <f t="shared" si="382"/>
        <v>0</v>
      </c>
      <c r="BT272" s="171">
        <f t="shared" si="383"/>
        <v>0</v>
      </c>
      <c r="BU272" s="170">
        <f t="shared" si="314"/>
        <v>0</v>
      </c>
      <c r="BV272" s="168">
        <f t="shared" si="384"/>
        <v>0</v>
      </c>
      <c r="BW272" s="171">
        <f t="shared" si="385"/>
        <v>0</v>
      </c>
      <c r="BX272" s="170">
        <f t="shared" si="315"/>
        <v>0</v>
      </c>
      <c r="BY272" s="168">
        <f t="shared" si="386"/>
        <v>0</v>
      </c>
      <c r="BZ272" s="171">
        <f t="shared" si="387"/>
        <v>0</v>
      </c>
      <c r="CA272" s="170">
        <f t="shared" si="316"/>
        <v>0</v>
      </c>
      <c r="CB272" s="90">
        <f t="shared" si="388"/>
        <v>0</v>
      </c>
      <c r="CC272" s="171">
        <f t="shared" si="389"/>
        <v>0</v>
      </c>
      <c r="CD272" s="170">
        <f t="shared" si="317"/>
        <v>0</v>
      </c>
      <c r="CE272" s="90">
        <f t="shared" si="390"/>
        <v>0</v>
      </c>
      <c r="CF272" s="171">
        <f t="shared" si="391"/>
        <v>0</v>
      </c>
      <c r="CG272" s="170">
        <f t="shared" si="318"/>
        <v>0</v>
      </c>
      <c r="CH272" s="90">
        <f t="shared" si="392"/>
        <v>0</v>
      </c>
      <c r="CI272" s="171">
        <f t="shared" si="393"/>
        <v>0</v>
      </c>
      <c r="CJ272" s="170">
        <f t="shared" si="319"/>
        <v>0</v>
      </c>
      <c r="CK272" s="90">
        <f t="shared" si="394"/>
        <v>0</v>
      </c>
      <c r="CL272" s="171">
        <f t="shared" si="395"/>
        <v>0</v>
      </c>
      <c r="CM272" s="170">
        <f t="shared" si="320"/>
        <v>0</v>
      </c>
      <c r="CN272" s="90">
        <f t="shared" si="396"/>
        <v>0</v>
      </c>
      <c r="CO272" s="171">
        <f t="shared" si="397"/>
        <v>0</v>
      </c>
      <c r="CP272" s="170">
        <f t="shared" si="321"/>
        <v>0</v>
      </c>
      <c r="CQ272" s="90">
        <f t="shared" si="398"/>
        <v>0</v>
      </c>
      <c r="CR272" s="171">
        <f t="shared" si="399"/>
        <v>0</v>
      </c>
      <c r="CS272" s="170">
        <f t="shared" si="322"/>
        <v>0</v>
      </c>
      <c r="CT272" s="90">
        <f t="shared" si="400"/>
        <v>0</v>
      </c>
      <c r="CU272" s="171">
        <f t="shared" si="401"/>
        <v>0</v>
      </c>
      <c r="CV272" s="170">
        <f t="shared" si="323"/>
        <v>0</v>
      </c>
      <c r="CW272" s="90">
        <f t="shared" si="402"/>
        <v>0</v>
      </c>
      <c r="CX272" s="171">
        <f t="shared" si="403"/>
        <v>0</v>
      </c>
      <c r="CY272" s="170">
        <f t="shared" si="324"/>
        <v>0</v>
      </c>
      <c r="CZ272" s="168">
        <f t="shared" si="325"/>
        <v>0</v>
      </c>
      <c r="DA272" s="172">
        <f t="shared" si="327"/>
        <v>0</v>
      </c>
      <c r="DB272" s="173">
        <f t="shared" si="328"/>
        <v>0</v>
      </c>
      <c r="DC272" s="172">
        <f t="shared" si="377"/>
        <v>0</v>
      </c>
      <c r="DD272" s="172">
        <f t="shared" si="377"/>
        <v>0</v>
      </c>
      <c r="DE272" s="172">
        <f t="shared" si="377"/>
        <v>0</v>
      </c>
      <c r="DF272" s="172">
        <f t="shared" si="330"/>
        <v>0</v>
      </c>
      <c r="DG272" s="136"/>
      <c r="DH272" s="136"/>
      <c r="DI272" s="3"/>
      <c r="DJ272" s="8"/>
      <c r="DK272" s="8"/>
      <c r="DL272" s="8"/>
      <c r="DM272" s="8"/>
      <c r="DN272" s="8"/>
      <c r="DO272" s="8"/>
      <c r="DP272" s="8"/>
      <c r="DQ272" s="3"/>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row>
    <row r="273" spans="1:155" s="566" customFormat="1" ht="15" customHeight="1">
      <c r="A273" s="422"/>
      <c r="B273" s="417"/>
      <c r="C273" s="27"/>
      <c r="D273" s="322" t="s">
        <v>462</v>
      </c>
      <c r="E273" s="27"/>
      <c r="F273" s="27"/>
      <c r="G273" s="27"/>
      <c r="H273" s="27"/>
      <c r="I273" s="27"/>
      <c r="J273" s="404"/>
      <c r="K273" s="307"/>
      <c r="L273" s="307"/>
      <c r="M273" s="307"/>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293"/>
      <c r="AW273" s="14"/>
      <c r="AX273" s="14"/>
      <c r="AY273" s="14"/>
      <c r="AZ273" s="14"/>
      <c r="BA273" s="14"/>
      <c r="BB273" s="14"/>
      <c r="BC273" s="14"/>
      <c r="BD273" s="70"/>
      <c r="BE273" s="165" t="s">
        <v>19</v>
      </c>
      <c r="BF273" s="23">
        <v>22</v>
      </c>
      <c r="BG273" s="23">
        <v>11</v>
      </c>
      <c r="BH273" s="23">
        <v>6</v>
      </c>
      <c r="BI273" s="90" t="b">
        <f t="shared" si="326"/>
        <v>0</v>
      </c>
      <c r="BJ273" s="46" t="b">
        <f t="shared" si="378"/>
        <v>0</v>
      </c>
      <c r="BK273" s="166">
        <f t="shared" si="379"/>
        <v>0</v>
      </c>
      <c r="BL273" s="175">
        <f>IF(SUM(BL$263:BL272,BK273)&gt;$BR$4,0,BK273)</f>
        <v>0</v>
      </c>
      <c r="BM273" s="23">
        <f t="shared" si="311"/>
        <v>0</v>
      </c>
      <c r="BN273" s="90">
        <f t="shared" si="312"/>
        <v>0</v>
      </c>
      <c r="BO273" s="24">
        <f t="shared" si="332"/>
        <v>0</v>
      </c>
      <c r="BP273" s="349">
        <f t="shared" si="380"/>
        <v>0</v>
      </c>
      <c r="BQ273" s="171">
        <f t="shared" si="381"/>
        <v>0</v>
      </c>
      <c r="BR273" s="170">
        <f t="shared" si="313"/>
        <v>0</v>
      </c>
      <c r="BS273" s="168">
        <f t="shared" si="382"/>
        <v>0</v>
      </c>
      <c r="BT273" s="171">
        <f t="shared" si="383"/>
        <v>0</v>
      </c>
      <c r="BU273" s="170">
        <f t="shared" si="314"/>
        <v>0</v>
      </c>
      <c r="BV273" s="168">
        <f t="shared" si="384"/>
        <v>0</v>
      </c>
      <c r="BW273" s="171">
        <f t="shared" si="385"/>
        <v>0</v>
      </c>
      <c r="BX273" s="170">
        <f t="shared" si="315"/>
        <v>0</v>
      </c>
      <c r="BY273" s="168">
        <f t="shared" si="386"/>
        <v>0</v>
      </c>
      <c r="BZ273" s="171">
        <f t="shared" si="387"/>
        <v>0</v>
      </c>
      <c r="CA273" s="170">
        <f t="shared" si="316"/>
        <v>0</v>
      </c>
      <c r="CB273" s="90">
        <f t="shared" si="388"/>
        <v>0</v>
      </c>
      <c r="CC273" s="171">
        <f t="shared" si="389"/>
        <v>0</v>
      </c>
      <c r="CD273" s="170">
        <f t="shared" si="317"/>
        <v>0</v>
      </c>
      <c r="CE273" s="90">
        <f t="shared" si="390"/>
        <v>0</v>
      </c>
      <c r="CF273" s="171">
        <f t="shared" si="391"/>
        <v>0</v>
      </c>
      <c r="CG273" s="170">
        <f t="shared" si="318"/>
        <v>0</v>
      </c>
      <c r="CH273" s="90">
        <f t="shared" si="392"/>
        <v>0</v>
      </c>
      <c r="CI273" s="171">
        <f t="shared" si="393"/>
        <v>0</v>
      </c>
      <c r="CJ273" s="170">
        <f t="shared" si="319"/>
        <v>0</v>
      </c>
      <c r="CK273" s="90">
        <f t="shared" si="394"/>
        <v>0</v>
      </c>
      <c r="CL273" s="171">
        <f t="shared" si="395"/>
        <v>0</v>
      </c>
      <c r="CM273" s="170">
        <f t="shared" si="320"/>
        <v>0</v>
      </c>
      <c r="CN273" s="90">
        <f t="shared" si="396"/>
        <v>0</v>
      </c>
      <c r="CO273" s="171">
        <f t="shared" si="397"/>
        <v>0</v>
      </c>
      <c r="CP273" s="170">
        <f t="shared" si="321"/>
        <v>0</v>
      </c>
      <c r="CQ273" s="90">
        <f t="shared" si="398"/>
        <v>0</v>
      </c>
      <c r="CR273" s="171">
        <f t="shared" si="399"/>
        <v>0</v>
      </c>
      <c r="CS273" s="170">
        <f t="shared" si="322"/>
        <v>0</v>
      </c>
      <c r="CT273" s="90">
        <f t="shared" si="400"/>
        <v>0</v>
      </c>
      <c r="CU273" s="171">
        <f t="shared" si="401"/>
        <v>0</v>
      </c>
      <c r="CV273" s="170">
        <f t="shared" si="323"/>
        <v>0</v>
      </c>
      <c r="CW273" s="90">
        <f t="shared" si="402"/>
        <v>0</v>
      </c>
      <c r="CX273" s="171">
        <f t="shared" si="403"/>
        <v>0</v>
      </c>
      <c r="CY273" s="170">
        <f t="shared" si="324"/>
        <v>0</v>
      </c>
      <c r="CZ273" s="168">
        <f t="shared" si="325"/>
        <v>0</v>
      </c>
      <c r="DA273" s="172">
        <f t="shared" si="327"/>
        <v>0</v>
      </c>
      <c r="DB273" s="173">
        <f t="shared" si="328"/>
        <v>0</v>
      </c>
      <c r="DC273" s="172">
        <f t="shared" si="377"/>
        <v>0</v>
      </c>
      <c r="DD273" s="172">
        <f t="shared" si="377"/>
        <v>0</v>
      </c>
      <c r="DE273" s="172">
        <f t="shared" si="377"/>
        <v>0</v>
      </c>
      <c r="DF273" s="172">
        <f>IF(DA273-(DE272+CZ273)&lt;0,0,DA273-(DE272+CZ273))</f>
        <v>0</v>
      </c>
      <c r="DG273" s="136"/>
      <c r="DH273" s="136"/>
      <c r="DI273" s="3"/>
      <c r="DJ273" s="8"/>
      <c r="DK273" s="8"/>
      <c r="DL273" s="8"/>
      <c r="DM273" s="8"/>
      <c r="DN273" s="8"/>
      <c r="DO273" s="8"/>
      <c r="DP273" s="8"/>
      <c r="DQ273" s="3"/>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row>
    <row r="274" spans="1:155" s="566" customFormat="1" ht="17.25" customHeight="1">
      <c r="A274" s="422"/>
      <c r="B274" s="436" t="s">
        <v>498</v>
      </c>
      <c r="C274" s="27"/>
      <c r="D274" s="195">
        <f>K271*N251</f>
        <v>0</v>
      </c>
      <c r="E274" s="27"/>
      <c r="F274" s="27"/>
      <c r="G274" s="27"/>
      <c r="H274" s="27"/>
      <c r="I274" s="27"/>
      <c r="J274" s="404"/>
      <c r="K274" s="307"/>
      <c r="L274" s="307"/>
      <c r="M274" s="307"/>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293"/>
      <c r="AW274" s="14"/>
      <c r="AX274" s="14"/>
      <c r="AY274" s="14"/>
      <c r="AZ274" s="14"/>
      <c r="BA274" s="14"/>
      <c r="BB274" s="14"/>
      <c r="BC274" s="14"/>
      <c r="BD274" s="70"/>
      <c r="BE274" s="165" t="s">
        <v>19</v>
      </c>
      <c r="BF274" s="23">
        <v>22</v>
      </c>
      <c r="BG274" s="23">
        <v>12</v>
      </c>
      <c r="BH274" s="23">
        <v>7</v>
      </c>
      <c r="BI274" s="90" t="b">
        <f t="shared" si="326"/>
        <v>0</v>
      </c>
      <c r="BJ274" s="46" t="b">
        <f t="shared" si="378"/>
        <v>0</v>
      </c>
      <c r="BK274" s="166">
        <f t="shared" si="379"/>
        <v>0</v>
      </c>
      <c r="BL274" s="175">
        <f>IF(SUM(BL$263:BL273,BK274)&gt;$BR$4,0,BK274)</f>
        <v>0</v>
      </c>
      <c r="BM274" s="23">
        <f t="shared" si="311"/>
        <v>0</v>
      </c>
      <c r="BN274" s="90">
        <f t="shared" si="312"/>
        <v>0</v>
      </c>
      <c r="BO274" s="24">
        <f t="shared" si="332"/>
        <v>0</v>
      </c>
      <c r="BP274" s="349">
        <f t="shared" si="380"/>
        <v>0</v>
      </c>
      <c r="BQ274" s="171">
        <f t="shared" si="381"/>
        <v>0</v>
      </c>
      <c r="BR274" s="170">
        <f t="shared" si="313"/>
        <v>0</v>
      </c>
      <c r="BS274" s="168">
        <f t="shared" si="382"/>
        <v>0</v>
      </c>
      <c r="BT274" s="171">
        <f t="shared" si="383"/>
        <v>0</v>
      </c>
      <c r="BU274" s="170">
        <f t="shared" si="314"/>
        <v>0</v>
      </c>
      <c r="BV274" s="168">
        <f t="shared" si="384"/>
        <v>0</v>
      </c>
      <c r="BW274" s="171">
        <f t="shared" si="385"/>
        <v>0</v>
      </c>
      <c r="BX274" s="170">
        <f t="shared" si="315"/>
        <v>0</v>
      </c>
      <c r="BY274" s="168">
        <f t="shared" si="386"/>
        <v>0</v>
      </c>
      <c r="BZ274" s="171">
        <f t="shared" si="387"/>
        <v>0</v>
      </c>
      <c r="CA274" s="170">
        <f t="shared" si="316"/>
        <v>0</v>
      </c>
      <c r="CB274" s="90">
        <f t="shared" si="388"/>
        <v>0</v>
      </c>
      <c r="CC274" s="171">
        <f t="shared" si="389"/>
        <v>0</v>
      </c>
      <c r="CD274" s="170">
        <f t="shared" si="317"/>
        <v>0</v>
      </c>
      <c r="CE274" s="90">
        <f t="shared" si="390"/>
        <v>0</v>
      </c>
      <c r="CF274" s="171">
        <f t="shared" si="391"/>
        <v>0</v>
      </c>
      <c r="CG274" s="170">
        <f t="shared" si="318"/>
        <v>0</v>
      </c>
      <c r="CH274" s="90">
        <f t="shared" si="392"/>
        <v>0</v>
      </c>
      <c r="CI274" s="171">
        <f t="shared" si="393"/>
        <v>0</v>
      </c>
      <c r="CJ274" s="170">
        <f t="shared" si="319"/>
        <v>0</v>
      </c>
      <c r="CK274" s="90">
        <f t="shared" si="394"/>
        <v>0</v>
      </c>
      <c r="CL274" s="171">
        <f t="shared" si="395"/>
        <v>0</v>
      </c>
      <c r="CM274" s="170">
        <f t="shared" si="320"/>
        <v>0</v>
      </c>
      <c r="CN274" s="90">
        <f t="shared" si="396"/>
        <v>0</v>
      </c>
      <c r="CO274" s="171">
        <f t="shared" si="397"/>
        <v>0</v>
      </c>
      <c r="CP274" s="170">
        <f t="shared" si="321"/>
        <v>0</v>
      </c>
      <c r="CQ274" s="90">
        <f t="shared" si="398"/>
        <v>0</v>
      </c>
      <c r="CR274" s="171">
        <f t="shared" si="399"/>
        <v>0</v>
      </c>
      <c r="CS274" s="170">
        <f t="shared" si="322"/>
        <v>0</v>
      </c>
      <c r="CT274" s="90">
        <f t="shared" si="400"/>
        <v>0</v>
      </c>
      <c r="CU274" s="171">
        <f t="shared" si="401"/>
        <v>0</v>
      </c>
      <c r="CV274" s="170">
        <f t="shared" si="323"/>
        <v>0</v>
      </c>
      <c r="CW274" s="90">
        <f t="shared" si="402"/>
        <v>0</v>
      </c>
      <c r="CX274" s="171">
        <f t="shared" si="403"/>
        <v>0</v>
      </c>
      <c r="CY274" s="170">
        <f t="shared" si="324"/>
        <v>0</v>
      </c>
      <c r="CZ274" s="168">
        <f t="shared" si="325"/>
        <v>0</v>
      </c>
      <c r="DA274" s="172">
        <f t="shared" si="327"/>
        <v>0</v>
      </c>
      <c r="DB274" s="173">
        <f t="shared" si="328"/>
        <v>0</v>
      </c>
      <c r="DC274" s="172">
        <f t="shared" si="377"/>
        <v>0</v>
      </c>
      <c r="DD274" s="172">
        <f t="shared" si="377"/>
        <v>0</v>
      </c>
      <c r="DE274" s="172">
        <f t="shared" si="377"/>
        <v>0</v>
      </c>
      <c r="DF274" s="172">
        <f t="shared" si="330"/>
        <v>0</v>
      </c>
      <c r="DG274" s="136"/>
      <c r="DH274" s="136"/>
      <c r="DI274" s="3"/>
      <c r="DJ274" s="8"/>
      <c r="DK274" s="8"/>
      <c r="DL274" s="8"/>
      <c r="DM274" s="8"/>
      <c r="DN274" s="8"/>
      <c r="DO274" s="8"/>
      <c r="DP274" s="8"/>
      <c r="DQ274" s="3"/>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row>
    <row r="275" spans="1:155" s="566" customFormat="1" ht="15" customHeight="1">
      <c r="A275" s="422"/>
      <c r="B275" s="437"/>
      <c r="C275" s="27"/>
      <c r="D275" s="273">
        <f>D274</f>
        <v>0</v>
      </c>
      <c r="E275" s="27"/>
      <c r="F275" s="27"/>
      <c r="G275" s="27"/>
      <c r="H275" s="27"/>
      <c r="I275" s="27"/>
      <c r="J275" s="404"/>
      <c r="K275" s="307"/>
      <c r="L275" s="307"/>
      <c r="M275" s="307"/>
      <c r="N275" s="222" t="str">
        <f>B277</f>
        <v>Building Specific Major Water Uses - Large Kitchen Water Demand</v>
      </c>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70"/>
      <c r="BE275" s="165" t="s">
        <v>19</v>
      </c>
      <c r="BF275" s="23">
        <v>22</v>
      </c>
      <c r="BG275" s="23">
        <v>13</v>
      </c>
      <c r="BH275" s="23">
        <v>1</v>
      </c>
      <c r="BI275" s="90" t="b">
        <f t="shared" si="326"/>
        <v>1</v>
      </c>
      <c r="BJ275" s="46" t="b">
        <f t="shared" si="378"/>
        <v>0</v>
      </c>
      <c r="BK275" s="166">
        <f t="shared" si="379"/>
        <v>0</v>
      </c>
      <c r="BL275" s="175">
        <f>IF(SUM(BL$263:BL274,BK275)&gt;$BR$4,0,BK275)</f>
        <v>0</v>
      </c>
      <c r="BM275" s="23">
        <f t="shared" si="311"/>
        <v>0</v>
      </c>
      <c r="BN275" s="90">
        <f t="shared" si="312"/>
        <v>0</v>
      </c>
      <c r="BO275" s="24">
        <f t="shared" si="332"/>
        <v>0</v>
      </c>
      <c r="BP275" s="349">
        <f t="shared" si="380"/>
        <v>0</v>
      </c>
      <c r="BQ275" s="171">
        <f t="shared" si="381"/>
        <v>0</v>
      </c>
      <c r="BR275" s="170">
        <f t="shared" si="313"/>
        <v>0</v>
      </c>
      <c r="BS275" s="168">
        <f t="shared" si="382"/>
        <v>0</v>
      </c>
      <c r="BT275" s="171">
        <f t="shared" si="383"/>
        <v>0</v>
      </c>
      <c r="BU275" s="170">
        <f t="shared" si="314"/>
        <v>0</v>
      </c>
      <c r="BV275" s="168">
        <f t="shared" si="384"/>
        <v>0</v>
      </c>
      <c r="BW275" s="171">
        <f t="shared" si="385"/>
        <v>0</v>
      </c>
      <c r="BX275" s="170">
        <f t="shared" si="315"/>
        <v>0</v>
      </c>
      <c r="BY275" s="168">
        <f t="shared" si="386"/>
        <v>0</v>
      </c>
      <c r="BZ275" s="171">
        <f t="shared" si="387"/>
        <v>0</v>
      </c>
      <c r="CA275" s="170">
        <f t="shared" si="316"/>
        <v>0</v>
      </c>
      <c r="CB275" s="90">
        <f t="shared" si="388"/>
        <v>0</v>
      </c>
      <c r="CC275" s="171">
        <f t="shared" si="389"/>
        <v>0</v>
      </c>
      <c r="CD275" s="170">
        <f t="shared" si="317"/>
        <v>0</v>
      </c>
      <c r="CE275" s="90">
        <f t="shared" si="390"/>
        <v>0</v>
      </c>
      <c r="CF275" s="171">
        <f t="shared" si="391"/>
        <v>0</v>
      </c>
      <c r="CG275" s="170">
        <f t="shared" si="318"/>
        <v>0</v>
      </c>
      <c r="CH275" s="90">
        <f t="shared" si="392"/>
        <v>0</v>
      </c>
      <c r="CI275" s="171">
        <f t="shared" si="393"/>
        <v>0</v>
      </c>
      <c r="CJ275" s="170">
        <f t="shared" si="319"/>
        <v>0</v>
      </c>
      <c r="CK275" s="90">
        <f t="shared" si="394"/>
        <v>0</v>
      </c>
      <c r="CL275" s="171">
        <f t="shared" si="395"/>
        <v>0</v>
      </c>
      <c r="CM275" s="170">
        <f t="shared" si="320"/>
        <v>0</v>
      </c>
      <c r="CN275" s="90">
        <f t="shared" si="396"/>
        <v>0</v>
      </c>
      <c r="CO275" s="171">
        <f t="shared" si="397"/>
        <v>0</v>
      </c>
      <c r="CP275" s="170">
        <f t="shared" si="321"/>
        <v>0</v>
      </c>
      <c r="CQ275" s="90">
        <f t="shared" si="398"/>
        <v>0</v>
      </c>
      <c r="CR275" s="171">
        <f t="shared" si="399"/>
        <v>0</v>
      </c>
      <c r="CS275" s="170">
        <f t="shared" si="322"/>
        <v>0</v>
      </c>
      <c r="CT275" s="90">
        <f t="shared" si="400"/>
        <v>0</v>
      </c>
      <c r="CU275" s="171">
        <f t="shared" si="401"/>
        <v>0</v>
      </c>
      <c r="CV275" s="170">
        <f t="shared" si="323"/>
        <v>0</v>
      </c>
      <c r="CW275" s="90">
        <f t="shared" si="402"/>
        <v>0</v>
      </c>
      <c r="CX275" s="171">
        <f t="shared" si="403"/>
        <v>0</v>
      </c>
      <c r="CY275" s="170">
        <f t="shared" si="324"/>
        <v>0</v>
      </c>
      <c r="CZ275" s="168">
        <f t="shared" si="325"/>
        <v>0</v>
      </c>
      <c r="DA275" s="172">
        <f t="shared" si="327"/>
        <v>0</v>
      </c>
      <c r="DB275" s="173">
        <f t="shared" si="328"/>
        <v>0</v>
      </c>
      <c r="DC275" s="172">
        <f t="shared" si="377"/>
        <v>0</v>
      </c>
      <c r="DD275" s="172">
        <f t="shared" si="377"/>
        <v>0</v>
      </c>
      <c r="DE275" s="172">
        <f t="shared" si="377"/>
        <v>0</v>
      </c>
      <c r="DF275" s="172">
        <f t="shared" si="330"/>
        <v>0</v>
      </c>
      <c r="DG275" s="136"/>
      <c r="DH275" s="136"/>
      <c r="DI275" s="3"/>
      <c r="DJ275" s="8"/>
      <c r="DK275" s="8"/>
      <c r="DL275" s="8"/>
      <c r="DM275" s="8"/>
      <c r="DN275" s="8"/>
      <c r="DO275" s="8"/>
      <c r="DP275" s="8"/>
      <c r="DQ275" s="3"/>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row>
    <row r="276" spans="1:155" s="566" customFormat="1" ht="15" customHeight="1">
      <c r="A276" s="422"/>
      <c r="B276" s="27"/>
      <c r="C276" s="27"/>
      <c r="D276" s="27"/>
      <c r="E276" s="27"/>
      <c r="F276" s="27"/>
      <c r="G276" s="27"/>
      <c r="H276" s="27"/>
      <c r="I276" s="27"/>
      <c r="J276" s="404"/>
      <c r="K276" s="307"/>
      <c r="L276" s="307"/>
      <c r="M276" s="307"/>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293"/>
      <c r="AW276" s="14"/>
      <c r="AX276" s="14"/>
      <c r="AY276" s="14"/>
      <c r="AZ276" s="14"/>
      <c r="BA276" s="14"/>
      <c r="BB276" s="14"/>
      <c r="BC276" s="14"/>
      <c r="BD276" s="70"/>
      <c r="BE276" s="165" t="s">
        <v>19</v>
      </c>
      <c r="BF276" s="23">
        <v>22</v>
      </c>
      <c r="BG276" s="23">
        <v>14</v>
      </c>
      <c r="BH276" s="23">
        <v>2</v>
      </c>
      <c r="BI276" s="90" t="b">
        <f t="shared" si="326"/>
        <v>1</v>
      </c>
      <c r="BJ276" s="46" t="b">
        <f t="shared" si="378"/>
        <v>0</v>
      </c>
      <c r="BK276" s="166">
        <f t="shared" si="379"/>
        <v>0</v>
      </c>
      <c r="BL276" s="175">
        <f>IF(SUM(BL$263:BL275,BK276)&gt;$BR$4,0,BK276)</f>
        <v>0</v>
      </c>
      <c r="BM276" s="23">
        <f t="shared" ref="BM276:BM339" si="404">BL276*$BJ$13</f>
        <v>0</v>
      </c>
      <c r="BN276" s="90">
        <f t="shared" ref="BN276:BN339" si="405">$BJ$14*(BL276&gt;0)</f>
        <v>0</v>
      </c>
      <c r="BO276" s="24">
        <f t="shared" si="332"/>
        <v>0</v>
      </c>
      <c r="BP276" s="349">
        <f t="shared" si="380"/>
        <v>0</v>
      </c>
      <c r="BQ276" s="171">
        <f t="shared" si="381"/>
        <v>0</v>
      </c>
      <c r="BR276" s="170">
        <f t="shared" ref="BR276:BR339" si="406">IF(BP276-(BQ276*$BR$17)&gt;0,BP276-(BQ276*$BR$17),0)</f>
        <v>0</v>
      </c>
      <c r="BS276" s="168">
        <f t="shared" si="382"/>
        <v>0</v>
      </c>
      <c r="BT276" s="171">
        <f t="shared" si="383"/>
        <v>0</v>
      </c>
      <c r="BU276" s="170">
        <f t="shared" ref="BU276:BU339" si="407">IF(BS276-(BT276*BU$17)&gt;0,BS276-(BT276*BU$17),0)</f>
        <v>0</v>
      </c>
      <c r="BV276" s="168">
        <f t="shared" si="384"/>
        <v>0</v>
      </c>
      <c r="BW276" s="171">
        <f t="shared" si="385"/>
        <v>0</v>
      </c>
      <c r="BX276" s="170">
        <f t="shared" ref="BX276:BX339" si="408">IF(BV276-(BW276*BX$17)&gt;0,BV276-(BW276*BX$17),0)</f>
        <v>0</v>
      </c>
      <c r="BY276" s="168">
        <f t="shared" si="386"/>
        <v>0</v>
      </c>
      <c r="BZ276" s="171">
        <f t="shared" si="387"/>
        <v>0</v>
      </c>
      <c r="CA276" s="170">
        <f t="shared" ref="CA276:CA339" si="409">IF(BY276-(BZ276*CA$17)&gt;0,BY276-(BZ276*CA$17),0)</f>
        <v>0</v>
      </c>
      <c r="CB276" s="90">
        <f t="shared" si="388"/>
        <v>0</v>
      </c>
      <c r="CC276" s="171">
        <f t="shared" si="389"/>
        <v>0</v>
      </c>
      <c r="CD276" s="170">
        <f t="shared" ref="CD276:CD339" si="410">IF(CB276-(CC276*CD$17)&gt;0,CB276-(CC276*CD$17),0)</f>
        <v>0</v>
      </c>
      <c r="CE276" s="90">
        <f t="shared" si="390"/>
        <v>0</v>
      </c>
      <c r="CF276" s="171">
        <f t="shared" si="391"/>
        <v>0</v>
      </c>
      <c r="CG276" s="170">
        <f t="shared" ref="CG276:CG339" si="411">IF(CE276-(CF276*CG$17)&gt;0,CE276-(CF276*CG$17),0)</f>
        <v>0</v>
      </c>
      <c r="CH276" s="90">
        <f t="shared" si="392"/>
        <v>0</v>
      </c>
      <c r="CI276" s="171">
        <f t="shared" si="393"/>
        <v>0</v>
      </c>
      <c r="CJ276" s="170">
        <f t="shared" ref="CJ276:CJ339" si="412">IF(CH276-(CI276*CJ$17)&gt;0,CH276-(CI276*CJ$17),0)</f>
        <v>0</v>
      </c>
      <c r="CK276" s="90">
        <f t="shared" si="394"/>
        <v>0</v>
      </c>
      <c r="CL276" s="171">
        <f t="shared" si="395"/>
        <v>0</v>
      </c>
      <c r="CM276" s="170">
        <f t="shared" ref="CM276:CM339" si="413">IF(CK276-(CL276*CM$17)&gt;0,CK276-(CL276*CM$17),0)</f>
        <v>0</v>
      </c>
      <c r="CN276" s="90">
        <f t="shared" si="396"/>
        <v>0</v>
      </c>
      <c r="CO276" s="171">
        <f t="shared" si="397"/>
        <v>0</v>
      </c>
      <c r="CP276" s="170">
        <f t="shared" ref="CP276:CP339" si="414">IF(CN276-(CO276*CP$17)&gt;0,CN276-(CO276*CP$17),0)</f>
        <v>0</v>
      </c>
      <c r="CQ276" s="90">
        <f t="shared" si="398"/>
        <v>0</v>
      </c>
      <c r="CR276" s="171">
        <f t="shared" si="399"/>
        <v>0</v>
      </c>
      <c r="CS276" s="170">
        <f t="shared" ref="CS276:CS339" si="415">IF(CQ276-(CR276*CS$17)&gt;0,CQ276-(CR276*CS$17),0)</f>
        <v>0</v>
      </c>
      <c r="CT276" s="90">
        <f t="shared" si="400"/>
        <v>0</v>
      </c>
      <c r="CU276" s="171">
        <f t="shared" si="401"/>
        <v>0</v>
      </c>
      <c r="CV276" s="170">
        <f t="shared" ref="CV276:CV339" si="416">IF(CT276-(CU276*CV$17)&gt;0,CT276-(CU276*CV$17),0)</f>
        <v>0</v>
      </c>
      <c r="CW276" s="90">
        <f t="shared" si="402"/>
        <v>0</v>
      </c>
      <c r="CX276" s="171">
        <f t="shared" si="403"/>
        <v>0</v>
      </c>
      <c r="CY276" s="170">
        <f t="shared" ref="CY276:CY339" si="417">IF(CW276-(CX276*CY$17)&gt;0,CW276-(CX276*CY$17),0)</f>
        <v>0</v>
      </c>
      <c r="CZ276" s="168">
        <f t="shared" ref="CZ276:CZ339" si="418">BO276</f>
        <v>0</v>
      </c>
      <c r="DA276" s="172">
        <f t="shared" si="327"/>
        <v>0</v>
      </c>
      <c r="DB276" s="173">
        <f t="shared" si="328"/>
        <v>0</v>
      </c>
      <c r="DC276" s="172">
        <f t="shared" si="377"/>
        <v>0</v>
      </c>
      <c r="DD276" s="172">
        <f t="shared" si="377"/>
        <v>0</v>
      </c>
      <c r="DE276" s="172">
        <f t="shared" si="377"/>
        <v>0</v>
      </c>
      <c r="DF276" s="172">
        <f t="shared" si="330"/>
        <v>0</v>
      </c>
      <c r="DG276" s="136"/>
      <c r="DH276" s="136"/>
      <c r="DI276" s="3"/>
      <c r="DJ276" s="8"/>
      <c r="DK276" s="8"/>
      <c r="DL276" s="8"/>
      <c r="DM276" s="8"/>
      <c r="DN276" s="8"/>
      <c r="DO276" s="8"/>
      <c r="DP276" s="8"/>
      <c r="DQ276" s="3"/>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row>
    <row r="277" spans="1:155" s="566" customFormat="1" ht="15" customHeight="1">
      <c r="A277" s="422"/>
      <c r="B277" s="217" t="s">
        <v>499</v>
      </c>
      <c r="C277" s="218"/>
      <c r="D277" s="218"/>
      <c r="E277" s="218"/>
      <c r="F277" s="218"/>
      <c r="G277" s="218"/>
      <c r="H277" s="218"/>
      <c r="I277" s="218"/>
      <c r="J277" s="218"/>
      <c r="K277" s="218"/>
      <c r="L277" s="218"/>
      <c r="M277" s="218"/>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293"/>
      <c r="AW277" s="14"/>
      <c r="AX277" s="14"/>
      <c r="AY277" s="14"/>
      <c r="AZ277" s="14"/>
      <c r="BA277" s="14"/>
      <c r="BB277" s="14"/>
      <c r="BC277" s="14"/>
      <c r="BD277" s="70"/>
      <c r="BE277" s="165" t="s">
        <v>19</v>
      </c>
      <c r="BF277" s="23">
        <v>22</v>
      </c>
      <c r="BG277" s="23">
        <v>15</v>
      </c>
      <c r="BH277" s="23">
        <v>3</v>
      </c>
      <c r="BI277" s="90" t="b">
        <f t="shared" ref="BI277:BI340" si="419">BH277&lt;=5</f>
        <v>1</v>
      </c>
      <c r="BJ277" s="46" t="b">
        <f t="shared" si="378"/>
        <v>0</v>
      </c>
      <c r="BK277" s="166">
        <f t="shared" si="379"/>
        <v>0</v>
      </c>
      <c r="BL277" s="175">
        <f>IF(SUM(BL$263:BL276,BK277)&gt;$BR$4,0,BK277)</f>
        <v>0</v>
      </c>
      <c r="BM277" s="23">
        <f t="shared" si="404"/>
        <v>0</v>
      </c>
      <c r="BN277" s="90">
        <f t="shared" si="405"/>
        <v>0</v>
      </c>
      <c r="BO277" s="24">
        <f t="shared" si="332"/>
        <v>0</v>
      </c>
      <c r="BP277" s="349">
        <f t="shared" si="380"/>
        <v>0</v>
      </c>
      <c r="BQ277" s="171">
        <f t="shared" si="381"/>
        <v>0</v>
      </c>
      <c r="BR277" s="170">
        <f t="shared" si="406"/>
        <v>0</v>
      </c>
      <c r="BS277" s="168">
        <f t="shared" si="382"/>
        <v>0</v>
      </c>
      <c r="BT277" s="171">
        <f t="shared" si="383"/>
        <v>0</v>
      </c>
      <c r="BU277" s="170">
        <f t="shared" si="407"/>
        <v>0</v>
      </c>
      <c r="BV277" s="168">
        <f t="shared" si="384"/>
        <v>0</v>
      </c>
      <c r="BW277" s="171">
        <f t="shared" si="385"/>
        <v>0</v>
      </c>
      <c r="BX277" s="170">
        <f t="shared" si="408"/>
        <v>0</v>
      </c>
      <c r="BY277" s="168">
        <f t="shared" si="386"/>
        <v>0</v>
      </c>
      <c r="BZ277" s="171">
        <f t="shared" si="387"/>
        <v>0</v>
      </c>
      <c r="CA277" s="170">
        <f t="shared" si="409"/>
        <v>0</v>
      </c>
      <c r="CB277" s="90">
        <f t="shared" si="388"/>
        <v>0</v>
      </c>
      <c r="CC277" s="171">
        <f t="shared" si="389"/>
        <v>0</v>
      </c>
      <c r="CD277" s="170">
        <f t="shared" si="410"/>
        <v>0</v>
      </c>
      <c r="CE277" s="90">
        <f t="shared" si="390"/>
        <v>0</v>
      </c>
      <c r="CF277" s="171">
        <f t="shared" si="391"/>
        <v>0</v>
      </c>
      <c r="CG277" s="170">
        <f t="shared" si="411"/>
        <v>0</v>
      </c>
      <c r="CH277" s="90">
        <f t="shared" si="392"/>
        <v>0</v>
      </c>
      <c r="CI277" s="171">
        <f t="shared" si="393"/>
        <v>0</v>
      </c>
      <c r="CJ277" s="170">
        <f t="shared" si="412"/>
        <v>0</v>
      </c>
      <c r="CK277" s="90">
        <f t="shared" si="394"/>
        <v>0</v>
      </c>
      <c r="CL277" s="171">
        <f t="shared" si="395"/>
        <v>0</v>
      </c>
      <c r="CM277" s="170">
        <f t="shared" si="413"/>
        <v>0</v>
      </c>
      <c r="CN277" s="90">
        <f t="shared" si="396"/>
        <v>0</v>
      </c>
      <c r="CO277" s="171">
        <f t="shared" si="397"/>
        <v>0</v>
      </c>
      <c r="CP277" s="170">
        <f t="shared" si="414"/>
        <v>0</v>
      </c>
      <c r="CQ277" s="90">
        <f t="shared" si="398"/>
        <v>0</v>
      </c>
      <c r="CR277" s="171">
        <f t="shared" si="399"/>
        <v>0</v>
      </c>
      <c r="CS277" s="170">
        <f t="shared" si="415"/>
        <v>0</v>
      </c>
      <c r="CT277" s="90">
        <f t="shared" si="400"/>
        <v>0</v>
      </c>
      <c r="CU277" s="171">
        <f t="shared" si="401"/>
        <v>0</v>
      </c>
      <c r="CV277" s="170">
        <f t="shared" si="416"/>
        <v>0</v>
      </c>
      <c r="CW277" s="90">
        <f t="shared" si="402"/>
        <v>0</v>
      </c>
      <c r="CX277" s="171">
        <f t="shared" si="403"/>
        <v>0</v>
      </c>
      <c r="CY277" s="170">
        <f t="shared" si="417"/>
        <v>0</v>
      </c>
      <c r="CZ277" s="168">
        <f t="shared" si="418"/>
        <v>0</v>
      </c>
      <c r="DA277" s="172">
        <f t="shared" ref="DA277:DA340" si="420">BR277+BU277+BX277+CA277+CD277+CG277+CJ277+CM277+CP277+CS277+CV277+CY277</f>
        <v>0</v>
      </c>
      <c r="DB277" s="173">
        <f t="shared" ref="DB277:DB340" si="421">CZ277-DA277</f>
        <v>0</v>
      </c>
      <c r="DC277" s="172">
        <f t="shared" ref="DC277:DE292" si="422">IF(DC276+$DB277&lt;0,0,IF(DC276+$DB277&gt;$F$405,$F$405,DC276+$DB277))</f>
        <v>0</v>
      </c>
      <c r="DD277" s="172">
        <f t="shared" si="422"/>
        <v>0</v>
      </c>
      <c r="DE277" s="172">
        <f t="shared" si="422"/>
        <v>0</v>
      </c>
      <c r="DF277" s="172">
        <f t="shared" si="330"/>
        <v>0</v>
      </c>
      <c r="DG277" s="136"/>
      <c r="DH277" s="136"/>
      <c r="DI277" s="3"/>
      <c r="DJ277" s="8"/>
      <c r="DK277" s="8"/>
      <c r="DL277" s="8"/>
      <c r="DM277" s="8"/>
      <c r="DN277" s="8"/>
      <c r="DO277" s="8"/>
      <c r="DP277" s="8"/>
      <c r="DQ277" s="3"/>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row>
    <row r="278" spans="1:155" s="566" customFormat="1" ht="15" customHeight="1">
      <c r="A278" s="422"/>
      <c r="B278" s="277" t="s">
        <v>500</v>
      </c>
      <c r="C278" s="27"/>
      <c r="D278" s="27"/>
      <c r="E278" s="27"/>
      <c r="F278" s="27"/>
      <c r="G278" s="27"/>
      <c r="H278" s="27"/>
      <c r="I278" s="27"/>
      <c r="J278" s="404"/>
      <c r="K278" s="307"/>
      <c r="L278" s="307"/>
      <c r="M278" s="307"/>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293"/>
      <c r="AW278" s="14"/>
      <c r="AX278" s="14"/>
      <c r="AY278" s="14"/>
      <c r="AZ278" s="14"/>
      <c r="BA278" s="14"/>
      <c r="BB278" s="14"/>
      <c r="BC278" s="14"/>
      <c r="BD278" s="70"/>
      <c r="BE278" s="165" t="s">
        <v>19</v>
      </c>
      <c r="BF278" s="23">
        <v>22</v>
      </c>
      <c r="BG278" s="23">
        <v>16</v>
      </c>
      <c r="BH278" s="23">
        <v>4</v>
      </c>
      <c r="BI278" s="90" t="b">
        <f t="shared" si="419"/>
        <v>1</v>
      </c>
      <c r="BJ278" s="46" t="b">
        <f t="shared" si="378"/>
        <v>1</v>
      </c>
      <c r="BK278" s="166">
        <f t="shared" si="379"/>
        <v>6.75</v>
      </c>
      <c r="BL278" s="175">
        <f>IF(SUM(BL$263:BL277,BK278)&gt;$BR$4,0,BK278)</f>
        <v>6.75</v>
      </c>
      <c r="BM278" s="23">
        <f t="shared" si="404"/>
        <v>0</v>
      </c>
      <c r="BN278" s="90">
        <f t="shared" si="405"/>
        <v>0</v>
      </c>
      <c r="BO278" s="24">
        <f t="shared" si="332"/>
        <v>0</v>
      </c>
      <c r="BP278" s="349">
        <f t="shared" si="380"/>
        <v>0</v>
      </c>
      <c r="BQ278" s="171">
        <f t="shared" si="381"/>
        <v>0</v>
      </c>
      <c r="BR278" s="170">
        <f t="shared" si="406"/>
        <v>0</v>
      </c>
      <c r="BS278" s="168">
        <f t="shared" si="382"/>
        <v>0</v>
      </c>
      <c r="BT278" s="171">
        <f t="shared" si="383"/>
        <v>0</v>
      </c>
      <c r="BU278" s="170">
        <f t="shared" si="407"/>
        <v>0</v>
      </c>
      <c r="BV278" s="168">
        <f t="shared" si="384"/>
        <v>0</v>
      </c>
      <c r="BW278" s="171">
        <f t="shared" si="385"/>
        <v>0</v>
      </c>
      <c r="BX278" s="170">
        <f t="shared" si="408"/>
        <v>0</v>
      </c>
      <c r="BY278" s="168">
        <f t="shared" si="386"/>
        <v>0</v>
      </c>
      <c r="BZ278" s="171">
        <f t="shared" si="387"/>
        <v>0</v>
      </c>
      <c r="CA278" s="170">
        <f t="shared" si="409"/>
        <v>0</v>
      </c>
      <c r="CB278" s="90">
        <f t="shared" si="388"/>
        <v>0</v>
      </c>
      <c r="CC278" s="171">
        <f t="shared" si="389"/>
        <v>0</v>
      </c>
      <c r="CD278" s="170">
        <f t="shared" si="410"/>
        <v>0</v>
      </c>
      <c r="CE278" s="90">
        <f t="shared" si="390"/>
        <v>0</v>
      </c>
      <c r="CF278" s="171">
        <f t="shared" si="391"/>
        <v>0</v>
      </c>
      <c r="CG278" s="170">
        <f t="shared" si="411"/>
        <v>0</v>
      </c>
      <c r="CH278" s="90">
        <f t="shared" si="392"/>
        <v>0</v>
      </c>
      <c r="CI278" s="171">
        <f t="shared" si="393"/>
        <v>0</v>
      </c>
      <c r="CJ278" s="170">
        <f t="shared" si="412"/>
        <v>0</v>
      </c>
      <c r="CK278" s="90">
        <f t="shared" si="394"/>
        <v>0</v>
      </c>
      <c r="CL278" s="171">
        <f t="shared" si="395"/>
        <v>0</v>
      </c>
      <c r="CM278" s="170">
        <f t="shared" si="413"/>
        <v>0</v>
      </c>
      <c r="CN278" s="90">
        <f t="shared" si="396"/>
        <v>0</v>
      </c>
      <c r="CO278" s="171">
        <f t="shared" si="397"/>
        <v>0</v>
      </c>
      <c r="CP278" s="170">
        <f t="shared" si="414"/>
        <v>0</v>
      </c>
      <c r="CQ278" s="90">
        <f t="shared" si="398"/>
        <v>0</v>
      </c>
      <c r="CR278" s="171">
        <f t="shared" si="399"/>
        <v>0</v>
      </c>
      <c r="CS278" s="170">
        <f t="shared" si="415"/>
        <v>0</v>
      </c>
      <c r="CT278" s="90">
        <f t="shared" si="400"/>
        <v>0</v>
      </c>
      <c r="CU278" s="171">
        <f t="shared" si="401"/>
        <v>0</v>
      </c>
      <c r="CV278" s="170">
        <f t="shared" si="416"/>
        <v>0</v>
      </c>
      <c r="CW278" s="90">
        <f t="shared" si="402"/>
        <v>0</v>
      </c>
      <c r="CX278" s="171">
        <f t="shared" si="403"/>
        <v>0</v>
      </c>
      <c r="CY278" s="170">
        <f t="shared" si="417"/>
        <v>0</v>
      </c>
      <c r="CZ278" s="168">
        <f t="shared" si="418"/>
        <v>0</v>
      </c>
      <c r="DA278" s="172">
        <f t="shared" si="420"/>
        <v>0</v>
      </c>
      <c r="DB278" s="173">
        <f t="shared" si="421"/>
        <v>0</v>
      </c>
      <c r="DC278" s="172">
        <f t="shared" si="422"/>
        <v>0</v>
      </c>
      <c r="DD278" s="172">
        <f t="shared" si="422"/>
        <v>0</v>
      </c>
      <c r="DE278" s="172">
        <f t="shared" si="422"/>
        <v>0</v>
      </c>
      <c r="DF278" s="172">
        <f t="shared" ref="DF278:DF341" si="423">IF(DA278-(DE277+CZ278)&lt;0,0,DA278-(DE277+CZ278))</f>
        <v>0</v>
      </c>
      <c r="DG278" s="136"/>
      <c r="DH278" s="136"/>
      <c r="DI278" s="3"/>
      <c r="DJ278" s="8"/>
      <c r="DK278" s="8"/>
      <c r="DL278" s="8"/>
      <c r="DM278" s="8"/>
      <c r="DN278" s="8"/>
      <c r="DO278" s="8"/>
      <c r="DP278" s="8"/>
      <c r="DQ278" s="3"/>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row>
    <row r="279" spans="1:155" s="566" customFormat="1" ht="15" customHeight="1">
      <c r="A279" s="422"/>
      <c r="B279" s="429" t="s">
        <v>501</v>
      </c>
      <c r="C279" s="260"/>
      <c r="D279" s="260"/>
      <c r="E279" s="231" t="s">
        <v>417</v>
      </c>
      <c r="F279" s="27"/>
      <c r="G279" s="27"/>
      <c r="H279" s="27"/>
      <c r="I279" s="27"/>
      <c r="J279" s="404"/>
      <c r="K279" s="307"/>
      <c r="L279" s="307"/>
      <c r="M279" s="307"/>
      <c r="N279" s="14" t="s">
        <v>480</v>
      </c>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293"/>
      <c r="AW279" s="14"/>
      <c r="AX279" s="14"/>
      <c r="AY279" s="14"/>
      <c r="AZ279" s="14"/>
      <c r="BA279" s="14"/>
      <c r="BB279" s="14"/>
      <c r="BC279" s="14"/>
      <c r="BD279" s="70"/>
      <c r="BE279" s="165" t="s">
        <v>19</v>
      </c>
      <c r="BF279" s="23">
        <v>22</v>
      </c>
      <c r="BG279" s="23">
        <v>17</v>
      </c>
      <c r="BH279" s="23">
        <v>5</v>
      </c>
      <c r="BI279" s="90" t="b">
        <f t="shared" si="419"/>
        <v>1</v>
      </c>
      <c r="BJ279" s="46" t="b">
        <f t="shared" si="378"/>
        <v>0</v>
      </c>
      <c r="BK279" s="166">
        <f t="shared" si="379"/>
        <v>0</v>
      </c>
      <c r="BL279" s="175">
        <f>IF(SUM(BL$263:BL278,BK279)&gt;$BR$4,0,BK279)</f>
        <v>0</v>
      </c>
      <c r="BM279" s="23">
        <f t="shared" si="404"/>
        <v>0</v>
      </c>
      <c r="BN279" s="90">
        <f t="shared" si="405"/>
        <v>0</v>
      </c>
      <c r="BO279" s="24">
        <f t="shared" si="332"/>
        <v>0</v>
      </c>
      <c r="BP279" s="349">
        <f t="shared" si="380"/>
        <v>0</v>
      </c>
      <c r="BQ279" s="171">
        <f t="shared" si="381"/>
        <v>0</v>
      </c>
      <c r="BR279" s="170">
        <f t="shared" si="406"/>
        <v>0</v>
      </c>
      <c r="BS279" s="168">
        <f t="shared" si="382"/>
        <v>0</v>
      </c>
      <c r="BT279" s="171">
        <f t="shared" si="383"/>
        <v>0</v>
      </c>
      <c r="BU279" s="170">
        <f t="shared" si="407"/>
        <v>0</v>
      </c>
      <c r="BV279" s="168">
        <f t="shared" si="384"/>
        <v>0</v>
      </c>
      <c r="BW279" s="171">
        <f t="shared" si="385"/>
        <v>0</v>
      </c>
      <c r="BX279" s="170">
        <f t="shared" si="408"/>
        <v>0</v>
      </c>
      <c r="BY279" s="168">
        <f t="shared" si="386"/>
        <v>0</v>
      </c>
      <c r="BZ279" s="171">
        <f t="shared" si="387"/>
        <v>0</v>
      </c>
      <c r="CA279" s="170">
        <f t="shared" si="409"/>
        <v>0</v>
      </c>
      <c r="CB279" s="90">
        <f t="shared" si="388"/>
        <v>0</v>
      </c>
      <c r="CC279" s="171">
        <f t="shared" si="389"/>
        <v>0</v>
      </c>
      <c r="CD279" s="170">
        <f t="shared" si="410"/>
        <v>0</v>
      </c>
      <c r="CE279" s="90">
        <f t="shared" si="390"/>
        <v>0</v>
      </c>
      <c r="CF279" s="171">
        <f t="shared" si="391"/>
        <v>0</v>
      </c>
      <c r="CG279" s="170">
        <f t="shared" si="411"/>
        <v>0</v>
      </c>
      <c r="CH279" s="90">
        <f t="shared" si="392"/>
        <v>0</v>
      </c>
      <c r="CI279" s="171">
        <f t="shared" si="393"/>
        <v>0</v>
      </c>
      <c r="CJ279" s="170">
        <f t="shared" si="412"/>
        <v>0</v>
      </c>
      <c r="CK279" s="90">
        <f t="shared" si="394"/>
        <v>0</v>
      </c>
      <c r="CL279" s="171">
        <f t="shared" si="395"/>
        <v>0</v>
      </c>
      <c r="CM279" s="170">
        <f t="shared" si="413"/>
        <v>0</v>
      </c>
      <c r="CN279" s="90">
        <f t="shared" si="396"/>
        <v>0</v>
      </c>
      <c r="CO279" s="171">
        <f t="shared" si="397"/>
        <v>0</v>
      </c>
      <c r="CP279" s="170">
        <f t="shared" si="414"/>
        <v>0</v>
      </c>
      <c r="CQ279" s="90">
        <f t="shared" si="398"/>
        <v>0</v>
      </c>
      <c r="CR279" s="171">
        <f t="shared" si="399"/>
        <v>0</v>
      </c>
      <c r="CS279" s="170">
        <f t="shared" si="415"/>
        <v>0</v>
      </c>
      <c r="CT279" s="90">
        <f t="shared" si="400"/>
        <v>0</v>
      </c>
      <c r="CU279" s="171">
        <f t="shared" si="401"/>
        <v>0</v>
      </c>
      <c r="CV279" s="170">
        <f t="shared" si="416"/>
        <v>0</v>
      </c>
      <c r="CW279" s="90">
        <f t="shared" si="402"/>
        <v>0</v>
      </c>
      <c r="CX279" s="171">
        <f t="shared" si="403"/>
        <v>0</v>
      </c>
      <c r="CY279" s="170">
        <f t="shared" si="417"/>
        <v>0</v>
      </c>
      <c r="CZ279" s="168">
        <f t="shared" si="418"/>
        <v>0</v>
      </c>
      <c r="DA279" s="172">
        <f t="shared" si="420"/>
        <v>0</v>
      </c>
      <c r="DB279" s="173">
        <f t="shared" si="421"/>
        <v>0</v>
      </c>
      <c r="DC279" s="172">
        <f t="shared" si="422"/>
        <v>0</v>
      </c>
      <c r="DD279" s="172">
        <f t="shared" si="422"/>
        <v>0</v>
      </c>
      <c r="DE279" s="172">
        <f t="shared" si="422"/>
        <v>0</v>
      </c>
      <c r="DF279" s="172">
        <f t="shared" si="423"/>
        <v>0</v>
      </c>
      <c r="DG279" s="136"/>
      <c r="DH279" s="136"/>
      <c r="DI279" s="3"/>
      <c r="DJ279" s="8"/>
      <c r="DK279" s="8"/>
      <c r="DL279" s="8"/>
      <c r="DM279" s="8"/>
      <c r="DN279" s="8"/>
      <c r="DO279" s="8"/>
      <c r="DP279" s="8"/>
      <c r="DQ279" s="3"/>
      <c r="DR279" s="8"/>
      <c r="DS279" s="8"/>
      <c r="DT279" s="8"/>
      <c r="DU279" s="8"/>
      <c r="DV279" s="8"/>
      <c r="DW279" s="8"/>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row>
    <row r="280" spans="1:155" s="566" customFormat="1" ht="15" customHeight="1">
      <c r="A280" s="422"/>
      <c r="B280" s="27"/>
      <c r="C280" s="27"/>
      <c r="D280" s="27"/>
      <c r="E280" s="27"/>
      <c r="F280" s="27"/>
      <c r="G280" s="27"/>
      <c r="H280" s="27"/>
      <c r="I280" s="27"/>
      <c r="J280" s="404"/>
      <c r="K280" s="307"/>
      <c r="L280" s="307"/>
      <c r="M280" s="307"/>
      <c r="N280" s="14" t="b">
        <f>E279="Yes"</f>
        <v>0</v>
      </c>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293"/>
      <c r="AW280" s="14"/>
      <c r="AX280" s="14"/>
      <c r="AY280" s="14"/>
      <c r="AZ280" s="14"/>
      <c r="BA280" s="14"/>
      <c r="BB280" s="14"/>
      <c r="BC280" s="14"/>
      <c r="BD280" s="70"/>
      <c r="BE280" s="165" t="s">
        <v>19</v>
      </c>
      <c r="BF280" s="23">
        <v>22</v>
      </c>
      <c r="BG280" s="23">
        <v>18</v>
      </c>
      <c r="BH280" s="23">
        <v>6</v>
      </c>
      <c r="BI280" s="90" t="b">
        <f t="shared" si="419"/>
        <v>0</v>
      </c>
      <c r="BJ280" s="46" t="b">
        <f t="shared" si="378"/>
        <v>0</v>
      </c>
      <c r="BK280" s="166">
        <f t="shared" si="379"/>
        <v>0</v>
      </c>
      <c r="BL280" s="175">
        <f>IF(SUM(BL$263:BL279,BK280)&gt;$BR$4,0,BK280)</f>
        <v>0</v>
      </c>
      <c r="BM280" s="23">
        <f t="shared" si="404"/>
        <v>0</v>
      </c>
      <c r="BN280" s="90">
        <f t="shared" si="405"/>
        <v>0</v>
      </c>
      <c r="BO280" s="24">
        <f t="shared" si="332"/>
        <v>0</v>
      </c>
      <c r="BP280" s="349">
        <f t="shared" si="380"/>
        <v>0</v>
      </c>
      <c r="BQ280" s="171">
        <f t="shared" si="381"/>
        <v>0</v>
      </c>
      <c r="BR280" s="170">
        <f t="shared" si="406"/>
        <v>0</v>
      </c>
      <c r="BS280" s="168">
        <f t="shared" si="382"/>
        <v>0</v>
      </c>
      <c r="BT280" s="171">
        <f t="shared" si="383"/>
        <v>0</v>
      </c>
      <c r="BU280" s="170">
        <f t="shared" si="407"/>
        <v>0</v>
      </c>
      <c r="BV280" s="168">
        <f t="shared" si="384"/>
        <v>0</v>
      </c>
      <c r="BW280" s="171">
        <f t="shared" si="385"/>
        <v>0</v>
      </c>
      <c r="BX280" s="170">
        <f t="shared" si="408"/>
        <v>0</v>
      </c>
      <c r="BY280" s="168">
        <f t="shared" si="386"/>
        <v>0</v>
      </c>
      <c r="BZ280" s="171">
        <f t="shared" si="387"/>
        <v>0</v>
      </c>
      <c r="CA280" s="170">
        <f t="shared" si="409"/>
        <v>0</v>
      </c>
      <c r="CB280" s="90">
        <f t="shared" si="388"/>
        <v>0</v>
      </c>
      <c r="CC280" s="171">
        <f t="shared" si="389"/>
        <v>0</v>
      </c>
      <c r="CD280" s="170">
        <f t="shared" si="410"/>
        <v>0</v>
      </c>
      <c r="CE280" s="90">
        <f t="shared" si="390"/>
        <v>0</v>
      </c>
      <c r="CF280" s="171">
        <f t="shared" si="391"/>
        <v>0</v>
      </c>
      <c r="CG280" s="170">
        <f t="shared" si="411"/>
        <v>0</v>
      </c>
      <c r="CH280" s="90">
        <f t="shared" si="392"/>
        <v>0</v>
      </c>
      <c r="CI280" s="171">
        <f t="shared" si="393"/>
        <v>0</v>
      </c>
      <c r="CJ280" s="170">
        <f t="shared" si="412"/>
        <v>0</v>
      </c>
      <c r="CK280" s="90">
        <f t="shared" si="394"/>
        <v>0</v>
      </c>
      <c r="CL280" s="171">
        <f t="shared" si="395"/>
        <v>0</v>
      </c>
      <c r="CM280" s="170">
        <f t="shared" si="413"/>
        <v>0</v>
      </c>
      <c r="CN280" s="90">
        <f t="shared" si="396"/>
        <v>0</v>
      </c>
      <c r="CO280" s="171">
        <f t="shared" si="397"/>
        <v>0</v>
      </c>
      <c r="CP280" s="170">
        <f t="shared" si="414"/>
        <v>0</v>
      </c>
      <c r="CQ280" s="90">
        <f t="shared" si="398"/>
        <v>0</v>
      </c>
      <c r="CR280" s="171">
        <f t="shared" si="399"/>
        <v>0</v>
      </c>
      <c r="CS280" s="170">
        <f t="shared" si="415"/>
        <v>0</v>
      </c>
      <c r="CT280" s="90">
        <f t="shared" si="400"/>
        <v>0</v>
      </c>
      <c r="CU280" s="171">
        <f t="shared" si="401"/>
        <v>0</v>
      </c>
      <c r="CV280" s="170">
        <f t="shared" si="416"/>
        <v>0</v>
      </c>
      <c r="CW280" s="90">
        <f t="shared" si="402"/>
        <v>0</v>
      </c>
      <c r="CX280" s="171">
        <f t="shared" si="403"/>
        <v>0</v>
      </c>
      <c r="CY280" s="170">
        <f t="shared" si="417"/>
        <v>0</v>
      </c>
      <c r="CZ280" s="168">
        <f t="shared" si="418"/>
        <v>0</v>
      </c>
      <c r="DA280" s="172">
        <f t="shared" si="420"/>
        <v>0</v>
      </c>
      <c r="DB280" s="173">
        <f t="shared" si="421"/>
        <v>0</v>
      </c>
      <c r="DC280" s="172">
        <f t="shared" si="422"/>
        <v>0</v>
      </c>
      <c r="DD280" s="172">
        <f t="shared" si="422"/>
        <v>0</v>
      </c>
      <c r="DE280" s="172">
        <f t="shared" si="422"/>
        <v>0</v>
      </c>
      <c r="DF280" s="172">
        <f t="shared" si="423"/>
        <v>0</v>
      </c>
      <c r="DG280" s="136"/>
      <c r="DH280" s="136"/>
      <c r="DI280" s="3"/>
      <c r="DJ280" s="8"/>
      <c r="DK280" s="8"/>
      <c r="DL280" s="8"/>
      <c r="DM280" s="8"/>
      <c r="DN280" s="8"/>
      <c r="DO280" s="8"/>
      <c r="DP280" s="8"/>
      <c r="DQ280" s="3"/>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row>
    <row r="281" spans="1:155" s="566" customFormat="1" ht="28.5" customHeight="1">
      <c r="A281" s="422"/>
      <c r="B281" s="27"/>
      <c r="C281" s="27"/>
      <c r="D281" s="27"/>
      <c r="E281" s="27"/>
      <c r="F281" s="27"/>
      <c r="G281" s="27"/>
      <c r="H281" s="27"/>
      <c r="I281" s="27"/>
      <c r="J281" s="404"/>
      <c r="K281" s="307"/>
      <c r="L281" s="307"/>
      <c r="M281" s="307"/>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293"/>
      <c r="AW281" s="14"/>
      <c r="AX281" s="14"/>
      <c r="AY281" s="14"/>
      <c r="AZ281" s="14"/>
      <c r="BA281" s="14"/>
      <c r="BB281" s="14"/>
      <c r="BC281" s="14"/>
      <c r="BD281" s="70"/>
      <c r="BE281" s="165" t="s">
        <v>19</v>
      </c>
      <c r="BF281" s="23">
        <v>22</v>
      </c>
      <c r="BG281" s="23">
        <v>19</v>
      </c>
      <c r="BH281" s="23">
        <v>7</v>
      </c>
      <c r="BI281" s="90" t="b">
        <f t="shared" si="419"/>
        <v>0</v>
      </c>
      <c r="BJ281" s="46" t="b">
        <f t="shared" si="378"/>
        <v>0</v>
      </c>
      <c r="BK281" s="166">
        <f t="shared" si="379"/>
        <v>0</v>
      </c>
      <c r="BL281" s="175">
        <f>IF(SUM(BL$263:BL280,BK281)&gt;$BR$4,0,BK281)</f>
        <v>0</v>
      </c>
      <c r="BM281" s="23">
        <f t="shared" si="404"/>
        <v>0</v>
      </c>
      <c r="BN281" s="90">
        <f t="shared" si="405"/>
        <v>0</v>
      </c>
      <c r="BO281" s="24">
        <f t="shared" ref="BO281:BO344" si="424">BM281-BN281</f>
        <v>0</v>
      </c>
      <c r="BP281" s="349">
        <f t="shared" si="380"/>
        <v>0</v>
      </c>
      <c r="BQ281" s="171">
        <f t="shared" si="381"/>
        <v>0</v>
      </c>
      <c r="BR281" s="170">
        <f t="shared" si="406"/>
        <v>0</v>
      </c>
      <c r="BS281" s="168">
        <f t="shared" si="382"/>
        <v>0</v>
      </c>
      <c r="BT281" s="171">
        <f t="shared" si="383"/>
        <v>0</v>
      </c>
      <c r="BU281" s="170">
        <f t="shared" si="407"/>
        <v>0</v>
      </c>
      <c r="BV281" s="168">
        <f t="shared" si="384"/>
        <v>0</v>
      </c>
      <c r="BW281" s="171">
        <f t="shared" si="385"/>
        <v>0</v>
      </c>
      <c r="BX281" s="170">
        <f t="shared" si="408"/>
        <v>0</v>
      </c>
      <c r="BY281" s="168">
        <f t="shared" si="386"/>
        <v>0</v>
      </c>
      <c r="BZ281" s="171">
        <f t="shared" si="387"/>
        <v>0</v>
      </c>
      <c r="CA281" s="170">
        <f t="shared" si="409"/>
        <v>0</v>
      </c>
      <c r="CB281" s="90">
        <f t="shared" si="388"/>
        <v>0</v>
      </c>
      <c r="CC281" s="171">
        <f t="shared" si="389"/>
        <v>0</v>
      </c>
      <c r="CD281" s="170">
        <f t="shared" si="410"/>
        <v>0</v>
      </c>
      <c r="CE281" s="90">
        <f t="shared" si="390"/>
        <v>0</v>
      </c>
      <c r="CF281" s="171">
        <f t="shared" si="391"/>
        <v>0</v>
      </c>
      <c r="CG281" s="170">
        <f t="shared" si="411"/>
        <v>0</v>
      </c>
      <c r="CH281" s="90">
        <f t="shared" si="392"/>
        <v>0</v>
      </c>
      <c r="CI281" s="171">
        <f t="shared" si="393"/>
        <v>0</v>
      </c>
      <c r="CJ281" s="170">
        <f t="shared" si="412"/>
        <v>0</v>
      </c>
      <c r="CK281" s="90">
        <f t="shared" si="394"/>
        <v>0</v>
      </c>
      <c r="CL281" s="171">
        <f t="shared" si="395"/>
        <v>0</v>
      </c>
      <c r="CM281" s="170">
        <f t="shared" si="413"/>
        <v>0</v>
      </c>
      <c r="CN281" s="90">
        <f t="shared" si="396"/>
        <v>0</v>
      </c>
      <c r="CO281" s="171">
        <f t="shared" si="397"/>
        <v>0</v>
      </c>
      <c r="CP281" s="170">
        <f t="shared" si="414"/>
        <v>0</v>
      </c>
      <c r="CQ281" s="90">
        <f t="shared" si="398"/>
        <v>0</v>
      </c>
      <c r="CR281" s="171">
        <f t="shared" si="399"/>
        <v>0</v>
      </c>
      <c r="CS281" s="170">
        <f t="shared" si="415"/>
        <v>0</v>
      </c>
      <c r="CT281" s="90">
        <f t="shared" si="400"/>
        <v>0</v>
      </c>
      <c r="CU281" s="171">
        <f t="shared" si="401"/>
        <v>0</v>
      </c>
      <c r="CV281" s="170">
        <f t="shared" si="416"/>
        <v>0</v>
      </c>
      <c r="CW281" s="90">
        <f t="shared" si="402"/>
        <v>0</v>
      </c>
      <c r="CX281" s="171">
        <f t="shared" si="403"/>
        <v>0</v>
      </c>
      <c r="CY281" s="170">
        <f t="shared" si="417"/>
        <v>0</v>
      </c>
      <c r="CZ281" s="168">
        <f t="shared" si="418"/>
        <v>0</v>
      </c>
      <c r="DA281" s="172">
        <f t="shared" si="420"/>
        <v>0</v>
      </c>
      <c r="DB281" s="173">
        <f t="shared" si="421"/>
        <v>0</v>
      </c>
      <c r="DC281" s="172">
        <f t="shared" si="422"/>
        <v>0</v>
      </c>
      <c r="DD281" s="172">
        <f t="shared" si="422"/>
        <v>0</v>
      </c>
      <c r="DE281" s="172">
        <f t="shared" si="422"/>
        <v>0</v>
      </c>
      <c r="DF281" s="172">
        <f t="shared" si="423"/>
        <v>0</v>
      </c>
      <c r="DG281" s="136"/>
      <c r="DH281" s="136"/>
      <c r="DI281" s="3"/>
      <c r="DJ281" s="8"/>
      <c r="DK281" s="8"/>
      <c r="DL281" s="8"/>
      <c r="DM281" s="8"/>
      <c r="DN281" s="8"/>
      <c r="DO281" s="8"/>
      <c r="DP281" s="8"/>
      <c r="DQ281" s="3"/>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row>
    <row r="282" spans="1:155" s="566" customFormat="1" ht="14.25" customHeight="1">
      <c r="A282" s="422"/>
      <c r="B282" s="27"/>
      <c r="C282" s="27"/>
      <c r="D282" s="27"/>
      <c r="E282" s="27"/>
      <c r="F282" s="27"/>
      <c r="G282" s="27"/>
      <c r="H282" s="27"/>
      <c r="I282" s="667" t="s">
        <v>610</v>
      </c>
      <c r="J282" s="667"/>
      <c r="K282" s="668" t="s">
        <v>233</v>
      </c>
      <c r="L282" s="307"/>
      <c r="M282" s="307"/>
      <c r="N282" s="14" t="s">
        <v>481</v>
      </c>
      <c r="O282" s="14"/>
      <c r="P282" s="14" t="b">
        <f>G294&lt;N295</f>
        <v>0</v>
      </c>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293"/>
      <c r="AW282" s="14"/>
      <c r="AX282" s="14"/>
      <c r="AY282" s="14"/>
      <c r="AZ282" s="14"/>
      <c r="BA282" s="14"/>
      <c r="BB282" s="14"/>
      <c r="BC282" s="14"/>
      <c r="BD282" s="70"/>
      <c r="BE282" s="165" t="s">
        <v>19</v>
      </c>
      <c r="BF282" s="23">
        <v>22</v>
      </c>
      <c r="BG282" s="23">
        <v>20</v>
      </c>
      <c r="BH282" s="23">
        <v>1</v>
      </c>
      <c r="BI282" s="90" t="b">
        <f t="shared" si="419"/>
        <v>1</v>
      </c>
      <c r="BJ282" s="46" t="b">
        <f t="shared" si="378"/>
        <v>0</v>
      </c>
      <c r="BK282" s="166">
        <f t="shared" si="379"/>
        <v>0</v>
      </c>
      <c r="BL282" s="175">
        <f>IF(SUM(BL$263:BL281,BK282)&gt;$BR$4,0,BK282)</f>
        <v>0</v>
      </c>
      <c r="BM282" s="23">
        <f t="shared" si="404"/>
        <v>0</v>
      </c>
      <c r="BN282" s="90">
        <f t="shared" si="405"/>
        <v>0</v>
      </c>
      <c r="BO282" s="24">
        <f t="shared" si="424"/>
        <v>0</v>
      </c>
      <c r="BP282" s="349">
        <f t="shared" si="380"/>
        <v>0</v>
      </c>
      <c r="BQ282" s="171">
        <f t="shared" si="381"/>
        <v>0</v>
      </c>
      <c r="BR282" s="170">
        <f t="shared" si="406"/>
        <v>0</v>
      </c>
      <c r="BS282" s="168">
        <f t="shared" si="382"/>
        <v>0</v>
      </c>
      <c r="BT282" s="171">
        <f t="shared" si="383"/>
        <v>0</v>
      </c>
      <c r="BU282" s="170">
        <f t="shared" si="407"/>
        <v>0</v>
      </c>
      <c r="BV282" s="168">
        <f t="shared" si="384"/>
        <v>0</v>
      </c>
      <c r="BW282" s="171">
        <f t="shared" si="385"/>
        <v>0</v>
      </c>
      <c r="BX282" s="170">
        <f t="shared" si="408"/>
        <v>0</v>
      </c>
      <c r="BY282" s="168">
        <f t="shared" si="386"/>
        <v>0</v>
      </c>
      <c r="BZ282" s="171">
        <f t="shared" si="387"/>
        <v>0</v>
      </c>
      <c r="CA282" s="170">
        <f t="shared" si="409"/>
        <v>0</v>
      </c>
      <c r="CB282" s="90">
        <f t="shared" si="388"/>
        <v>0</v>
      </c>
      <c r="CC282" s="171">
        <f t="shared" si="389"/>
        <v>0</v>
      </c>
      <c r="CD282" s="170">
        <f t="shared" si="410"/>
        <v>0</v>
      </c>
      <c r="CE282" s="90">
        <f t="shared" si="390"/>
        <v>0</v>
      </c>
      <c r="CF282" s="171">
        <f t="shared" si="391"/>
        <v>0</v>
      </c>
      <c r="CG282" s="170">
        <f t="shared" si="411"/>
        <v>0</v>
      </c>
      <c r="CH282" s="90">
        <f t="shared" si="392"/>
        <v>0</v>
      </c>
      <c r="CI282" s="171">
        <f t="shared" si="393"/>
        <v>0</v>
      </c>
      <c r="CJ282" s="170">
        <f t="shared" si="412"/>
        <v>0</v>
      </c>
      <c r="CK282" s="90">
        <f t="shared" si="394"/>
        <v>0</v>
      </c>
      <c r="CL282" s="171">
        <f t="shared" si="395"/>
        <v>0</v>
      </c>
      <c r="CM282" s="170">
        <f t="shared" si="413"/>
        <v>0</v>
      </c>
      <c r="CN282" s="90">
        <f t="shared" si="396"/>
        <v>0</v>
      </c>
      <c r="CO282" s="171">
        <f t="shared" si="397"/>
        <v>0</v>
      </c>
      <c r="CP282" s="170">
        <f t="shared" si="414"/>
        <v>0</v>
      </c>
      <c r="CQ282" s="90">
        <f t="shared" si="398"/>
        <v>0</v>
      </c>
      <c r="CR282" s="171">
        <f t="shared" si="399"/>
        <v>0</v>
      </c>
      <c r="CS282" s="170">
        <f t="shared" si="415"/>
        <v>0</v>
      </c>
      <c r="CT282" s="90">
        <f t="shared" si="400"/>
        <v>0</v>
      </c>
      <c r="CU282" s="171">
        <f t="shared" si="401"/>
        <v>0</v>
      </c>
      <c r="CV282" s="170">
        <f t="shared" si="416"/>
        <v>0</v>
      </c>
      <c r="CW282" s="90">
        <f t="shared" si="402"/>
        <v>0</v>
      </c>
      <c r="CX282" s="171">
        <f t="shared" si="403"/>
        <v>0</v>
      </c>
      <c r="CY282" s="170">
        <f t="shared" si="417"/>
        <v>0</v>
      </c>
      <c r="CZ282" s="168">
        <f t="shared" si="418"/>
        <v>0</v>
      </c>
      <c r="DA282" s="172">
        <f t="shared" si="420"/>
        <v>0</v>
      </c>
      <c r="DB282" s="173">
        <f t="shared" si="421"/>
        <v>0</v>
      </c>
      <c r="DC282" s="172">
        <f t="shared" si="422"/>
        <v>0</v>
      </c>
      <c r="DD282" s="172">
        <f t="shared" si="422"/>
        <v>0</v>
      </c>
      <c r="DE282" s="172">
        <f t="shared" si="422"/>
        <v>0</v>
      </c>
      <c r="DF282" s="172">
        <f t="shared" si="423"/>
        <v>0</v>
      </c>
      <c r="DG282" s="136"/>
      <c r="DH282" s="136"/>
      <c r="DI282" s="3"/>
      <c r="DJ282" s="8"/>
      <c r="DK282" s="8"/>
      <c r="DL282" s="8"/>
      <c r="DM282" s="8"/>
      <c r="DN282" s="8"/>
      <c r="DO282" s="8"/>
      <c r="DP282" s="8"/>
      <c r="DQ282" s="3"/>
      <c r="DR282" s="8"/>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c r="ET282" s="8"/>
      <c r="EU282" s="8"/>
      <c r="EV282" s="8"/>
      <c r="EW282" s="8"/>
      <c r="EX282" s="8"/>
      <c r="EY282" s="8"/>
    </row>
    <row r="283" spans="1:155" s="566" customFormat="1" ht="15" customHeight="1">
      <c r="A283" s="422"/>
      <c r="B283" s="221" t="s">
        <v>502</v>
      </c>
      <c r="C283" s="430"/>
      <c r="D283" s="430"/>
      <c r="E283" s="221" t="s">
        <v>503</v>
      </c>
      <c r="F283" s="27"/>
      <c r="G283" s="27"/>
      <c r="H283" s="27"/>
      <c r="I283" s="667"/>
      <c r="J283" s="667"/>
      <c r="K283" s="669"/>
      <c r="L283" s="307"/>
      <c r="M283" s="307"/>
      <c r="N283" s="14" t="s">
        <v>483</v>
      </c>
      <c r="O283" s="14"/>
      <c r="P283" s="14" t="b">
        <f>G294&gt;=N295</f>
        <v>1</v>
      </c>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293"/>
      <c r="AW283" s="14"/>
      <c r="AX283" s="14"/>
      <c r="AY283" s="14"/>
      <c r="AZ283" s="14"/>
      <c r="BA283" s="14"/>
      <c r="BB283" s="14"/>
      <c r="BC283" s="14"/>
      <c r="BD283" s="70"/>
      <c r="BE283" s="165" t="s">
        <v>19</v>
      </c>
      <c r="BF283" s="23">
        <v>22</v>
      </c>
      <c r="BG283" s="23">
        <v>21</v>
      </c>
      <c r="BH283" s="23">
        <v>2</v>
      </c>
      <c r="BI283" s="90" t="b">
        <f t="shared" si="419"/>
        <v>1</v>
      </c>
      <c r="BJ283" s="46" t="b">
        <f t="shared" si="378"/>
        <v>0</v>
      </c>
      <c r="BK283" s="166">
        <f t="shared" si="379"/>
        <v>0</v>
      </c>
      <c r="BL283" s="175">
        <f>IF(SUM(BL$263:BL282,BK283)&gt;$BR$4,0,BK283)</f>
        <v>0</v>
      </c>
      <c r="BM283" s="23">
        <f t="shared" si="404"/>
        <v>0</v>
      </c>
      <c r="BN283" s="90">
        <f t="shared" si="405"/>
        <v>0</v>
      </c>
      <c r="BO283" s="24">
        <f t="shared" si="424"/>
        <v>0</v>
      </c>
      <c r="BP283" s="349">
        <f t="shared" si="380"/>
        <v>0</v>
      </c>
      <c r="BQ283" s="171">
        <f t="shared" si="381"/>
        <v>0</v>
      </c>
      <c r="BR283" s="170">
        <f t="shared" si="406"/>
        <v>0</v>
      </c>
      <c r="BS283" s="168">
        <f t="shared" si="382"/>
        <v>0</v>
      </c>
      <c r="BT283" s="171">
        <f t="shared" si="383"/>
        <v>0</v>
      </c>
      <c r="BU283" s="170">
        <f t="shared" si="407"/>
        <v>0</v>
      </c>
      <c r="BV283" s="168">
        <f t="shared" si="384"/>
        <v>0</v>
      </c>
      <c r="BW283" s="171">
        <f t="shared" si="385"/>
        <v>0</v>
      </c>
      <c r="BX283" s="170">
        <f t="shared" si="408"/>
        <v>0</v>
      </c>
      <c r="BY283" s="168">
        <f t="shared" si="386"/>
        <v>0</v>
      </c>
      <c r="BZ283" s="171">
        <f t="shared" si="387"/>
        <v>0</v>
      </c>
      <c r="CA283" s="170">
        <f t="shared" si="409"/>
        <v>0</v>
      </c>
      <c r="CB283" s="90">
        <f t="shared" si="388"/>
        <v>0</v>
      </c>
      <c r="CC283" s="171">
        <f t="shared" si="389"/>
        <v>0</v>
      </c>
      <c r="CD283" s="170">
        <f t="shared" si="410"/>
        <v>0</v>
      </c>
      <c r="CE283" s="90">
        <f t="shared" si="390"/>
        <v>0</v>
      </c>
      <c r="CF283" s="171">
        <f t="shared" si="391"/>
        <v>0</v>
      </c>
      <c r="CG283" s="170">
        <f t="shared" si="411"/>
        <v>0</v>
      </c>
      <c r="CH283" s="90">
        <f t="shared" si="392"/>
        <v>0</v>
      </c>
      <c r="CI283" s="171">
        <f t="shared" si="393"/>
        <v>0</v>
      </c>
      <c r="CJ283" s="170">
        <f t="shared" si="412"/>
        <v>0</v>
      </c>
      <c r="CK283" s="90">
        <f t="shared" si="394"/>
        <v>0</v>
      </c>
      <c r="CL283" s="171">
        <f t="shared" si="395"/>
        <v>0</v>
      </c>
      <c r="CM283" s="170">
        <f t="shared" si="413"/>
        <v>0</v>
      </c>
      <c r="CN283" s="90">
        <f t="shared" si="396"/>
        <v>0</v>
      </c>
      <c r="CO283" s="171">
        <f t="shared" si="397"/>
        <v>0</v>
      </c>
      <c r="CP283" s="170">
        <f t="shared" si="414"/>
        <v>0</v>
      </c>
      <c r="CQ283" s="90">
        <f t="shared" si="398"/>
        <v>0</v>
      </c>
      <c r="CR283" s="171">
        <f t="shared" si="399"/>
        <v>0</v>
      </c>
      <c r="CS283" s="170">
        <f t="shared" si="415"/>
        <v>0</v>
      </c>
      <c r="CT283" s="90">
        <f t="shared" si="400"/>
        <v>0</v>
      </c>
      <c r="CU283" s="171">
        <f t="shared" si="401"/>
        <v>0</v>
      </c>
      <c r="CV283" s="170">
        <f t="shared" si="416"/>
        <v>0</v>
      </c>
      <c r="CW283" s="90">
        <f t="shared" si="402"/>
        <v>0</v>
      </c>
      <c r="CX283" s="171">
        <f t="shared" si="403"/>
        <v>0</v>
      </c>
      <c r="CY283" s="170">
        <f t="shared" si="417"/>
        <v>0</v>
      </c>
      <c r="CZ283" s="168">
        <f t="shared" si="418"/>
        <v>0</v>
      </c>
      <c r="DA283" s="172">
        <f t="shared" si="420"/>
        <v>0</v>
      </c>
      <c r="DB283" s="173">
        <f t="shared" si="421"/>
        <v>0</v>
      </c>
      <c r="DC283" s="172">
        <f t="shared" si="422"/>
        <v>0</v>
      </c>
      <c r="DD283" s="172">
        <f t="shared" si="422"/>
        <v>0</v>
      </c>
      <c r="DE283" s="172">
        <f t="shared" si="422"/>
        <v>0</v>
      </c>
      <c r="DF283" s="172">
        <f t="shared" si="423"/>
        <v>0</v>
      </c>
      <c r="DG283" s="136"/>
      <c r="DH283" s="136"/>
      <c r="DI283" s="3"/>
      <c r="DJ283" s="8"/>
      <c r="DK283" s="8"/>
      <c r="DL283" s="8"/>
      <c r="DM283" s="8"/>
      <c r="DN283" s="8"/>
      <c r="DO283" s="8"/>
      <c r="DP283" s="8"/>
      <c r="DQ283" s="3"/>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row>
    <row r="284" spans="1:155" s="566" customFormat="1" ht="46.5" customHeight="1">
      <c r="A284" s="422"/>
      <c r="B284" s="70"/>
      <c r="C284" s="190" t="s">
        <v>504</v>
      </c>
      <c r="D284" s="27"/>
      <c r="E284" s="27"/>
      <c r="F284" s="27"/>
      <c r="G284" s="27"/>
      <c r="H284" s="27"/>
      <c r="I284" s="438"/>
      <c r="J284" s="438"/>
      <c r="K284" s="438"/>
      <c r="L284" s="438"/>
      <c r="M284" s="307"/>
      <c r="N284" s="14" t="s">
        <v>485</v>
      </c>
      <c r="O284" s="14"/>
      <c r="P284" s="14" t="b">
        <f>K282="Yes"</f>
        <v>1</v>
      </c>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293"/>
      <c r="AW284" s="14"/>
      <c r="AX284" s="14"/>
      <c r="AY284" s="14"/>
      <c r="AZ284" s="14"/>
      <c r="BA284" s="14"/>
      <c r="BB284" s="14"/>
      <c r="BC284" s="14"/>
      <c r="BD284" s="70"/>
      <c r="BE284" s="165" t="s">
        <v>19</v>
      </c>
      <c r="BF284" s="165">
        <v>22</v>
      </c>
      <c r="BG284" s="165">
        <v>22</v>
      </c>
      <c r="BH284" s="165">
        <v>3</v>
      </c>
      <c r="BI284" s="439" t="b">
        <f t="shared" si="419"/>
        <v>1</v>
      </c>
      <c r="BJ284" s="440" t="b">
        <f t="shared" si="378"/>
        <v>0</v>
      </c>
      <c r="BK284" s="441">
        <f t="shared" si="379"/>
        <v>0</v>
      </c>
      <c r="BL284" s="442">
        <f>IF(SUM(BL$263:BL283,BK284)&gt;$BR$4,0,BK284)</f>
        <v>0</v>
      </c>
      <c r="BM284" s="165">
        <f t="shared" si="404"/>
        <v>0</v>
      </c>
      <c r="BN284" s="439">
        <f t="shared" si="405"/>
        <v>0</v>
      </c>
      <c r="BO284" s="443">
        <f t="shared" si="424"/>
        <v>0</v>
      </c>
      <c r="BP284" s="349">
        <f t="shared" si="380"/>
        <v>0</v>
      </c>
      <c r="BQ284" s="171">
        <f t="shared" si="381"/>
        <v>0</v>
      </c>
      <c r="BR284" s="170">
        <f t="shared" si="406"/>
        <v>0</v>
      </c>
      <c r="BS284" s="168">
        <f t="shared" si="382"/>
        <v>0</v>
      </c>
      <c r="BT284" s="171">
        <f t="shared" si="383"/>
        <v>0</v>
      </c>
      <c r="BU284" s="170">
        <f t="shared" si="407"/>
        <v>0</v>
      </c>
      <c r="BV284" s="168">
        <f t="shared" si="384"/>
        <v>0</v>
      </c>
      <c r="BW284" s="171">
        <f t="shared" si="385"/>
        <v>0</v>
      </c>
      <c r="BX284" s="170">
        <f t="shared" si="408"/>
        <v>0</v>
      </c>
      <c r="BY284" s="168">
        <f t="shared" si="386"/>
        <v>0</v>
      </c>
      <c r="BZ284" s="171">
        <f t="shared" si="387"/>
        <v>0</v>
      </c>
      <c r="CA284" s="170">
        <f t="shared" si="409"/>
        <v>0</v>
      </c>
      <c r="CB284" s="439">
        <f t="shared" si="388"/>
        <v>0</v>
      </c>
      <c r="CC284" s="171">
        <f t="shared" si="389"/>
        <v>0</v>
      </c>
      <c r="CD284" s="170">
        <f t="shared" si="410"/>
        <v>0</v>
      </c>
      <c r="CE284" s="439">
        <f t="shared" si="390"/>
        <v>0</v>
      </c>
      <c r="CF284" s="171">
        <f t="shared" si="391"/>
        <v>0</v>
      </c>
      <c r="CG284" s="170">
        <f t="shared" si="411"/>
        <v>0</v>
      </c>
      <c r="CH284" s="439">
        <f t="shared" si="392"/>
        <v>0</v>
      </c>
      <c r="CI284" s="171">
        <f t="shared" si="393"/>
        <v>0</v>
      </c>
      <c r="CJ284" s="170">
        <f t="shared" si="412"/>
        <v>0</v>
      </c>
      <c r="CK284" s="90">
        <f t="shared" si="394"/>
        <v>0</v>
      </c>
      <c r="CL284" s="171">
        <f t="shared" si="395"/>
        <v>0</v>
      </c>
      <c r="CM284" s="170">
        <f t="shared" si="413"/>
        <v>0</v>
      </c>
      <c r="CN284" s="90">
        <f t="shared" si="396"/>
        <v>0</v>
      </c>
      <c r="CO284" s="171">
        <f t="shared" si="397"/>
        <v>0</v>
      </c>
      <c r="CP284" s="170">
        <f t="shared" si="414"/>
        <v>0</v>
      </c>
      <c r="CQ284" s="90">
        <f t="shared" si="398"/>
        <v>0</v>
      </c>
      <c r="CR284" s="171">
        <f t="shared" si="399"/>
        <v>0</v>
      </c>
      <c r="CS284" s="170">
        <f t="shared" si="415"/>
        <v>0</v>
      </c>
      <c r="CT284" s="90">
        <f t="shared" si="400"/>
        <v>0</v>
      </c>
      <c r="CU284" s="171">
        <f t="shared" si="401"/>
        <v>0</v>
      </c>
      <c r="CV284" s="170">
        <f t="shared" si="416"/>
        <v>0</v>
      </c>
      <c r="CW284" s="90">
        <f t="shared" si="402"/>
        <v>0</v>
      </c>
      <c r="CX284" s="171">
        <f t="shared" si="403"/>
        <v>0</v>
      </c>
      <c r="CY284" s="170">
        <f t="shared" si="417"/>
        <v>0</v>
      </c>
      <c r="CZ284" s="444">
        <f t="shared" si="418"/>
        <v>0</v>
      </c>
      <c r="DA284" s="172">
        <f t="shared" si="420"/>
        <v>0</v>
      </c>
      <c r="DB284" s="445">
        <f t="shared" si="421"/>
        <v>0</v>
      </c>
      <c r="DC284" s="446">
        <f t="shared" si="422"/>
        <v>0</v>
      </c>
      <c r="DD284" s="446">
        <f t="shared" si="422"/>
        <v>0</v>
      </c>
      <c r="DE284" s="446">
        <f t="shared" si="422"/>
        <v>0</v>
      </c>
      <c r="DF284" s="446">
        <f t="shared" si="423"/>
        <v>0</v>
      </c>
      <c r="DG284" s="136"/>
      <c r="DH284" s="136"/>
      <c r="DI284" s="3"/>
      <c r="DJ284" s="8"/>
      <c r="DK284" s="8"/>
      <c r="DL284" s="8"/>
      <c r="DM284" s="8"/>
      <c r="DN284" s="8"/>
      <c r="DO284" s="8"/>
      <c r="DP284" s="8"/>
      <c r="DQ284" s="3"/>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row>
    <row r="285" spans="1:155" s="566" customFormat="1" ht="18.75" customHeight="1">
      <c r="A285" s="422"/>
      <c r="B285" s="194" t="s">
        <v>168</v>
      </c>
      <c r="C285" s="310"/>
      <c r="D285" s="27"/>
      <c r="E285" s="429" t="s">
        <v>505</v>
      </c>
      <c r="F285" s="450" t="s">
        <v>525</v>
      </c>
      <c r="G285" s="27"/>
      <c r="H285" s="351"/>
      <c r="I285" s="307"/>
      <c r="J285" s="307"/>
      <c r="K285" s="661" t="s">
        <v>490</v>
      </c>
      <c r="L285" s="307"/>
      <c r="M285" s="307"/>
      <c r="N285" s="14" t="s">
        <v>487</v>
      </c>
      <c r="O285" s="14"/>
      <c r="P285" s="71" t="b">
        <f>OR(P283,P284)</f>
        <v>1</v>
      </c>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293"/>
      <c r="AW285" s="14"/>
      <c r="AX285" s="14"/>
      <c r="AY285" s="14"/>
      <c r="AZ285" s="14"/>
      <c r="BA285" s="14"/>
      <c r="BB285" s="14"/>
      <c r="BC285" s="14"/>
      <c r="BD285" s="70"/>
      <c r="BE285" s="165" t="s">
        <v>19</v>
      </c>
      <c r="BF285" s="23">
        <v>22</v>
      </c>
      <c r="BG285" s="23">
        <v>23</v>
      </c>
      <c r="BH285" s="23">
        <v>4</v>
      </c>
      <c r="BI285" s="90" t="b">
        <f t="shared" si="419"/>
        <v>1</v>
      </c>
      <c r="BJ285" s="46" t="b">
        <f t="shared" si="378"/>
        <v>0</v>
      </c>
      <c r="BK285" s="166">
        <f t="shared" si="379"/>
        <v>0</v>
      </c>
      <c r="BL285" s="175">
        <f>IF(SUM(BL$263:BL284,BK285)&gt;$BR$4,0,BK285)</f>
        <v>0</v>
      </c>
      <c r="BM285" s="23">
        <f t="shared" si="404"/>
        <v>0</v>
      </c>
      <c r="BN285" s="90">
        <f t="shared" si="405"/>
        <v>0</v>
      </c>
      <c r="BO285" s="24">
        <f t="shared" si="424"/>
        <v>0</v>
      </c>
      <c r="BP285" s="349">
        <f t="shared" si="380"/>
        <v>0</v>
      </c>
      <c r="BQ285" s="171">
        <f t="shared" si="381"/>
        <v>0</v>
      </c>
      <c r="BR285" s="170">
        <f t="shared" si="406"/>
        <v>0</v>
      </c>
      <c r="BS285" s="168">
        <f t="shared" si="382"/>
        <v>0</v>
      </c>
      <c r="BT285" s="171">
        <f t="shared" si="383"/>
        <v>0</v>
      </c>
      <c r="BU285" s="170">
        <f t="shared" si="407"/>
        <v>0</v>
      </c>
      <c r="BV285" s="168">
        <f t="shared" si="384"/>
        <v>0</v>
      </c>
      <c r="BW285" s="171">
        <f t="shared" si="385"/>
        <v>0</v>
      </c>
      <c r="BX285" s="170">
        <f t="shared" si="408"/>
        <v>0</v>
      </c>
      <c r="BY285" s="168">
        <f t="shared" si="386"/>
        <v>0</v>
      </c>
      <c r="BZ285" s="171">
        <f t="shared" si="387"/>
        <v>0</v>
      </c>
      <c r="CA285" s="170">
        <f t="shared" si="409"/>
        <v>0</v>
      </c>
      <c r="CB285" s="90">
        <f t="shared" si="388"/>
        <v>0</v>
      </c>
      <c r="CC285" s="171">
        <f t="shared" si="389"/>
        <v>0</v>
      </c>
      <c r="CD285" s="170">
        <f t="shared" si="410"/>
        <v>0</v>
      </c>
      <c r="CE285" s="90">
        <f t="shared" si="390"/>
        <v>0</v>
      </c>
      <c r="CF285" s="171">
        <f t="shared" si="391"/>
        <v>0</v>
      </c>
      <c r="CG285" s="170">
        <f t="shared" si="411"/>
        <v>0</v>
      </c>
      <c r="CH285" s="90">
        <f t="shared" si="392"/>
        <v>0</v>
      </c>
      <c r="CI285" s="171">
        <f t="shared" si="393"/>
        <v>0</v>
      </c>
      <c r="CJ285" s="170">
        <f t="shared" si="412"/>
        <v>0</v>
      </c>
      <c r="CK285" s="90">
        <f t="shared" si="394"/>
        <v>0</v>
      </c>
      <c r="CL285" s="171">
        <f t="shared" si="395"/>
        <v>0</v>
      </c>
      <c r="CM285" s="170">
        <f t="shared" si="413"/>
        <v>0</v>
      </c>
      <c r="CN285" s="90">
        <f t="shared" si="396"/>
        <v>0</v>
      </c>
      <c r="CO285" s="171">
        <f t="shared" si="397"/>
        <v>0</v>
      </c>
      <c r="CP285" s="170">
        <f t="shared" si="414"/>
        <v>0</v>
      </c>
      <c r="CQ285" s="90">
        <f t="shared" si="398"/>
        <v>0</v>
      </c>
      <c r="CR285" s="171">
        <f t="shared" si="399"/>
        <v>0</v>
      </c>
      <c r="CS285" s="170">
        <f t="shared" si="415"/>
        <v>0</v>
      </c>
      <c r="CT285" s="90">
        <f t="shared" si="400"/>
        <v>0</v>
      </c>
      <c r="CU285" s="171">
        <f t="shared" si="401"/>
        <v>0</v>
      </c>
      <c r="CV285" s="170">
        <f t="shared" si="416"/>
        <v>0</v>
      </c>
      <c r="CW285" s="90">
        <f t="shared" si="402"/>
        <v>0</v>
      </c>
      <c r="CX285" s="171">
        <f t="shared" si="403"/>
        <v>0</v>
      </c>
      <c r="CY285" s="170">
        <f t="shared" si="417"/>
        <v>0</v>
      </c>
      <c r="CZ285" s="168">
        <f t="shared" si="418"/>
        <v>0</v>
      </c>
      <c r="DA285" s="172">
        <f t="shared" si="420"/>
        <v>0</v>
      </c>
      <c r="DB285" s="173">
        <f t="shared" si="421"/>
        <v>0</v>
      </c>
      <c r="DC285" s="172">
        <f t="shared" si="422"/>
        <v>0</v>
      </c>
      <c r="DD285" s="172">
        <f t="shared" si="422"/>
        <v>0</v>
      </c>
      <c r="DE285" s="172">
        <f t="shared" si="422"/>
        <v>0</v>
      </c>
      <c r="DF285" s="172">
        <f>IF(DA285-(DE284+CZ285)&lt;0,0,DA285-(DE284+CZ285))</f>
        <v>0</v>
      </c>
      <c r="DG285" s="136"/>
      <c r="DH285" s="136"/>
      <c r="DI285" s="3"/>
      <c r="DJ285" s="8"/>
      <c r="DK285" s="8"/>
      <c r="DL285" s="8"/>
      <c r="DM285" s="8"/>
      <c r="DN285" s="8"/>
      <c r="DO285" s="8"/>
      <c r="DP285" s="8"/>
      <c r="DQ285" s="3"/>
      <c r="DR285" s="8"/>
      <c r="DS285" s="8"/>
      <c r="DT285" s="8"/>
      <c r="DU285" s="8"/>
      <c r="DV285" s="8"/>
      <c r="DW285" s="8"/>
      <c r="DX285" s="8"/>
      <c r="DY285" s="8"/>
      <c r="DZ285" s="8"/>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row>
    <row r="286" spans="1:155" s="566" customFormat="1" ht="15" customHeight="1">
      <c r="A286" s="422"/>
      <c r="B286" s="194" t="s">
        <v>172</v>
      </c>
      <c r="C286" s="310"/>
      <c r="D286" s="27"/>
      <c r="E286" s="429" t="s">
        <v>507</v>
      </c>
      <c r="F286" s="450" t="s">
        <v>233</v>
      </c>
      <c r="G286" s="27"/>
      <c r="H286" s="351"/>
      <c r="I286" s="27"/>
      <c r="J286" s="307"/>
      <c r="K286" s="654"/>
      <c r="L286" s="307"/>
      <c r="M286" s="307"/>
      <c r="N286" s="14" t="s">
        <v>508</v>
      </c>
      <c r="O286" s="14"/>
      <c r="P286" s="14" t="b">
        <f>AND(OR(P283,P284),N280)</f>
        <v>0</v>
      </c>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293"/>
      <c r="AW286" s="14"/>
      <c r="AX286" s="14"/>
      <c r="AY286" s="14"/>
      <c r="AZ286" s="14"/>
      <c r="BA286" s="14"/>
      <c r="BB286" s="14"/>
      <c r="BC286" s="14"/>
      <c r="BD286" s="70"/>
      <c r="BE286" s="165" t="s">
        <v>19</v>
      </c>
      <c r="BF286" s="23">
        <v>22</v>
      </c>
      <c r="BG286" s="23">
        <v>24</v>
      </c>
      <c r="BH286" s="23">
        <v>5</v>
      </c>
      <c r="BI286" s="90" t="b">
        <f t="shared" si="419"/>
        <v>1</v>
      </c>
      <c r="BJ286" s="46" t="b">
        <f t="shared" si="378"/>
        <v>1</v>
      </c>
      <c r="BK286" s="166">
        <f t="shared" si="379"/>
        <v>6.75</v>
      </c>
      <c r="BL286" s="175">
        <f>IF(SUM(BL$263:BL285,BK286)&gt;$BR$4,0,BK286)</f>
        <v>6.75</v>
      </c>
      <c r="BM286" s="23">
        <f t="shared" si="404"/>
        <v>0</v>
      </c>
      <c r="BN286" s="90">
        <f t="shared" si="405"/>
        <v>0</v>
      </c>
      <c r="BO286" s="24">
        <f t="shared" si="424"/>
        <v>0</v>
      </c>
      <c r="BP286" s="349">
        <f t="shared" si="380"/>
        <v>0</v>
      </c>
      <c r="BQ286" s="171">
        <f t="shared" si="381"/>
        <v>0</v>
      </c>
      <c r="BR286" s="170">
        <f t="shared" si="406"/>
        <v>0</v>
      </c>
      <c r="BS286" s="168">
        <f t="shared" si="382"/>
        <v>0</v>
      </c>
      <c r="BT286" s="171">
        <f t="shared" si="383"/>
        <v>0</v>
      </c>
      <c r="BU286" s="170">
        <f t="shared" si="407"/>
        <v>0</v>
      </c>
      <c r="BV286" s="168">
        <f t="shared" si="384"/>
        <v>0</v>
      </c>
      <c r="BW286" s="171">
        <f t="shared" si="385"/>
        <v>0</v>
      </c>
      <c r="BX286" s="170">
        <f t="shared" si="408"/>
        <v>0</v>
      </c>
      <c r="BY286" s="168">
        <f t="shared" si="386"/>
        <v>0</v>
      </c>
      <c r="BZ286" s="171">
        <f t="shared" si="387"/>
        <v>0</v>
      </c>
      <c r="CA286" s="170">
        <f t="shared" si="409"/>
        <v>0</v>
      </c>
      <c r="CB286" s="90">
        <f t="shared" si="388"/>
        <v>0</v>
      </c>
      <c r="CC286" s="171">
        <f t="shared" si="389"/>
        <v>0</v>
      </c>
      <c r="CD286" s="170">
        <f t="shared" si="410"/>
        <v>0</v>
      </c>
      <c r="CE286" s="90">
        <f t="shared" si="390"/>
        <v>0</v>
      </c>
      <c r="CF286" s="171">
        <f t="shared" si="391"/>
        <v>0</v>
      </c>
      <c r="CG286" s="170">
        <f t="shared" si="411"/>
        <v>0</v>
      </c>
      <c r="CH286" s="90">
        <f t="shared" si="392"/>
        <v>0</v>
      </c>
      <c r="CI286" s="171">
        <f t="shared" si="393"/>
        <v>0</v>
      </c>
      <c r="CJ286" s="170">
        <f t="shared" si="412"/>
        <v>0</v>
      </c>
      <c r="CK286" s="90">
        <f t="shared" si="394"/>
        <v>0</v>
      </c>
      <c r="CL286" s="171">
        <f t="shared" si="395"/>
        <v>0</v>
      </c>
      <c r="CM286" s="170">
        <f t="shared" si="413"/>
        <v>0</v>
      </c>
      <c r="CN286" s="90">
        <f t="shared" si="396"/>
        <v>0</v>
      </c>
      <c r="CO286" s="171">
        <f t="shared" si="397"/>
        <v>0</v>
      </c>
      <c r="CP286" s="170">
        <f t="shared" si="414"/>
        <v>0</v>
      </c>
      <c r="CQ286" s="90">
        <f t="shared" si="398"/>
        <v>0</v>
      </c>
      <c r="CR286" s="171">
        <f t="shared" si="399"/>
        <v>0</v>
      </c>
      <c r="CS286" s="170">
        <f t="shared" si="415"/>
        <v>0</v>
      </c>
      <c r="CT286" s="90">
        <f t="shared" si="400"/>
        <v>0</v>
      </c>
      <c r="CU286" s="171">
        <f t="shared" si="401"/>
        <v>0</v>
      </c>
      <c r="CV286" s="170">
        <f t="shared" si="416"/>
        <v>0</v>
      </c>
      <c r="CW286" s="90">
        <f t="shared" si="402"/>
        <v>0</v>
      </c>
      <c r="CX286" s="171">
        <f t="shared" si="403"/>
        <v>0</v>
      </c>
      <c r="CY286" s="170">
        <f t="shared" si="417"/>
        <v>0</v>
      </c>
      <c r="CZ286" s="168">
        <f t="shared" si="418"/>
        <v>0</v>
      </c>
      <c r="DA286" s="172">
        <f t="shared" si="420"/>
        <v>0</v>
      </c>
      <c r="DB286" s="173">
        <f t="shared" si="421"/>
        <v>0</v>
      </c>
      <c r="DC286" s="172">
        <f t="shared" si="422"/>
        <v>0</v>
      </c>
      <c r="DD286" s="172">
        <f t="shared" si="422"/>
        <v>0</v>
      </c>
      <c r="DE286" s="172">
        <f t="shared" si="422"/>
        <v>0</v>
      </c>
      <c r="DF286" s="172">
        <f t="shared" si="423"/>
        <v>0</v>
      </c>
      <c r="DG286" s="447"/>
      <c r="DH286" s="447"/>
      <c r="DI286" s="3"/>
      <c r="DJ286" s="8"/>
      <c r="DK286" s="8"/>
      <c r="DL286" s="8"/>
      <c r="DM286" s="8"/>
      <c r="DN286" s="8"/>
      <c r="DO286" s="8"/>
      <c r="DP286" s="8"/>
      <c r="DQ286" s="3"/>
      <c r="DR286" s="8"/>
      <c r="DS286" s="8"/>
      <c r="DT286" s="8"/>
      <c r="DU286" s="8"/>
      <c r="DV286" s="8"/>
      <c r="DW286" s="8"/>
      <c r="DX286" s="8"/>
      <c r="DY286" s="8"/>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row>
    <row r="287" spans="1:155" s="566" customFormat="1" ht="15" customHeight="1">
      <c r="A287" s="422"/>
      <c r="B287" s="194" t="s">
        <v>177</v>
      </c>
      <c r="C287" s="310"/>
      <c r="D287" s="27"/>
      <c r="E287" s="429" t="s">
        <v>509</v>
      </c>
      <c r="F287" s="450" t="s">
        <v>233</v>
      </c>
      <c r="G287" s="27"/>
      <c r="H287" s="351"/>
      <c r="I287" s="323" t="s">
        <v>168</v>
      </c>
      <c r="J287" s="194"/>
      <c r="K287" s="448">
        <f t="shared" ref="K287:K298" si="425">C285*$G$291/1000*$P$286</f>
        <v>0</v>
      </c>
      <c r="L287" s="307"/>
      <c r="M287" s="307"/>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293"/>
      <c r="AW287" s="14"/>
      <c r="AX287" s="14"/>
      <c r="AY287" s="14"/>
      <c r="AZ287" s="14"/>
      <c r="BA287" s="14"/>
      <c r="BB287" s="14"/>
      <c r="BC287" s="14"/>
      <c r="BD287" s="70"/>
      <c r="BE287" s="165" t="s">
        <v>19</v>
      </c>
      <c r="BF287" s="23">
        <v>22</v>
      </c>
      <c r="BG287" s="23">
        <v>25</v>
      </c>
      <c r="BH287" s="23">
        <v>6</v>
      </c>
      <c r="BI287" s="90" t="b">
        <f t="shared" si="419"/>
        <v>0</v>
      </c>
      <c r="BJ287" s="46" t="b">
        <f t="shared" si="378"/>
        <v>0</v>
      </c>
      <c r="BK287" s="166">
        <f t="shared" si="379"/>
        <v>0</v>
      </c>
      <c r="BL287" s="175">
        <f>IF(SUM(BL$263:BL286,BK287)&gt;$BR$4,0,BK287)</f>
        <v>0</v>
      </c>
      <c r="BM287" s="23">
        <f t="shared" si="404"/>
        <v>0</v>
      </c>
      <c r="BN287" s="90">
        <f t="shared" si="405"/>
        <v>0</v>
      </c>
      <c r="BO287" s="24">
        <f t="shared" si="424"/>
        <v>0</v>
      </c>
      <c r="BP287" s="349">
        <f t="shared" si="380"/>
        <v>0</v>
      </c>
      <c r="BQ287" s="171">
        <f t="shared" si="381"/>
        <v>0</v>
      </c>
      <c r="BR287" s="170">
        <f t="shared" si="406"/>
        <v>0</v>
      </c>
      <c r="BS287" s="168">
        <f t="shared" si="382"/>
        <v>0</v>
      </c>
      <c r="BT287" s="171">
        <f t="shared" si="383"/>
        <v>0</v>
      </c>
      <c r="BU287" s="170">
        <f t="shared" si="407"/>
        <v>0</v>
      </c>
      <c r="BV287" s="168">
        <f t="shared" si="384"/>
        <v>0</v>
      </c>
      <c r="BW287" s="171">
        <f t="shared" si="385"/>
        <v>0</v>
      </c>
      <c r="BX287" s="170">
        <f t="shared" si="408"/>
        <v>0</v>
      </c>
      <c r="BY287" s="168">
        <f t="shared" si="386"/>
        <v>0</v>
      </c>
      <c r="BZ287" s="171">
        <f t="shared" si="387"/>
        <v>0</v>
      </c>
      <c r="CA287" s="170">
        <f t="shared" si="409"/>
        <v>0</v>
      </c>
      <c r="CB287" s="90">
        <f t="shared" si="388"/>
        <v>0</v>
      </c>
      <c r="CC287" s="171">
        <f t="shared" si="389"/>
        <v>0</v>
      </c>
      <c r="CD287" s="170">
        <f t="shared" si="410"/>
        <v>0</v>
      </c>
      <c r="CE287" s="90">
        <f t="shared" si="390"/>
        <v>0</v>
      </c>
      <c r="CF287" s="171">
        <f t="shared" si="391"/>
        <v>0</v>
      </c>
      <c r="CG287" s="170">
        <f t="shared" si="411"/>
        <v>0</v>
      </c>
      <c r="CH287" s="90">
        <f t="shared" si="392"/>
        <v>0</v>
      </c>
      <c r="CI287" s="171">
        <f t="shared" si="393"/>
        <v>0</v>
      </c>
      <c r="CJ287" s="170">
        <f t="shared" si="412"/>
        <v>0</v>
      </c>
      <c r="CK287" s="90">
        <f t="shared" si="394"/>
        <v>0</v>
      </c>
      <c r="CL287" s="171">
        <f t="shared" si="395"/>
        <v>0</v>
      </c>
      <c r="CM287" s="170">
        <f t="shared" si="413"/>
        <v>0</v>
      </c>
      <c r="CN287" s="90">
        <f t="shared" si="396"/>
        <v>0</v>
      </c>
      <c r="CO287" s="171">
        <f t="shared" si="397"/>
        <v>0</v>
      </c>
      <c r="CP287" s="170">
        <f t="shared" si="414"/>
        <v>0</v>
      </c>
      <c r="CQ287" s="90">
        <f t="shared" si="398"/>
        <v>0</v>
      </c>
      <c r="CR287" s="171">
        <f t="shared" si="399"/>
        <v>0</v>
      </c>
      <c r="CS287" s="170">
        <f t="shared" si="415"/>
        <v>0</v>
      </c>
      <c r="CT287" s="90">
        <f t="shared" si="400"/>
        <v>0</v>
      </c>
      <c r="CU287" s="171">
        <f t="shared" si="401"/>
        <v>0</v>
      </c>
      <c r="CV287" s="170">
        <f t="shared" si="416"/>
        <v>0</v>
      </c>
      <c r="CW287" s="90">
        <f t="shared" si="402"/>
        <v>0</v>
      </c>
      <c r="CX287" s="171">
        <f t="shared" si="403"/>
        <v>0</v>
      </c>
      <c r="CY287" s="170">
        <f t="shared" si="417"/>
        <v>0</v>
      </c>
      <c r="CZ287" s="168">
        <f t="shared" si="418"/>
        <v>0</v>
      </c>
      <c r="DA287" s="172">
        <f t="shared" si="420"/>
        <v>0</v>
      </c>
      <c r="DB287" s="173">
        <f t="shared" si="421"/>
        <v>0</v>
      </c>
      <c r="DC287" s="172">
        <f t="shared" si="422"/>
        <v>0</v>
      </c>
      <c r="DD287" s="172">
        <f t="shared" si="422"/>
        <v>0</v>
      </c>
      <c r="DE287" s="172">
        <f t="shared" si="422"/>
        <v>0</v>
      </c>
      <c r="DF287" s="172">
        <f t="shared" si="423"/>
        <v>0</v>
      </c>
      <c r="DG287" s="136"/>
      <c r="DH287" s="136"/>
      <c r="DI287" s="3"/>
      <c r="DJ287" s="8"/>
      <c r="DK287" s="8"/>
      <c r="DL287" s="8"/>
      <c r="DM287" s="8"/>
      <c r="DN287" s="8"/>
      <c r="DO287" s="8"/>
      <c r="DP287" s="8"/>
      <c r="DQ287" s="3"/>
      <c r="DR287" s="8"/>
      <c r="DS287" s="8"/>
      <c r="DT287" s="8"/>
      <c r="DU287" s="8"/>
      <c r="DV287" s="8"/>
      <c r="DW287" s="8"/>
      <c r="DX287" s="8"/>
      <c r="DY287" s="8"/>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row>
    <row r="288" spans="1:155" s="566" customFormat="1" ht="15" customHeight="1">
      <c r="A288" s="422"/>
      <c r="B288" s="194" t="s">
        <v>180</v>
      </c>
      <c r="C288" s="310"/>
      <c r="D288" s="27"/>
      <c r="E288" s="429" t="s">
        <v>510</v>
      </c>
      <c r="F288" s="450" t="s">
        <v>417</v>
      </c>
      <c r="G288" s="27"/>
      <c r="H288" s="351"/>
      <c r="I288" s="323" t="s">
        <v>172</v>
      </c>
      <c r="J288" s="194"/>
      <c r="K288" s="448">
        <f t="shared" si="425"/>
        <v>0</v>
      </c>
      <c r="L288" s="307"/>
      <c r="M288" s="307"/>
      <c r="N288" s="14"/>
      <c r="O288" s="14"/>
      <c r="P288" s="14"/>
      <c r="Q288" s="14" t="s">
        <v>511</v>
      </c>
      <c r="R288" s="14"/>
      <c r="S288" s="14" t="s">
        <v>512</v>
      </c>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293"/>
      <c r="AW288" s="14"/>
      <c r="AX288" s="14"/>
      <c r="AY288" s="14"/>
      <c r="AZ288" s="14"/>
      <c r="BA288" s="14"/>
      <c r="BB288" s="14"/>
      <c r="BC288" s="14"/>
      <c r="BD288" s="70"/>
      <c r="BE288" s="165" t="s">
        <v>19</v>
      </c>
      <c r="BF288" s="23">
        <v>22</v>
      </c>
      <c r="BG288" s="23">
        <v>26</v>
      </c>
      <c r="BH288" s="23">
        <v>7</v>
      </c>
      <c r="BI288" s="90" t="b">
        <f t="shared" si="419"/>
        <v>0</v>
      </c>
      <c r="BJ288" s="46" t="b">
        <f t="shared" si="378"/>
        <v>0</v>
      </c>
      <c r="BK288" s="166">
        <f t="shared" si="379"/>
        <v>0</v>
      </c>
      <c r="BL288" s="175">
        <f>IF(SUM(BL$263:BL287,BK288)&gt;$BR$4,0,BK288)</f>
        <v>0</v>
      </c>
      <c r="BM288" s="23">
        <f t="shared" si="404"/>
        <v>0</v>
      </c>
      <c r="BN288" s="90">
        <f t="shared" si="405"/>
        <v>0</v>
      </c>
      <c r="BO288" s="24">
        <f t="shared" si="424"/>
        <v>0</v>
      </c>
      <c r="BP288" s="349">
        <f t="shared" si="380"/>
        <v>0</v>
      </c>
      <c r="BQ288" s="171">
        <f t="shared" si="381"/>
        <v>0</v>
      </c>
      <c r="BR288" s="170">
        <f t="shared" si="406"/>
        <v>0</v>
      </c>
      <c r="BS288" s="168">
        <f t="shared" si="382"/>
        <v>0</v>
      </c>
      <c r="BT288" s="171">
        <f t="shared" si="383"/>
        <v>0</v>
      </c>
      <c r="BU288" s="170">
        <f t="shared" si="407"/>
        <v>0</v>
      </c>
      <c r="BV288" s="168">
        <f t="shared" si="384"/>
        <v>0</v>
      </c>
      <c r="BW288" s="171">
        <f t="shared" si="385"/>
        <v>0</v>
      </c>
      <c r="BX288" s="170">
        <f t="shared" si="408"/>
        <v>0</v>
      </c>
      <c r="BY288" s="168">
        <f t="shared" si="386"/>
        <v>0</v>
      </c>
      <c r="BZ288" s="171">
        <f t="shared" si="387"/>
        <v>0</v>
      </c>
      <c r="CA288" s="170">
        <f t="shared" si="409"/>
        <v>0</v>
      </c>
      <c r="CB288" s="90">
        <f t="shared" si="388"/>
        <v>0</v>
      </c>
      <c r="CC288" s="171">
        <f t="shared" si="389"/>
        <v>0</v>
      </c>
      <c r="CD288" s="170">
        <f t="shared" si="410"/>
        <v>0</v>
      </c>
      <c r="CE288" s="90">
        <f t="shared" si="390"/>
        <v>0</v>
      </c>
      <c r="CF288" s="171">
        <f t="shared" si="391"/>
        <v>0</v>
      </c>
      <c r="CG288" s="170">
        <f t="shared" si="411"/>
        <v>0</v>
      </c>
      <c r="CH288" s="90">
        <f t="shared" si="392"/>
        <v>0</v>
      </c>
      <c r="CI288" s="171">
        <f t="shared" si="393"/>
        <v>0</v>
      </c>
      <c r="CJ288" s="170">
        <f t="shared" si="412"/>
        <v>0</v>
      </c>
      <c r="CK288" s="90">
        <f t="shared" si="394"/>
        <v>0</v>
      </c>
      <c r="CL288" s="171">
        <f t="shared" si="395"/>
        <v>0</v>
      </c>
      <c r="CM288" s="170">
        <f t="shared" si="413"/>
        <v>0</v>
      </c>
      <c r="CN288" s="90">
        <f t="shared" si="396"/>
        <v>0</v>
      </c>
      <c r="CO288" s="171">
        <f t="shared" si="397"/>
        <v>0</v>
      </c>
      <c r="CP288" s="170">
        <f t="shared" si="414"/>
        <v>0</v>
      </c>
      <c r="CQ288" s="90">
        <f t="shared" si="398"/>
        <v>0</v>
      </c>
      <c r="CR288" s="171">
        <f t="shared" si="399"/>
        <v>0</v>
      </c>
      <c r="CS288" s="170">
        <f t="shared" si="415"/>
        <v>0</v>
      </c>
      <c r="CT288" s="90">
        <f t="shared" si="400"/>
        <v>0</v>
      </c>
      <c r="CU288" s="171">
        <f t="shared" si="401"/>
        <v>0</v>
      </c>
      <c r="CV288" s="170">
        <f t="shared" si="416"/>
        <v>0</v>
      </c>
      <c r="CW288" s="90">
        <f t="shared" si="402"/>
        <v>0</v>
      </c>
      <c r="CX288" s="171">
        <f t="shared" si="403"/>
        <v>0</v>
      </c>
      <c r="CY288" s="170">
        <f t="shared" si="417"/>
        <v>0</v>
      </c>
      <c r="CZ288" s="168">
        <f t="shared" si="418"/>
        <v>0</v>
      </c>
      <c r="DA288" s="172">
        <f t="shared" si="420"/>
        <v>0</v>
      </c>
      <c r="DB288" s="173">
        <f t="shared" si="421"/>
        <v>0</v>
      </c>
      <c r="DC288" s="172">
        <f t="shared" si="422"/>
        <v>0</v>
      </c>
      <c r="DD288" s="172">
        <f t="shared" si="422"/>
        <v>0</v>
      </c>
      <c r="DE288" s="172">
        <f t="shared" si="422"/>
        <v>0</v>
      </c>
      <c r="DF288" s="172">
        <f t="shared" si="423"/>
        <v>0</v>
      </c>
      <c r="DG288" s="136"/>
      <c r="DH288" s="136"/>
      <c r="DI288" s="3"/>
      <c r="DJ288" s="8"/>
      <c r="DK288" s="8"/>
      <c r="DL288" s="8"/>
      <c r="DM288" s="8"/>
      <c r="DN288" s="8"/>
      <c r="DO288" s="8"/>
      <c r="DP288" s="8"/>
      <c r="DQ288" s="3"/>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row>
    <row r="289" spans="1:155" s="566" customFormat="1" ht="15" customHeight="1">
      <c r="A289" s="422"/>
      <c r="B289" s="194" t="s">
        <v>15</v>
      </c>
      <c r="C289" s="310"/>
      <c r="D289" s="27"/>
      <c r="E289" s="27"/>
      <c r="F289" s="27"/>
      <c r="G289" s="27"/>
      <c r="H289" s="27"/>
      <c r="I289" s="323" t="s">
        <v>177</v>
      </c>
      <c r="J289" s="194"/>
      <c r="K289" s="448">
        <f t="shared" si="425"/>
        <v>0</v>
      </c>
      <c r="L289" s="307"/>
      <c r="M289" s="307"/>
      <c r="N289" s="14" t="s">
        <v>236</v>
      </c>
      <c r="O289" s="14"/>
      <c r="P289" s="14">
        <f>1-(F285="None")</f>
        <v>1</v>
      </c>
      <c r="Q289" s="14">
        <f>VLOOKUP(F285,DJ292:DN296,5,FALSE)</f>
        <v>0.84000000000000008</v>
      </c>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293"/>
      <c r="AW289" s="14"/>
      <c r="AX289" s="14"/>
      <c r="AY289" s="14"/>
      <c r="AZ289" s="14"/>
      <c r="BA289" s="14"/>
      <c r="BB289" s="14"/>
      <c r="BC289" s="14"/>
      <c r="BD289" s="70"/>
      <c r="BE289" s="165" t="s">
        <v>19</v>
      </c>
      <c r="BF289" s="23">
        <v>22</v>
      </c>
      <c r="BG289" s="23">
        <v>27</v>
      </c>
      <c r="BH289" s="23">
        <v>1</v>
      </c>
      <c r="BI289" s="90" t="b">
        <f t="shared" si="419"/>
        <v>1</v>
      </c>
      <c r="BJ289" s="46" t="b">
        <f t="shared" si="378"/>
        <v>0</v>
      </c>
      <c r="BK289" s="166">
        <f t="shared" si="379"/>
        <v>0</v>
      </c>
      <c r="BL289" s="175">
        <f>IF(SUM(BL$263:BL288,BK289)&gt;$BR$4,0,BK289)</f>
        <v>0</v>
      </c>
      <c r="BM289" s="23">
        <f t="shared" si="404"/>
        <v>0</v>
      </c>
      <c r="BN289" s="90">
        <f t="shared" si="405"/>
        <v>0</v>
      </c>
      <c r="BO289" s="24">
        <f t="shared" si="424"/>
        <v>0</v>
      </c>
      <c r="BP289" s="349">
        <f t="shared" si="380"/>
        <v>0</v>
      </c>
      <c r="BQ289" s="171">
        <f t="shared" si="381"/>
        <v>0</v>
      </c>
      <c r="BR289" s="170">
        <f t="shared" si="406"/>
        <v>0</v>
      </c>
      <c r="BS289" s="168">
        <f t="shared" si="382"/>
        <v>0</v>
      </c>
      <c r="BT289" s="171">
        <f t="shared" si="383"/>
        <v>0</v>
      </c>
      <c r="BU289" s="170">
        <f t="shared" si="407"/>
        <v>0</v>
      </c>
      <c r="BV289" s="168">
        <f t="shared" si="384"/>
        <v>0</v>
      </c>
      <c r="BW289" s="171">
        <f t="shared" si="385"/>
        <v>0</v>
      </c>
      <c r="BX289" s="170">
        <f t="shared" si="408"/>
        <v>0</v>
      </c>
      <c r="BY289" s="168">
        <f t="shared" si="386"/>
        <v>0</v>
      </c>
      <c r="BZ289" s="171">
        <f t="shared" si="387"/>
        <v>0</v>
      </c>
      <c r="CA289" s="170">
        <f t="shared" si="409"/>
        <v>0</v>
      </c>
      <c r="CB289" s="90">
        <f t="shared" si="388"/>
        <v>0</v>
      </c>
      <c r="CC289" s="171">
        <f t="shared" si="389"/>
        <v>0</v>
      </c>
      <c r="CD289" s="170">
        <f t="shared" si="410"/>
        <v>0</v>
      </c>
      <c r="CE289" s="90">
        <f t="shared" si="390"/>
        <v>0</v>
      </c>
      <c r="CF289" s="171">
        <f t="shared" si="391"/>
        <v>0</v>
      </c>
      <c r="CG289" s="170">
        <f t="shared" si="411"/>
        <v>0</v>
      </c>
      <c r="CH289" s="90">
        <f t="shared" si="392"/>
        <v>0</v>
      </c>
      <c r="CI289" s="171">
        <f t="shared" si="393"/>
        <v>0</v>
      </c>
      <c r="CJ289" s="170">
        <f t="shared" si="412"/>
        <v>0</v>
      </c>
      <c r="CK289" s="90">
        <f t="shared" si="394"/>
        <v>0</v>
      </c>
      <c r="CL289" s="171">
        <f t="shared" si="395"/>
        <v>0</v>
      </c>
      <c r="CM289" s="170">
        <f t="shared" si="413"/>
        <v>0</v>
      </c>
      <c r="CN289" s="90">
        <f t="shared" si="396"/>
        <v>0</v>
      </c>
      <c r="CO289" s="171">
        <f t="shared" si="397"/>
        <v>0</v>
      </c>
      <c r="CP289" s="170">
        <f t="shared" si="414"/>
        <v>0</v>
      </c>
      <c r="CQ289" s="90">
        <f t="shared" si="398"/>
        <v>0</v>
      </c>
      <c r="CR289" s="171">
        <f t="shared" si="399"/>
        <v>0</v>
      </c>
      <c r="CS289" s="170">
        <f t="shared" si="415"/>
        <v>0</v>
      </c>
      <c r="CT289" s="90">
        <f t="shared" si="400"/>
        <v>0</v>
      </c>
      <c r="CU289" s="171">
        <f t="shared" si="401"/>
        <v>0</v>
      </c>
      <c r="CV289" s="170">
        <f t="shared" si="416"/>
        <v>0</v>
      </c>
      <c r="CW289" s="90">
        <f t="shared" si="402"/>
        <v>0</v>
      </c>
      <c r="CX289" s="171">
        <f t="shared" si="403"/>
        <v>0</v>
      </c>
      <c r="CY289" s="170">
        <f t="shared" si="417"/>
        <v>0</v>
      </c>
      <c r="CZ289" s="168">
        <f t="shared" si="418"/>
        <v>0</v>
      </c>
      <c r="DA289" s="172">
        <f t="shared" si="420"/>
        <v>0</v>
      </c>
      <c r="DB289" s="173">
        <f t="shared" si="421"/>
        <v>0</v>
      </c>
      <c r="DC289" s="172">
        <f t="shared" si="422"/>
        <v>0</v>
      </c>
      <c r="DD289" s="172">
        <f t="shared" si="422"/>
        <v>0</v>
      </c>
      <c r="DE289" s="172">
        <f t="shared" si="422"/>
        <v>0</v>
      </c>
      <c r="DF289" s="172">
        <f t="shared" si="423"/>
        <v>0</v>
      </c>
      <c r="DG289" s="136"/>
      <c r="DH289" s="136"/>
      <c r="DI289" s="3"/>
      <c r="DJ289" s="382" t="s">
        <v>513</v>
      </c>
      <c r="DK289" s="415"/>
      <c r="DL289" s="415"/>
      <c r="DM289" s="8"/>
      <c r="DN289" s="8"/>
      <c r="DO289" s="8"/>
      <c r="DP289" s="8"/>
      <c r="DQ289" s="3"/>
      <c r="DR289" s="8"/>
      <c r="DS289" s="8"/>
      <c r="DT289" s="8"/>
      <c r="DU289" s="8"/>
      <c r="DV289" s="8"/>
      <c r="DW289" s="8"/>
      <c r="DX289" s="8"/>
      <c r="DY289" s="8"/>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row>
    <row r="290" spans="1:155" s="566" customFormat="1" ht="15" customHeight="1">
      <c r="A290" s="422"/>
      <c r="B290" s="194" t="s">
        <v>185</v>
      </c>
      <c r="C290" s="310"/>
      <c r="D290" s="27"/>
      <c r="E290" s="662" t="s">
        <v>36</v>
      </c>
      <c r="F290" s="662"/>
      <c r="G290" s="322"/>
      <c r="H290" s="27"/>
      <c r="I290" s="323" t="s">
        <v>180</v>
      </c>
      <c r="J290" s="194"/>
      <c r="K290" s="448">
        <f t="shared" si="425"/>
        <v>0</v>
      </c>
      <c r="L290" s="307"/>
      <c r="M290" s="307"/>
      <c r="N290" s="14" t="s">
        <v>514</v>
      </c>
      <c r="O290" s="14"/>
      <c r="P290" s="14" t="b">
        <f>F286="Yes"</f>
        <v>1</v>
      </c>
      <c r="Q290" s="14">
        <f>P290*DN297</f>
        <v>4</v>
      </c>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293"/>
      <c r="AW290" s="14"/>
      <c r="AX290" s="14"/>
      <c r="AY290" s="14"/>
      <c r="AZ290" s="14"/>
      <c r="BA290" s="14"/>
      <c r="BB290" s="14"/>
      <c r="BC290" s="14"/>
      <c r="BD290" s="70"/>
      <c r="BE290" s="165" t="s">
        <v>19</v>
      </c>
      <c r="BF290" s="23">
        <v>22</v>
      </c>
      <c r="BG290" s="23">
        <v>28</v>
      </c>
      <c r="BH290" s="23">
        <v>2</v>
      </c>
      <c r="BI290" s="90" t="b">
        <f t="shared" si="419"/>
        <v>1</v>
      </c>
      <c r="BJ290" s="46" t="b">
        <f t="shared" si="378"/>
        <v>0</v>
      </c>
      <c r="BK290" s="166">
        <f t="shared" si="379"/>
        <v>0</v>
      </c>
      <c r="BL290" s="175">
        <f>IF(SUM(BL$263:BL289,BK290)&gt;$BR$4,0,BK290)</f>
        <v>0</v>
      </c>
      <c r="BM290" s="23">
        <f t="shared" si="404"/>
        <v>0</v>
      </c>
      <c r="BN290" s="90">
        <f t="shared" si="405"/>
        <v>0</v>
      </c>
      <c r="BO290" s="24">
        <f t="shared" si="424"/>
        <v>0</v>
      </c>
      <c r="BP290" s="349">
        <f t="shared" si="380"/>
        <v>0</v>
      </c>
      <c r="BQ290" s="171">
        <f t="shared" si="381"/>
        <v>0</v>
      </c>
      <c r="BR290" s="170">
        <f t="shared" si="406"/>
        <v>0</v>
      </c>
      <c r="BS290" s="168">
        <f t="shared" si="382"/>
        <v>0</v>
      </c>
      <c r="BT290" s="171">
        <f t="shared" si="383"/>
        <v>0</v>
      </c>
      <c r="BU290" s="170">
        <f t="shared" si="407"/>
        <v>0</v>
      </c>
      <c r="BV290" s="168">
        <f t="shared" si="384"/>
        <v>0</v>
      </c>
      <c r="BW290" s="171">
        <f t="shared" si="385"/>
        <v>0</v>
      </c>
      <c r="BX290" s="170">
        <f t="shared" si="408"/>
        <v>0</v>
      </c>
      <c r="BY290" s="168">
        <f t="shared" si="386"/>
        <v>0</v>
      </c>
      <c r="BZ290" s="171">
        <f t="shared" si="387"/>
        <v>0</v>
      </c>
      <c r="CA290" s="170">
        <f t="shared" si="409"/>
        <v>0</v>
      </c>
      <c r="CB290" s="90">
        <f t="shared" si="388"/>
        <v>0</v>
      </c>
      <c r="CC290" s="171">
        <f t="shared" si="389"/>
        <v>0</v>
      </c>
      <c r="CD290" s="170">
        <f t="shared" si="410"/>
        <v>0</v>
      </c>
      <c r="CE290" s="90">
        <f t="shared" si="390"/>
        <v>0</v>
      </c>
      <c r="CF290" s="171">
        <f t="shared" si="391"/>
        <v>0</v>
      </c>
      <c r="CG290" s="170">
        <f t="shared" si="411"/>
        <v>0</v>
      </c>
      <c r="CH290" s="90">
        <f t="shared" si="392"/>
        <v>0</v>
      </c>
      <c r="CI290" s="171">
        <f t="shared" si="393"/>
        <v>0</v>
      </c>
      <c r="CJ290" s="170">
        <f t="shared" si="412"/>
        <v>0</v>
      </c>
      <c r="CK290" s="90">
        <f t="shared" si="394"/>
        <v>0</v>
      </c>
      <c r="CL290" s="171">
        <f t="shared" si="395"/>
        <v>0</v>
      </c>
      <c r="CM290" s="170">
        <f t="shared" si="413"/>
        <v>0</v>
      </c>
      <c r="CN290" s="90">
        <f t="shared" si="396"/>
        <v>0</v>
      </c>
      <c r="CO290" s="171">
        <f t="shared" si="397"/>
        <v>0</v>
      </c>
      <c r="CP290" s="170">
        <f t="shared" si="414"/>
        <v>0</v>
      </c>
      <c r="CQ290" s="90">
        <f t="shared" si="398"/>
        <v>0</v>
      </c>
      <c r="CR290" s="171">
        <f t="shared" si="399"/>
        <v>0</v>
      </c>
      <c r="CS290" s="170">
        <f t="shared" si="415"/>
        <v>0</v>
      </c>
      <c r="CT290" s="90">
        <f t="shared" si="400"/>
        <v>0</v>
      </c>
      <c r="CU290" s="171">
        <f t="shared" si="401"/>
        <v>0</v>
      </c>
      <c r="CV290" s="170">
        <f t="shared" si="416"/>
        <v>0</v>
      </c>
      <c r="CW290" s="90">
        <f t="shared" si="402"/>
        <v>0</v>
      </c>
      <c r="CX290" s="171">
        <f t="shared" si="403"/>
        <v>0</v>
      </c>
      <c r="CY290" s="170">
        <f t="shared" si="417"/>
        <v>0</v>
      </c>
      <c r="CZ290" s="168">
        <f t="shared" si="418"/>
        <v>0</v>
      </c>
      <c r="DA290" s="172">
        <f t="shared" si="420"/>
        <v>0</v>
      </c>
      <c r="DB290" s="173">
        <f t="shared" si="421"/>
        <v>0</v>
      </c>
      <c r="DC290" s="172">
        <f t="shared" si="422"/>
        <v>0</v>
      </c>
      <c r="DD290" s="172">
        <f t="shared" si="422"/>
        <v>0</v>
      </c>
      <c r="DE290" s="172">
        <f t="shared" si="422"/>
        <v>0</v>
      </c>
      <c r="DF290" s="172">
        <f t="shared" si="423"/>
        <v>0</v>
      </c>
      <c r="DG290" s="136"/>
      <c r="DH290" s="136"/>
      <c r="DI290" s="3"/>
      <c r="DJ290" s="449"/>
      <c r="DK290" s="652" t="s">
        <v>515</v>
      </c>
      <c r="DL290" s="653"/>
      <c r="DM290" s="382" t="s">
        <v>516</v>
      </c>
      <c r="DN290" s="382" t="s">
        <v>517</v>
      </c>
      <c r="DO290" s="8"/>
      <c r="DP290" s="8"/>
      <c r="DQ290" s="3"/>
      <c r="DR290" s="8"/>
      <c r="DS290" s="8"/>
      <c r="DT290" s="8"/>
      <c r="DU290" s="8"/>
      <c r="DV290" s="8"/>
      <c r="DW290" s="8"/>
      <c r="DX290" s="8"/>
      <c r="DY290" s="8"/>
      <c r="DZ290" s="8"/>
      <c r="EA290" s="8"/>
      <c r="EB290" s="8"/>
      <c r="EC290" s="8"/>
      <c r="ED290" s="8"/>
      <c r="EE290" s="8"/>
      <c r="EF290" s="8"/>
      <c r="EG290" s="8"/>
      <c r="EH290" s="8"/>
      <c r="EI290" s="8"/>
      <c r="EJ290" s="8"/>
      <c r="EK290" s="8"/>
      <c r="EL290" s="8"/>
      <c r="EM290" s="8"/>
      <c r="EN290" s="8"/>
      <c r="EO290" s="8"/>
      <c r="EP290" s="8"/>
      <c r="EQ290" s="8"/>
      <c r="ER290" s="8"/>
      <c r="ES290" s="8"/>
      <c r="ET290" s="8"/>
      <c r="EU290" s="8"/>
      <c r="EV290" s="8"/>
      <c r="EW290" s="8"/>
      <c r="EX290" s="8"/>
      <c r="EY290" s="8"/>
    </row>
    <row r="291" spans="1:155" s="566" customFormat="1" ht="15" customHeight="1">
      <c r="A291" s="422"/>
      <c r="B291" s="194" t="s">
        <v>186</v>
      </c>
      <c r="C291" s="310"/>
      <c r="D291" s="27"/>
      <c r="E291" s="655" t="s">
        <v>518</v>
      </c>
      <c r="F291" s="655"/>
      <c r="G291" s="450">
        <f>SUM(Q289:Q292)</f>
        <v>7.24</v>
      </c>
      <c r="H291" s="27"/>
      <c r="I291" s="323" t="s">
        <v>15</v>
      </c>
      <c r="J291" s="194"/>
      <c r="K291" s="448">
        <f t="shared" si="425"/>
        <v>0</v>
      </c>
      <c r="L291" s="307"/>
      <c r="M291" s="307"/>
      <c r="N291" s="14" t="s">
        <v>519</v>
      </c>
      <c r="O291" s="14"/>
      <c r="P291" s="14" t="b">
        <f>F287="Yes"</f>
        <v>1</v>
      </c>
      <c r="Q291" s="14">
        <f>P291*DN298</f>
        <v>2.4</v>
      </c>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293"/>
      <c r="AW291" s="14"/>
      <c r="AX291" s="14"/>
      <c r="AY291" s="14"/>
      <c r="AZ291" s="14"/>
      <c r="BA291" s="14"/>
      <c r="BB291" s="14"/>
      <c r="BC291" s="14"/>
      <c r="BD291" s="70"/>
      <c r="BE291" s="165" t="s">
        <v>19</v>
      </c>
      <c r="BF291" s="23">
        <v>22</v>
      </c>
      <c r="BG291" s="23">
        <v>29</v>
      </c>
      <c r="BH291" s="23">
        <v>3</v>
      </c>
      <c r="BI291" s="90" t="b">
        <f t="shared" si="419"/>
        <v>1</v>
      </c>
      <c r="BJ291" s="46" t="b">
        <f t="shared" si="378"/>
        <v>0</v>
      </c>
      <c r="BK291" s="166">
        <f t="shared" si="379"/>
        <v>0</v>
      </c>
      <c r="BL291" s="175">
        <f>IF(SUM(BL$263:BL290,BK291)&gt;$BR$4,0,BK291)</f>
        <v>0</v>
      </c>
      <c r="BM291" s="23">
        <f t="shared" si="404"/>
        <v>0</v>
      </c>
      <c r="BN291" s="90">
        <f t="shared" si="405"/>
        <v>0</v>
      </c>
      <c r="BO291" s="24">
        <f t="shared" si="424"/>
        <v>0</v>
      </c>
      <c r="BP291" s="349">
        <f t="shared" si="380"/>
        <v>0</v>
      </c>
      <c r="BQ291" s="171">
        <f t="shared" si="381"/>
        <v>0</v>
      </c>
      <c r="BR291" s="170">
        <f t="shared" si="406"/>
        <v>0</v>
      </c>
      <c r="BS291" s="168">
        <f t="shared" si="382"/>
        <v>0</v>
      </c>
      <c r="BT291" s="171">
        <f t="shared" si="383"/>
        <v>0</v>
      </c>
      <c r="BU291" s="170">
        <f t="shared" si="407"/>
        <v>0</v>
      </c>
      <c r="BV291" s="168">
        <f t="shared" si="384"/>
        <v>0</v>
      </c>
      <c r="BW291" s="171">
        <f t="shared" si="385"/>
        <v>0</v>
      </c>
      <c r="BX291" s="170">
        <f t="shared" si="408"/>
        <v>0</v>
      </c>
      <c r="BY291" s="168">
        <f t="shared" si="386"/>
        <v>0</v>
      </c>
      <c r="BZ291" s="171">
        <f t="shared" si="387"/>
        <v>0</v>
      </c>
      <c r="CA291" s="170">
        <f t="shared" si="409"/>
        <v>0</v>
      </c>
      <c r="CB291" s="90">
        <f t="shared" si="388"/>
        <v>0</v>
      </c>
      <c r="CC291" s="171">
        <f t="shared" si="389"/>
        <v>0</v>
      </c>
      <c r="CD291" s="170">
        <f t="shared" si="410"/>
        <v>0</v>
      </c>
      <c r="CE291" s="90">
        <f t="shared" si="390"/>
        <v>0</v>
      </c>
      <c r="CF291" s="171">
        <f t="shared" si="391"/>
        <v>0</v>
      </c>
      <c r="CG291" s="170">
        <f t="shared" si="411"/>
        <v>0</v>
      </c>
      <c r="CH291" s="90">
        <f t="shared" si="392"/>
        <v>0</v>
      </c>
      <c r="CI291" s="171">
        <f t="shared" si="393"/>
        <v>0</v>
      </c>
      <c r="CJ291" s="170">
        <f t="shared" si="412"/>
        <v>0</v>
      </c>
      <c r="CK291" s="90">
        <f t="shared" si="394"/>
        <v>0</v>
      </c>
      <c r="CL291" s="171">
        <f t="shared" si="395"/>
        <v>0</v>
      </c>
      <c r="CM291" s="170">
        <f t="shared" si="413"/>
        <v>0</v>
      </c>
      <c r="CN291" s="90">
        <f t="shared" si="396"/>
        <v>0</v>
      </c>
      <c r="CO291" s="171">
        <f t="shared" si="397"/>
        <v>0</v>
      </c>
      <c r="CP291" s="170">
        <f t="shared" si="414"/>
        <v>0</v>
      </c>
      <c r="CQ291" s="90">
        <f t="shared" si="398"/>
        <v>0</v>
      </c>
      <c r="CR291" s="171">
        <f t="shared" si="399"/>
        <v>0</v>
      </c>
      <c r="CS291" s="170">
        <f t="shared" si="415"/>
        <v>0</v>
      </c>
      <c r="CT291" s="90">
        <f t="shared" si="400"/>
        <v>0</v>
      </c>
      <c r="CU291" s="171">
        <f t="shared" si="401"/>
        <v>0</v>
      </c>
      <c r="CV291" s="170">
        <f t="shared" si="416"/>
        <v>0</v>
      </c>
      <c r="CW291" s="90">
        <f t="shared" si="402"/>
        <v>0</v>
      </c>
      <c r="CX291" s="171">
        <f t="shared" si="403"/>
        <v>0</v>
      </c>
      <c r="CY291" s="170">
        <f t="shared" si="417"/>
        <v>0</v>
      </c>
      <c r="CZ291" s="168">
        <f t="shared" si="418"/>
        <v>0</v>
      </c>
      <c r="DA291" s="172">
        <f t="shared" si="420"/>
        <v>0</v>
      </c>
      <c r="DB291" s="173">
        <f t="shared" si="421"/>
        <v>0</v>
      </c>
      <c r="DC291" s="172">
        <f t="shared" si="422"/>
        <v>0</v>
      </c>
      <c r="DD291" s="172">
        <f t="shared" si="422"/>
        <v>0</v>
      </c>
      <c r="DE291" s="172">
        <f t="shared" si="422"/>
        <v>0</v>
      </c>
      <c r="DF291" s="172">
        <f t="shared" si="423"/>
        <v>0</v>
      </c>
      <c r="DG291" s="136"/>
      <c r="DH291" s="136"/>
      <c r="DI291" s="3"/>
      <c r="DJ291" s="451" t="s">
        <v>505</v>
      </c>
      <c r="DK291" s="452"/>
      <c r="DL291" s="452"/>
      <c r="DM291" s="452"/>
      <c r="DN291" s="452"/>
      <c r="DO291" s="8"/>
      <c r="DP291" s="8"/>
      <c r="DQ291" s="3"/>
      <c r="DR291" s="8"/>
      <c r="DS291" s="8"/>
      <c r="DT291" s="8"/>
      <c r="DU291" s="8"/>
      <c r="DV291" s="8"/>
      <c r="DW291" s="8"/>
      <c r="DX291" s="8"/>
      <c r="DY291" s="8"/>
      <c r="DZ291" s="8"/>
      <c r="EA291" s="8"/>
      <c r="EB291" s="8"/>
      <c r="EC291" s="8"/>
      <c r="ED291" s="8"/>
      <c r="EE291" s="8"/>
      <c r="EF291" s="8"/>
      <c r="EG291" s="8"/>
      <c r="EH291" s="8"/>
      <c r="EI291" s="8"/>
      <c r="EJ291" s="8"/>
      <c r="EK291" s="8"/>
      <c r="EL291" s="8"/>
      <c r="EM291" s="8"/>
      <c r="EN291" s="8"/>
      <c r="EO291" s="8"/>
      <c r="EP291" s="8"/>
      <c r="EQ291" s="8"/>
      <c r="ER291" s="8"/>
      <c r="ES291" s="8"/>
      <c r="ET291" s="8"/>
      <c r="EU291" s="8"/>
      <c r="EV291" s="8"/>
      <c r="EW291" s="8"/>
      <c r="EX291" s="8"/>
      <c r="EY291" s="8"/>
    </row>
    <row r="292" spans="1:155" s="566" customFormat="1" ht="15" customHeight="1">
      <c r="A292" s="422"/>
      <c r="B292" s="194" t="s">
        <v>187</v>
      </c>
      <c r="C292" s="310"/>
      <c r="D292" s="27"/>
      <c r="E292" s="655" t="s">
        <v>486</v>
      </c>
      <c r="F292" s="656"/>
      <c r="G292" s="195">
        <f>SUM(D337:D344)</f>
        <v>0</v>
      </c>
      <c r="H292" s="27"/>
      <c r="I292" s="323" t="s">
        <v>185</v>
      </c>
      <c r="J292" s="194"/>
      <c r="K292" s="448">
        <f t="shared" si="425"/>
        <v>0</v>
      </c>
      <c r="L292" s="307"/>
      <c r="M292" s="307"/>
      <c r="N292" s="14" t="s">
        <v>520</v>
      </c>
      <c r="O292" s="14"/>
      <c r="P292" s="14" t="b">
        <f>F288="Yes"</f>
        <v>0</v>
      </c>
      <c r="Q292" s="14">
        <f>P292*DN299</f>
        <v>0</v>
      </c>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293"/>
      <c r="AW292" s="14"/>
      <c r="AX292" s="14"/>
      <c r="AY292" s="14"/>
      <c r="AZ292" s="14"/>
      <c r="BA292" s="14"/>
      <c r="BB292" s="14"/>
      <c r="BC292" s="14"/>
      <c r="BD292" s="70"/>
      <c r="BE292" s="165" t="s">
        <v>19</v>
      </c>
      <c r="BF292" s="23">
        <v>22</v>
      </c>
      <c r="BG292" s="23">
        <v>30</v>
      </c>
      <c r="BH292" s="23">
        <v>4</v>
      </c>
      <c r="BI292" s="90" t="b">
        <f t="shared" si="419"/>
        <v>1</v>
      </c>
      <c r="BJ292" s="46" t="b">
        <f t="shared" si="378"/>
        <v>0</v>
      </c>
      <c r="BK292" s="166">
        <f t="shared" si="379"/>
        <v>0</v>
      </c>
      <c r="BL292" s="167">
        <f>$BR$4-SUM(BL263:BL291)</f>
        <v>6.75</v>
      </c>
      <c r="BM292" s="23">
        <f t="shared" si="404"/>
        <v>0</v>
      </c>
      <c r="BN292" s="90">
        <f t="shared" si="405"/>
        <v>0</v>
      </c>
      <c r="BO292" s="24">
        <f t="shared" si="424"/>
        <v>0</v>
      </c>
      <c r="BP292" s="349">
        <f t="shared" si="380"/>
        <v>0</v>
      </c>
      <c r="BQ292" s="171">
        <f t="shared" si="381"/>
        <v>0</v>
      </c>
      <c r="BR292" s="170">
        <f t="shared" si="406"/>
        <v>0</v>
      </c>
      <c r="BS292" s="168">
        <f t="shared" si="382"/>
        <v>0</v>
      </c>
      <c r="BT292" s="171">
        <f t="shared" si="383"/>
        <v>0</v>
      </c>
      <c r="BU292" s="170">
        <f t="shared" si="407"/>
        <v>0</v>
      </c>
      <c r="BV292" s="168">
        <f t="shared" si="384"/>
        <v>0</v>
      </c>
      <c r="BW292" s="171">
        <f t="shared" si="385"/>
        <v>0</v>
      </c>
      <c r="BX292" s="170">
        <f t="shared" si="408"/>
        <v>0</v>
      </c>
      <c r="BY292" s="168">
        <f t="shared" si="386"/>
        <v>0</v>
      </c>
      <c r="BZ292" s="171">
        <f t="shared" si="387"/>
        <v>0</v>
      </c>
      <c r="CA292" s="170">
        <f t="shared" si="409"/>
        <v>0</v>
      </c>
      <c r="CB292" s="90">
        <f t="shared" si="388"/>
        <v>0</v>
      </c>
      <c r="CC292" s="171">
        <f t="shared" si="389"/>
        <v>0</v>
      </c>
      <c r="CD292" s="170">
        <f t="shared" si="410"/>
        <v>0</v>
      </c>
      <c r="CE292" s="90">
        <f t="shared" si="390"/>
        <v>0</v>
      </c>
      <c r="CF292" s="171">
        <f t="shared" si="391"/>
        <v>0</v>
      </c>
      <c r="CG292" s="170">
        <f t="shared" si="411"/>
        <v>0</v>
      </c>
      <c r="CH292" s="90">
        <f t="shared" si="392"/>
        <v>0</v>
      </c>
      <c r="CI292" s="171">
        <f t="shared" si="393"/>
        <v>0</v>
      </c>
      <c r="CJ292" s="170">
        <f t="shared" si="412"/>
        <v>0</v>
      </c>
      <c r="CK292" s="90">
        <f t="shared" si="394"/>
        <v>0</v>
      </c>
      <c r="CL292" s="171">
        <f t="shared" si="395"/>
        <v>0</v>
      </c>
      <c r="CM292" s="170">
        <f t="shared" si="413"/>
        <v>0</v>
      </c>
      <c r="CN292" s="90">
        <f t="shared" si="396"/>
        <v>0</v>
      </c>
      <c r="CO292" s="171">
        <f t="shared" si="397"/>
        <v>0</v>
      </c>
      <c r="CP292" s="170">
        <f t="shared" si="414"/>
        <v>0</v>
      </c>
      <c r="CQ292" s="90">
        <f t="shared" si="398"/>
        <v>0</v>
      </c>
      <c r="CR292" s="171">
        <f t="shared" si="399"/>
        <v>0</v>
      </c>
      <c r="CS292" s="170">
        <f t="shared" si="415"/>
        <v>0</v>
      </c>
      <c r="CT292" s="90">
        <f t="shared" si="400"/>
        <v>0</v>
      </c>
      <c r="CU292" s="171">
        <f t="shared" si="401"/>
        <v>0</v>
      </c>
      <c r="CV292" s="170">
        <f t="shared" si="416"/>
        <v>0</v>
      </c>
      <c r="CW292" s="90">
        <f t="shared" si="402"/>
        <v>0</v>
      </c>
      <c r="CX292" s="171">
        <f t="shared" si="403"/>
        <v>0</v>
      </c>
      <c r="CY292" s="170">
        <f t="shared" si="417"/>
        <v>0</v>
      </c>
      <c r="CZ292" s="168">
        <f t="shared" si="418"/>
        <v>0</v>
      </c>
      <c r="DA292" s="172">
        <f t="shared" si="420"/>
        <v>0</v>
      </c>
      <c r="DB292" s="173">
        <f t="shared" si="421"/>
        <v>0</v>
      </c>
      <c r="DC292" s="172">
        <f t="shared" si="422"/>
        <v>0</v>
      </c>
      <c r="DD292" s="172">
        <f t="shared" si="422"/>
        <v>0</v>
      </c>
      <c r="DE292" s="172">
        <f t="shared" si="422"/>
        <v>0</v>
      </c>
      <c r="DF292" s="172">
        <f t="shared" si="423"/>
        <v>0</v>
      </c>
      <c r="DG292" s="136"/>
      <c r="DH292" s="136"/>
      <c r="DI292" s="3"/>
      <c r="DJ292" s="451" t="s">
        <v>309</v>
      </c>
      <c r="DK292" s="452">
        <v>0</v>
      </c>
      <c r="DL292" s="452"/>
      <c r="DM292" s="452"/>
      <c r="DN292" s="452">
        <v>0</v>
      </c>
      <c r="DO292" s="8"/>
      <c r="DP292" s="8"/>
      <c r="DQ292" s="3"/>
      <c r="DR292" s="8"/>
      <c r="DS292" s="8"/>
      <c r="DT292" s="8"/>
      <c r="DU292" s="8"/>
      <c r="DV292" s="8"/>
      <c r="DW292" s="8"/>
      <c r="DX292" s="8"/>
      <c r="DY292" s="8"/>
      <c r="DZ292" s="8"/>
      <c r="EA292" s="8"/>
      <c r="EB292" s="8"/>
      <c r="EC292" s="8"/>
      <c r="ED292" s="8"/>
      <c r="EE292" s="8"/>
      <c r="EF292" s="8"/>
      <c r="EG292" s="8"/>
      <c r="EH292" s="8"/>
      <c r="EI292" s="8"/>
      <c r="EJ292" s="8"/>
      <c r="EK292" s="8"/>
      <c r="EL292" s="8"/>
      <c r="EM292" s="8"/>
      <c r="EN292" s="8"/>
      <c r="EO292" s="8"/>
      <c r="EP292" s="8"/>
      <c r="EQ292" s="8"/>
      <c r="ER292" s="8"/>
      <c r="ES292" s="8"/>
      <c r="ET292" s="8"/>
      <c r="EU292" s="8"/>
      <c r="EV292" s="8"/>
      <c r="EW292" s="8"/>
      <c r="EX292" s="8"/>
      <c r="EY292" s="8"/>
    </row>
    <row r="293" spans="1:155" s="566" customFormat="1" ht="15" customHeight="1">
      <c r="A293" s="422"/>
      <c r="B293" s="194" t="s">
        <v>188</v>
      </c>
      <c r="C293" s="310"/>
      <c r="D293" s="27"/>
      <c r="E293" s="655" t="s">
        <v>521</v>
      </c>
      <c r="F293" s="656"/>
      <c r="G293" s="195">
        <f>C297*G291/1000</f>
        <v>0</v>
      </c>
      <c r="H293" s="27"/>
      <c r="I293" s="323" t="s">
        <v>186</v>
      </c>
      <c r="J293" s="194"/>
      <c r="K293" s="448">
        <f t="shared" si="425"/>
        <v>0</v>
      </c>
      <c r="L293" s="307"/>
      <c r="M293" s="307"/>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293"/>
      <c r="AW293" s="14"/>
      <c r="AX293" s="14"/>
      <c r="AY293" s="14"/>
      <c r="AZ293" s="14"/>
      <c r="BA293" s="14"/>
      <c r="BB293" s="14"/>
      <c r="BC293" s="14"/>
      <c r="BD293" s="70"/>
      <c r="BE293" s="165" t="s">
        <v>20</v>
      </c>
      <c r="BF293" s="23">
        <v>21</v>
      </c>
      <c r="BG293" s="23">
        <v>1</v>
      </c>
      <c r="BH293" s="23">
        <v>5</v>
      </c>
      <c r="BI293" s="90" t="b">
        <f t="shared" si="419"/>
        <v>1</v>
      </c>
      <c r="BJ293" s="46" t="b">
        <f t="shared" ref="BJ293:BJ323" si="426">MOD(BG293,$BS$7)=0</f>
        <v>0</v>
      </c>
      <c r="BK293" s="166">
        <f t="shared" ref="BK293:BK318" si="427">IF(BJ293,BS$8,0)</f>
        <v>0</v>
      </c>
      <c r="BL293" s="167">
        <f>BK293</f>
        <v>0</v>
      </c>
      <c r="BM293" s="23">
        <f t="shared" si="404"/>
        <v>0</v>
      </c>
      <c r="BN293" s="90">
        <f t="shared" si="405"/>
        <v>0</v>
      </c>
      <c r="BO293" s="24">
        <f t="shared" si="424"/>
        <v>0</v>
      </c>
      <c r="BP293" s="349">
        <f t="shared" ref="BP293:BP323" si="428">$Q$343/$BF$293*BR$16*$BI293</f>
        <v>0</v>
      </c>
      <c r="BQ293" s="171">
        <f t="shared" ref="BQ293:BQ323" si="429">AQ$378/$BF293*$BI293</f>
        <v>0</v>
      </c>
      <c r="BR293" s="170">
        <f t="shared" si="406"/>
        <v>0</v>
      </c>
      <c r="BS293" s="168">
        <f t="shared" ref="BS293:BS323" si="430">$R$343/$BF293*BU$16*$BI293</f>
        <v>0</v>
      </c>
      <c r="BT293" s="171">
        <f t="shared" ref="BT293:BT323" si="431">AR$378/$BF293*$BI293</f>
        <v>0</v>
      </c>
      <c r="BU293" s="170">
        <f t="shared" si="407"/>
        <v>0</v>
      </c>
      <c r="BV293" s="168">
        <f t="shared" ref="BV293:BV323" si="432">$S$343/$BF293*BX$16*$BI293</f>
        <v>0</v>
      </c>
      <c r="BW293" s="171">
        <f t="shared" ref="BW293:BW323" si="433">AS$378/$BF293*$BI293</f>
        <v>0</v>
      </c>
      <c r="BX293" s="170">
        <f t="shared" si="408"/>
        <v>0</v>
      </c>
      <c r="BY293" s="168">
        <f t="shared" ref="BY293:BY323" si="434">$T$343/$BF293*CA$16*$BI293</f>
        <v>0</v>
      </c>
      <c r="BZ293" s="171">
        <f t="shared" ref="BZ293:BZ323" si="435">AT$378/$BF293*$BI293</f>
        <v>0</v>
      </c>
      <c r="CA293" s="170">
        <f t="shared" si="409"/>
        <v>0</v>
      </c>
      <c r="CB293" s="90">
        <f t="shared" ref="CB293:CB323" si="436">$W$343/BF293*BI293*$C$419</f>
        <v>0</v>
      </c>
      <c r="CC293" s="171">
        <f t="shared" ref="CC293:CC323" si="437">AU$378/$BF293*$BI293</f>
        <v>0</v>
      </c>
      <c r="CD293" s="170">
        <f t="shared" si="410"/>
        <v>0</v>
      </c>
      <c r="CE293" s="90">
        <f t="shared" ref="CE293:CE323" si="438">$X$343/BF293*BI293*$C$420</f>
        <v>0</v>
      </c>
      <c r="CF293" s="171">
        <f t="shared" ref="CF293:CF323" si="439">AV$378/$BF293*$BI293</f>
        <v>0</v>
      </c>
      <c r="CG293" s="170">
        <f t="shared" si="411"/>
        <v>0</v>
      </c>
      <c r="CH293" s="90">
        <f t="shared" ref="CH293:CH323" si="440">$Y$343/BF293*BI293*$C$421</f>
        <v>0</v>
      </c>
      <c r="CI293" s="171">
        <f t="shared" ref="CI293:CI323" si="441">AW$378/$BF293*$BI293</f>
        <v>0</v>
      </c>
      <c r="CJ293" s="170">
        <f t="shared" si="412"/>
        <v>0</v>
      </c>
      <c r="CK293" s="90">
        <f t="shared" ref="CK293:CK323" si="442">$Z$343/BF293*BI293*$CM$16</f>
        <v>0</v>
      </c>
      <c r="CL293" s="171">
        <f t="shared" ref="CL293:CL323" si="443">AX$378/$BF293*$BI293</f>
        <v>0</v>
      </c>
      <c r="CM293" s="170">
        <f t="shared" si="413"/>
        <v>0</v>
      </c>
      <c r="CN293" s="90">
        <f t="shared" ref="CN293:CN323" si="444">$AA$343/BF293*BI293*$CP$16</f>
        <v>0</v>
      </c>
      <c r="CO293" s="171">
        <f t="shared" ref="CO293:CO323" si="445">$AY$378/$BF293*$BI293</f>
        <v>0</v>
      </c>
      <c r="CP293" s="170">
        <f t="shared" si="414"/>
        <v>0</v>
      </c>
      <c r="CQ293" s="90">
        <f t="shared" ref="CQ293:CQ323" si="446">$AB$343/BF293*BI293*$CS$16</f>
        <v>0</v>
      </c>
      <c r="CR293" s="171">
        <f t="shared" ref="CR293:CR323" si="447">AZ$378/$BF293*$BI293</f>
        <v>0</v>
      </c>
      <c r="CS293" s="170">
        <f t="shared" si="415"/>
        <v>0</v>
      </c>
      <c r="CT293" s="90">
        <f t="shared" ref="CT293:CT323" si="448">$AC$343/BF293*BI293*$CV$16</f>
        <v>0</v>
      </c>
      <c r="CU293" s="171">
        <f t="shared" ref="CU293:CU323" si="449">BA$378/$BF293*$BI293</f>
        <v>0</v>
      </c>
      <c r="CV293" s="170">
        <f t="shared" si="416"/>
        <v>0</v>
      </c>
      <c r="CW293" s="90">
        <f t="shared" ref="CW293:CW323" si="450">$AD$343/BF293*BI293*$CY$16</f>
        <v>0</v>
      </c>
      <c r="CX293" s="171">
        <f t="shared" ref="CX293:CX323" si="451">BB$378/$BF293*$BI293</f>
        <v>0</v>
      </c>
      <c r="CY293" s="170">
        <f t="shared" si="417"/>
        <v>0</v>
      </c>
      <c r="CZ293" s="168">
        <f t="shared" si="418"/>
        <v>0</v>
      </c>
      <c r="DA293" s="172">
        <f t="shared" si="420"/>
        <v>0</v>
      </c>
      <c r="DB293" s="173">
        <f t="shared" si="421"/>
        <v>0</v>
      </c>
      <c r="DC293" s="172">
        <f t="shared" ref="DC293:DE308" si="452">IF(DC292+$DB293&lt;0,0,IF(DC292+$DB293&gt;$F$405,$F$405,DC292+$DB293))</f>
        <v>0</v>
      </c>
      <c r="DD293" s="172">
        <f t="shared" si="452"/>
        <v>0</v>
      </c>
      <c r="DE293" s="172">
        <f t="shared" si="452"/>
        <v>0</v>
      </c>
      <c r="DF293" s="172">
        <f>IF(DA293-(DE292+CZ293)&lt;0,0,DA293-(DE292+CZ293))</f>
        <v>0</v>
      </c>
      <c r="DG293" s="136"/>
      <c r="DH293" s="136"/>
      <c r="DI293" s="3"/>
      <c r="DJ293" s="451" t="s">
        <v>506</v>
      </c>
      <c r="DK293" s="452">
        <v>13</v>
      </c>
      <c r="DL293" s="452" t="s">
        <v>522</v>
      </c>
      <c r="DM293" s="452" t="s">
        <v>523</v>
      </c>
      <c r="DN293" s="452">
        <f>DK293/10</f>
        <v>1.3</v>
      </c>
      <c r="DO293" s="8"/>
      <c r="DP293" s="8"/>
      <c r="DQ293" s="3"/>
      <c r="DR293" s="8"/>
      <c r="DS293" s="8"/>
      <c r="DT293" s="8"/>
      <c r="DU293" s="8"/>
      <c r="DV293" s="8"/>
      <c r="DW293" s="8"/>
      <c r="DX293" s="8"/>
      <c r="DY293" s="8"/>
      <c r="DZ293" s="8"/>
      <c r="EA293" s="8"/>
      <c r="EB293" s="8"/>
      <c r="EC293" s="8"/>
      <c r="ED293" s="8"/>
      <c r="EE293" s="8"/>
      <c r="EF293" s="8"/>
      <c r="EG293" s="8"/>
      <c r="EH293" s="8"/>
      <c r="EI293" s="8"/>
      <c r="EJ293" s="8"/>
      <c r="EK293" s="8"/>
      <c r="EL293" s="8"/>
      <c r="EM293" s="8"/>
      <c r="EN293" s="8"/>
      <c r="EO293" s="8"/>
      <c r="EP293" s="8"/>
      <c r="EQ293" s="8"/>
      <c r="ER293" s="8"/>
      <c r="ES293" s="8"/>
      <c r="ET293" s="8"/>
      <c r="EU293" s="8"/>
      <c r="EV293" s="8"/>
      <c r="EW293" s="8"/>
      <c r="EX293" s="8"/>
      <c r="EY293" s="8"/>
    </row>
    <row r="294" spans="1:155" s="566" customFormat="1" ht="15" customHeight="1">
      <c r="A294" s="422"/>
      <c r="B294" s="194" t="s">
        <v>189</v>
      </c>
      <c r="C294" s="310"/>
      <c r="D294" s="27"/>
      <c r="E294" s="655" t="s">
        <v>524</v>
      </c>
      <c r="F294" s="656"/>
      <c r="G294" s="431" t="str">
        <f>IFERROR(G293/G292,"-")</f>
        <v>-</v>
      </c>
      <c r="H294" s="27"/>
      <c r="I294" s="323" t="s">
        <v>187</v>
      </c>
      <c r="J294" s="194"/>
      <c r="K294" s="448">
        <f t="shared" si="425"/>
        <v>0</v>
      </c>
      <c r="L294" s="307"/>
      <c r="M294" s="307"/>
      <c r="N294" s="14" t="s">
        <v>495</v>
      </c>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293"/>
      <c r="AW294" s="14"/>
      <c r="AX294" s="14"/>
      <c r="AY294" s="14"/>
      <c r="AZ294" s="14"/>
      <c r="BA294" s="14"/>
      <c r="BB294" s="14"/>
      <c r="BC294" s="14"/>
      <c r="BD294" s="70"/>
      <c r="BE294" s="165" t="s">
        <v>20</v>
      </c>
      <c r="BF294" s="23">
        <v>21</v>
      </c>
      <c r="BG294" s="23">
        <v>2</v>
      </c>
      <c r="BH294" s="23">
        <v>6</v>
      </c>
      <c r="BI294" s="90" t="b">
        <f t="shared" si="419"/>
        <v>0</v>
      </c>
      <c r="BJ294" s="46" t="b">
        <f t="shared" si="426"/>
        <v>0</v>
      </c>
      <c r="BK294" s="166">
        <f t="shared" si="427"/>
        <v>0</v>
      </c>
      <c r="BL294" s="175">
        <f>IF(SUM(BL$293:BL293,BK294)&gt;$BS$4,0,BK294)</f>
        <v>0</v>
      </c>
      <c r="BM294" s="23">
        <f t="shared" si="404"/>
        <v>0</v>
      </c>
      <c r="BN294" s="90">
        <f t="shared" si="405"/>
        <v>0</v>
      </c>
      <c r="BO294" s="24">
        <f t="shared" si="424"/>
        <v>0</v>
      </c>
      <c r="BP294" s="349">
        <f t="shared" si="428"/>
        <v>0</v>
      </c>
      <c r="BQ294" s="171">
        <f t="shared" si="429"/>
        <v>0</v>
      </c>
      <c r="BR294" s="170">
        <f t="shared" si="406"/>
        <v>0</v>
      </c>
      <c r="BS294" s="168">
        <f t="shared" si="430"/>
        <v>0</v>
      </c>
      <c r="BT294" s="171">
        <f t="shared" si="431"/>
        <v>0</v>
      </c>
      <c r="BU294" s="170">
        <f t="shared" si="407"/>
        <v>0</v>
      </c>
      <c r="BV294" s="168">
        <f t="shared" si="432"/>
        <v>0</v>
      </c>
      <c r="BW294" s="171">
        <f t="shared" si="433"/>
        <v>0</v>
      </c>
      <c r="BX294" s="170">
        <f t="shared" si="408"/>
        <v>0</v>
      </c>
      <c r="BY294" s="168">
        <f t="shared" si="434"/>
        <v>0</v>
      </c>
      <c r="BZ294" s="171">
        <f t="shared" si="435"/>
        <v>0</v>
      </c>
      <c r="CA294" s="170">
        <f t="shared" si="409"/>
        <v>0</v>
      </c>
      <c r="CB294" s="90">
        <f t="shared" si="436"/>
        <v>0</v>
      </c>
      <c r="CC294" s="171">
        <f t="shared" si="437"/>
        <v>0</v>
      </c>
      <c r="CD294" s="170">
        <f t="shared" si="410"/>
        <v>0</v>
      </c>
      <c r="CE294" s="90">
        <f t="shared" si="438"/>
        <v>0</v>
      </c>
      <c r="CF294" s="171">
        <f t="shared" si="439"/>
        <v>0</v>
      </c>
      <c r="CG294" s="170">
        <f t="shared" si="411"/>
        <v>0</v>
      </c>
      <c r="CH294" s="90">
        <f t="shared" si="440"/>
        <v>0</v>
      </c>
      <c r="CI294" s="171">
        <f t="shared" si="441"/>
        <v>0</v>
      </c>
      <c r="CJ294" s="170">
        <f t="shared" si="412"/>
        <v>0</v>
      </c>
      <c r="CK294" s="90">
        <f t="shared" si="442"/>
        <v>0</v>
      </c>
      <c r="CL294" s="171">
        <f t="shared" si="443"/>
        <v>0</v>
      </c>
      <c r="CM294" s="170">
        <f t="shared" si="413"/>
        <v>0</v>
      </c>
      <c r="CN294" s="90">
        <f t="shared" si="444"/>
        <v>0</v>
      </c>
      <c r="CO294" s="171">
        <f t="shared" si="445"/>
        <v>0</v>
      </c>
      <c r="CP294" s="170">
        <f t="shared" si="414"/>
        <v>0</v>
      </c>
      <c r="CQ294" s="90">
        <f t="shared" si="446"/>
        <v>0</v>
      </c>
      <c r="CR294" s="171">
        <f t="shared" si="447"/>
        <v>0</v>
      </c>
      <c r="CS294" s="170">
        <f t="shared" si="415"/>
        <v>0</v>
      </c>
      <c r="CT294" s="90">
        <f t="shared" si="448"/>
        <v>0</v>
      </c>
      <c r="CU294" s="171">
        <f t="shared" si="449"/>
        <v>0</v>
      </c>
      <c r="CV294" s="170">
        <f t="shared" si="416"/>
        <v>0</v>
      </c>
      <c r="CW294" s="90">
        <f t="shared" si="450"/>
        <v>0</v>
      </c>
      <c r="CX294" s="171">
        <f t="shared" si="451"/>
        <v>0</v>
      </c>
      <c r="CY294" s="170">
        <f t="shared" si="417"/>
        <v>0</v>
      </c>
      <c r="CZ294" s="168">
        <f t="shared" si="418"/>
        <v>0</v>
      </c>
      <c r="DA294" s="172">
        <f t="shared" si="420"/>
        <v>0</v>
      </c>
      <c r="DB294" s="173">
        <f t="shared" si="421"/>
        <v>0</v>
      </c>
      <c r="DC294" s="172">
        <f t="shared" si="452"/>
        <v>0</v>
      </c>
      <c r="DD294" s="172">
        <f t="shared" si="452"/>
        <v>0</v>
      </c>
      <c r="DE294" s="172">
        <f t="shared" si="452"/>
        <v>0</v>
      </c>
      <c r="DF294" s="172">
        <f t="shared" si="423"/>
        <v>0</v>
      </c>
      <c r="DG294" s="136"/>
      <c r="DH294" s="136"/>
      <c r="DI294" s="3"/>
      <c r="DJ294" s="451" t="s">
        <v>525</v>
      </c>
      <c r="DK294" s="452">
        <v>8.4</v>
      </c>
      <c r="DL294" s="452" t="s">
        <v>522</v>
      </c>
      <c r="DM294" s="452" t="s">
        <v>523</v>
      </c>
      <c r="DN294" s="452">
        <f>DK294/10</f>
        <v>0.84000000000000008</v>
      </c>
      <c r="DO294" s="8"/>
      <c r="DP294" s="8"/>
      <c r="DQ294" s="3"/>
      <c r="DR294" s="8"/>
      <c r="DS294" s="8"/>
      <c r="DT294" s="8"/>
      <c r="DU294" s="8"/>
      <c r="DV294" s="8"/>
      <c r="DW294" s="8"/>
      <c r="DX294" s="8"/>
      <c r="DY294" s="8"/>
      <c r="DZ294" s="8"/>
      <c r="EA294" s="8"/>
      <c r="EB294" s="8"/>
      <c r="EC294" s="8"/>
      <c r="ED294" s="8"/>
      <c r="EE294" s="8"/>
      <c r="EF294" s="8"/>
      <c r="EG294" s="8"/>
      <c r="EH294" s="8"/>
      <c r="EI294" s="8"/>
      <c r="EJ294" s="8"/>
      <c r="EK294" s="8"/>
      <c r="EL294" s="8"/>
      <c r="EM294" s="8"/>
      <c r="EN294" s="8"/>
      <c r="EO294" s="8"/>
      <c r="EP294" s="8"/>
      <c r="EQ294" s="8"/>
      <c r="ER294" s="8"/>
      <c r="ES294" s="8"/>
      <c r="ET294" s="8"/>
      <c r="EU294" s="8"/>
      <c r="EV294" s="8"/>
      <c r="EW294" s="8"/>
      <c r="EX294" s="8"/>
      <c r="EY294" s="8"/>
    </row>
    <row r="295" spans="1:155" s="566" customFormat="1" ht="15" customHeight="1">
      <c r="A295" s="422"/>
      <c r="B295" s="194" t="s">
        <v>190</v>
      </c>
      <c r="C295" s="310"/>
      <c r="D295" s="27"/>
      <c r="E295" s="351" t="s">
        <v>492</v>
      </c>
      <c r="F295" s="27"/>
      <c r="G295" s="27"/>
      <c r="H295" s="27"/>
      <c r="I295" s="323" t="s">
        <v>188</v>
      </c>
      <c r="J295" s="194"/>
      <c r="K295" s="448">
        <f t="shared" si="425"/>
        <v>0</v>
      </c>
      <c r="L295" s="307"/>
      <c r="M295" s="307"/>
      <c r="N295" s="434">
        <v>0.03</v>
      </c>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293"/>
      <c r="AW295" s="14"/>
      <c r="AX295" s="14"/>
      <c r="AY295" s="14"/>
      <c r="AZ295" s="14"/>
      <c r="BA295" s="14"/>
      <c r="BB295" s="14"/>
      <c r="BC295" s="14"/>
      <c r="BD295" s="70"/>
      <c r="BE295" s="165" t="s">
        <v>20</v>
      </c>
      <c r="BF295" s="23">
        <v>21</v>
      </c>
      <c r="BG295" s="23">
        <v>3</v>
      </c>
      <c r="BH295" s="23">
        <v>7</v>
      </c>
      <c r="BI295" s="90" t="b">
        <f t="shared" si="419"/>
        <v>0</v>
      </c>
      <c r="BJ295" s="46" t="b">
        <f t="shared" si="426"/>
        <v>1</v>
      </c>
      <c r="BK295" s="166">
        <f t="shared" si="427"/>
        <v>7.2</v>
      </c>
      <c r="BL295" s="175">
        <f>IF(SUM(BL$293:BL294,BK295)&gt;$BS$4,0,BK295)</f>
        <v>7.2</v>
      </c>
      <c r="BM295" s="23">
        <f t="shared" si="404"/>
        <v>0</v>
      </c>
      <c r="BN295" s="90">
        <f t="shared" si="405"/>
        <v>0</v>
      </c>
      <c r="BO295" s="24">
        <f t="shared" si="424"/>
        <v>0</v>
      </c>
      <c r="BP295" s="349">
        <f t="shared" si="428"/>
        <v>0</v>
      </c>
      <c r="BQ295" s="171">
        <f t="shared" si="429"/>
        <v>0</v>
      </c>
      <c r="BR295" s="170">
        <f t="shared" si="406"/>
        <v>0</v>
      </c>
      <c r="BS295" s="168">
        <f t="shared" si="430"/>
        <v>0</v>
      </c>
      <c r="BT295" s="171">
        <f t="shared" si="431"/>
        <v>0</v>
      </c>
      <c r="BU295" s="170">
        <f t="shared" si="407"/>
        <v>0</v>
      </c>
      <c r="BV295" s="168">
        <f t="shared" si="432"/>
        <v>0</v>
      </c>
      <c r="BW295" s="171">
        <f t="shared" si="433"/>
        <v>0</v>
      </c>
      <c r="BX295" s="170">
        <f t="shared" si="408"/>
        <v>0</v>
      </c>
      <c r="BY295" s="168">
        <f t="shared" si="434"/>
        <v>0</v>
      </c>
      <c r="BZ295" s="171">
        <f t="shared" si="435"/>
        <v>0</v>
      </c>
      <c r="CA295" s="170">
        <f t="shared" si="409"/>
        <v>0</v>
      </c>
      <c r="CB295" s="90">
        <f t="shared" si="436"/>
        <v>0</v>
      </c>
      <c r="CC295" s="171">
        <f t="shared" si="437"/>
        <v>0</v>
      </c>
      <c r="CD295" s="170">
        <f t="shared" si="410"/>
        <v>0</v>
      </c>
      <c r="CE295" s="90">
        <f t="shared" si="438"/>
        <v>0</v>
      </c>
      <c r="CF295" s="171">
        <f t="shared" si="439"/>
        <v>0</v>
      </c>
      <c r="CG295" s="170">
        <f t="shared" si="411"/>
        <v>0</v>
      </c>
      <c r="CH295" s="90">
        <f t="shared" si="440"/>
        <v>0</v>
      </c>
      <c r="CI295" s="171">
        <f t="shared" si="441"/>
        <v>0</v>
      </c>
      <c r="CJ295" s="170">
        <f t="shared" si="412"/>
        <v>0</v>
      </c>
      <c r="CK295" s="90">
        <f t="shared" si="442"/>
        <v>0</v>
      </c>
      <c r="CL295" s="171">
        <f t="shared" si="443"/>
        <v>0</v>
      </c>
      <c r="CM295" s="170">
        <f t="shared" si="413"/>
        <v>0</v>
      </c>
      <c r="CN295" s="90">
        <f t="shared" si="444"/>
        <v>0</v>
      </c>
      <c r="CO295" s="171">
        <f t="shared" si="445"/>
        <v>0</v>
      </c>
      <c r="CP295" s="170">
        <f t="shared" si="414"/>
        <v>0</v>
      </c>
      <c r="CQ295" s="90">
        <f t="shared" si="446"/>
        <v>0</v>
      </c>
      <c r="CR295" s="171">
        <f t="shared" si="447"/>
        <v>0</v>
      </c>
      <c r="CS295" s="170">
        <f t="shared" si="415"/>
        <v>0</v>
      </c>
      <c r="CT295" s="90">
        <f t="shared" si="448"/>
        <v>0</v>
      </c>
      <c r="CU295" s="171">
        <f t="shared" si="449"/>
        <v>0</v>
      </c>
      <c r="CV295" s="170">
        <f t="shared" si="416"/>
        <v>0</v>
      </c>
      <c r="CW295" s="90">
        <f t="shared" si="450"/>
        <v>0</v>
      </c>
      <c r="CX295" s="171">
        <f t="shared" si="451"/>
        <v>0</v>
      </c>
      <c r="CY295" s="170">
        <f t="shared" si="417"/>
        <v>0</v>
      </c>
      <c r="CZ295" s="168">
        <f t="shared" si="418"/>
        <v>0</v>
      </c>
      <c r="DA295" s="172">
        <f t="shared" si="420"/>
        <v>0</v>
      </c>
      <c r="DB295" s="173">
        <f t="shared" si="421"/>
        <v>0</v>
      </c>
      <c r="DC295" s="172">
        <f t="shared" si="452"/>
        <v>0</v>
      </c>
      <c r="DD295" s="172">
        <f t="shared" si="452"/>
        <v>0</v>
      </c>
      <c r="DE295" s="172">
        <f t="shared" si="452"/>
        <v>0</v>
      </c>
      <c r="DF295" s="172">
        <f>IF(DA295-(DE294+CZ295)&lt;0,0,DA295-(DE294+CZ295))</f>
        <v>0</v>
      </c>
      <c r="DG295" s="136"/>
      <c r="DH295" s="136"/>
      <c r="DI295" s="3"/>
      <c r="DJ295" s="451" t="s">
        <v>526</v>
      </c>
      <c r="DK295" s="452">
        <v>6</v>
      </c>
      <c r="DL295" s="452" t="s">
        <v>522</v>
      </c>
      <c r="DM295" s="452" t="s">
        <v>523</v>
      </c>
      <c r="DN295" s="452">
        <f>DK295/10</f>
        <v>0.6</v>
      </c>
      <c r="DO295" s="8"/>
      <c r="DP295" s="8"/>
      <c r="DQ295" s="3"/>
      <c r="DR295" s="8"/>
      <c r="DS295" s="8"/>
      <c r="DT295" s="8"/>
      <c r="DU295" s="8"/>
      <c r="DV295" s="8"/>
      <c r="DW295" s="8"/>
      <c r="DX295" s="8"/>
      <c r="DY295" s="8"/>
      <c r="DZ295" s="8"/>
      <c r="EA295" s="8"/>
      <c r="EB295" s="8"/>
      <c r="EC295" s="8"/>
      <c r="ED295" s="8"/>
      <c r="EE295" s="8"/>
      <c r="EF295" s="8"/>
      <c r="EG295" s="8"/>
      <c r="EH295" s="8"/>
      <c r="EI295" s="8"/>
      <c r="EJ295" s="8"/>
      <c r="EK295" s="8"/>
      <c r="EL295" s="8"/>
      <c r="EM295" s="8"/>
      <c r="EN295" s="8"/>
      <c r="EO295" s="8"/>
      <c r="EP295" s="8"/>
      <c r="EQ295" s="8"/>
      <c r="ER295" s="8"/>
      <c r="ES295" s="8"/>
      <c r="ET295" s="8"/>
      <c r="EU295" s="8"/>
      <c r="EV295" s="8"/>
      <c r="EW295" s="8"/>
      <c r="EX295" s="8"/>
      <c r="EY295" s="8"/>
    </row>
    <row r="296" spans="1:155" s="566" customFormat="1" ht="15" customHeight="1">
      <c r="A296" s="422"/>
      <c r="B296" s="194" t="s">
        <v>191</v>
      </c>
      <c r="C296" s="310"/>
      <c r="D296" s="27"/>
      <c r="E296" s="27"/>
      <c r="F296" s="27"/>
      <c r="G296" s="27"/>
      <c r="H296" s="27"/>
      <c r="I296" s="323" t="s">
        <v>189</v>
      </c>
      <c r="J296" s="194"/>
      <c r="K296" s="448">
        <f t="shared" si="425"/>
        <v>0</v>
      </c>
      <c r="L296" s="307"/>
      <c r="M296" s="307"/>
      <c r="N296" s="14" t="s">
        <v>496</v>
      </c>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293"/>
      <c r="AW296" s="14"/>
      <c r="AX296" s="14"/>
      <c r="AY296" s="14"/>
      <c r="AZ296" s="14"/>
      <c r="BA296" s="14"/>
      <c r="BB296" s="14"/>
      <c r="BC296" s="14"/>
      <c r="BD296" s="70"/>
      <c r="BE296" s="165" t="s">
        <v>20</v>
      </c>
      <c r="BF296" s="23">
        <v>21</v>
      </c>
      <c r="BG296" s="23">
        <v>4</v>
      </c>
      <c r="BH296" s="23">
        <v>1</v>
      </c>
      <c r="BI296" s="90" t="b">
        <f t="shared" si="419"/>
        <v>1</v>
      </c>
      <c r="BJ296" s="46" t="b">
        <f t="shared" si="426"/>
        <v>0</v>
      </c>
      <c r="BK296" s="166">
        <f t="shared" si="427"/>
        <v>0</v>
      </c>
      <c r="BL296" s="175">
        <f>IF(SUM(BL$293:BL295,BK296)&gt;$BS$4,0,BK296)</f>
        <v>0</v>
      </c>
      <c r="BM296" s="23">
        <f t="shared" si="404"/>
        <v>0</v>
      </c>
      <c r="BN296" s="90">
        <f t="shared" si="405"/>
        <v>0</v>
      </c>
      <c r="BO296" s="24">
        <f t="shared" si="424"/>
        <v>0</v>
      </c>
      <c r="BP296" s="349">
        <f t="shared" si="428"/>
        <v>0</v>
      </c>
      <c r="BQ296" s="171">
        <f t="shared" si="429"/>
        <v>0</v>
      </c>
      <c r="BR296" s="170">
        <f t="shared" si="406"/>
        <v>0</v>
      </c>
      <c r="BS296" s="168">
        <f t="shared" si="430"/>
        <v>0</v>
      </c>
      <c r="BT296" s="171">
        <f t="shared" si="431"/>
        <v>0</v>
      </c>
      <c r="BU296" s="170">
        <f t="shared" si="407"/>
        <v>0</v>
      </c>
      <c r="BV296" s="168">
        <f t="shared" si="432"/>
        <v>0</v>
      </c>
      <c r="BW296" s="171">
        <f t="shared" si="433"/>
        <v>0</v>
      </c>
      <c r="BX296" s="170">
        <f t="shared" si="408"/>
        <v>0</v>
      </c>
      <c r="BY296" s="168">
        <f t="shared" si="434"/>
        <v>0</v>
      </c>
      <c r="BZ296" s="171">
        <f t="shared" si="435"/>
        <v>0</v>
      </c>
      <c r="CA296" s="170">
        <f t="shared" si="409"/>
        <v>0</v>
      </c>
      <c r="CB296" s="90">
        <f t="shared" si="436"/>
        <v>0</v>
      </c>
      <c r="CC296" s="171">
        <f t="shared" si="437"/>
        <v>0</v>
      </c>
      <c r="CD296" s="170">
        <f t="shared" si="410"/>
        <v>0</v>
      </c>
      <c r="CE296" s="90">
        <f t="shared" si="438"/>
        <v>0</v>
      </c>
      <c r="CF296" s="171">
        <f t="shared" si="439"/>
        <v>0</v>
      </c>
      <c r="CG296" s="170">
        <f t="shared" si="411"/>
        <v>0</v>
      </c>
      <c r="CH296" s="90">
        <f t="shared" si="440"/>
        <v>0</v>
      </c>
      <c r="CI296" s="171">
        <f t="shared" si="441"/>
        <v>0</v>
      </c>
      <c r="CJ296" s="170">
        <f t="shared" si="412"/>
        <v>0</v>
      </c>
      <c r="CK296" s="90">
        <f t="shared" si="442"/>
        <v>0</v>
      </c>
      <c r="CL296" s="171">
        <f t="shared" si="443"/>
        <v>0</v>
      </c>
      <c r="CM296" s="170">
        <f t="shared" si="413"/>
        <v>0</v>
      </c>
      <c r="CN296" s="90">
        <f t="shared" si="444"/>
        <v>0</v>
      </c>
      <c r="CO296" s="171">
        <f t="shared" si="445"/>
        <v>0</v>
      </c>
      <c r="CP296" s="170">
        <f t="shared" si="414"/>
        <v>0</v>
      </c>
      <c r="CQ296" s="90">
        <f t="shared" si="446"/>
        <v>0</v>
      </c>
      <c r="CR296" s="171">
        <f t="shared" si="447"/>
        <v>0</v>
      </c>
      <c r="CS296" s="170">
        <f t="shared" si="415"/>
        <v>0</v>
      </c>
      <c r="CT296" s="90">
        <f t="shared" si="448"/>
        <v>0</v>
      </c>
      <c r="CU296" s="171">
        <f t="shared" si="449"/>
        <v>0</v>
      </c>
      <c r="CV296" s="170">
        <f t="shared" si="416"/>
        <v>0</v>
      </c>
      <c r="CW296" s="90">
        <f t="shared" si="450"/>
        <v>0</v>
      </c>
      <c r="CX296" s="171">
        <f t="shared" si="451"/>
        <v>0</v>
      </c>
      <c r="CY296" s="170">
        <f t="shared" si="417"/>
        <v>0</v>
      </c>
      <c r="CZ296" s="168">
        <f t="shared" si="418"/>
        <v>0</v>
      </c>
      <c r="DA296" s="172">
        <f t="shared" si="420"/>
        <v>0</v>
      </c>
      <c r="DB296" s="173">
        <f t="shared" si="421"/>
        <v>0</v>
      </c>
      <c r="DC296" s="172">
        <f t="shared" si="452"/>
        <v>0</v>
      </c>
      <c r="DD296" s="172">
        <f t="shared" si="452"/>
        <v>0</v>
      </c>
      <c r="DE296" s="172">
        <f t="shared" si="452"/>
        <v>0</v>
      </c>
      <c r="DF296" s="172">
        <f t="shared" si="423"/>
        <v>0</v>
      </c>
      <c r="DG296" s="136"/>
      <c r="DH296" s="136"/>
      <c r="DI296" s="3"/>
      <c r="DJ296" s="451" t="s">
        <v>527</v>
      </c>
      <c r="DK296" s="452">
        <v>4.0999999999999996</v>
      </c>
      <c r="DL296" s="452" t="s">
        <v>522</v>
      </c>
      <c r="DM296" s="452" t="s">
        <v>523</v>
      </c>
      <c r="DN296" s="452">
        <f>DK296/10</f>
        <v>0.41</v>
      </c>
      <c r="DO296" s="8"/>
      <c r="DP296" s="8"/>
      <c r="DQ296" s="3"/>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row>
    <row r="297" spans="1:155" s="566" customFormat="1" ht="15" customHeight="1">
      <c r="A297" s="422"/>
      <c r="B297" s="70"/>
      <c r="C297" s="316">
        <f>SUM(C285:C296)</f>
        <v>0</v>
      </c>
      <c r="D297" s="27"/>
      <c r="E297" s="27"/>
      <c r="F297" s="27"/>
      <c r="G297" s="27"/>
      <c r="H297" s="27"/>
      <c r="I297" s="323" t="s">
        <v>190</v>
      </c>
      <c r="J297" s="194"/>
      <c r="K297" s="448">
        <f t="shared" si="425"/>
        <v>0</v>
      </c>
      <c r="L297" s="307"/>
      <c r="M297" s="307"/>
      <c r="N297" s="14" t="s">
        <v>497</v>
      </c>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293"/>
      <c r="AW297" s="14"/>
      <c r="AX297" s="14"/>
      <c r="AY297" s="14"/>
      <c r="AZ297" s="14"/>
      <c r="BA297" s="14"/>
      <c r="BB297" s="14"/>
      <c r="BC297" s="14"/>
      <c r="BD297" s="70"/>
      <c r="BE297" s="165" t="s">
        <v>20</v>
      </c>
      <c r="BF297" s="23">
        <v>21</v>
      </c>
      <c r="BG297" s="23">
        <v>5</v>
      </c>
      <c r="BH297" s="23">
        <v>2</v>
      </c>
      <c r="BI297" s="90" t="b">
        <f t="shared" si="419"/>
        <v>1</v>
      </c>
      <c r="BJ297" s="46" t="b">
        <f t="shared" si="426"/>
        <v>0</v>
      </c>
      <c r="BK297" s="166">
        <f t="shared" si="427"/>
        <v>0</v>
      </c>
      <c r="BL297" s="175">
        <f>IF(SUM(BL$293:BL296,BK297)&gt;$BS$4,0,BK297)</f>
        <v>0</v>
      </c>
      <c r="BM297" s="23">
        <f t="shared" si="404"/>
        <v>0</v>
      </c>
      <c r="BN297" s="90">
        <f t="shared" si="405"/>
        <v>0</v>
      </c>
      <c r="BO297" s="24">
        <f t="shared" si="424"/>
        <v>0</v>
      </c>
      <c r="BP297" s="349">
        <f t="shared" si="428"/>
        <v>0</v>
      </c>
      <c r="BQ297" s="171">
        <f t="shared" si="429"/>
        <v>0</v>
      </c>
      <c r="BR297" s="170">
        <f t="shared" si="406"/>
        <v>0</v>
      </c>
      <c r="BS297" s="168">
        <f t="shared" si="430"/>
        <v>0</v>
      </c>
      <c r="BT297" s="171">
        <f t="shared" si="431"/>
        <v>0</v>
      </c>
      <c r="BU297" s="170">
        <f t="shared" si="407"/>
        <v>0</v>
      </c>
      <c r="BV297" s="168">
        <f t="shared" si="432"/>
        <v>0</v>
      </c>
      <c r="BW297" s="171">
        <f t="shared" si="433"/>
        <v>0</v>
      </c>
      <c r="BX297" s="170">
        <f t="shared" si="408"/>
        <v>0</v>
      </c>
      <c r="BY297" s="168">
        <f t="shared" si="434"/>
        <v>0</v>
      </c>
      <c r="BZ297" s="171">
        <f t="shared" si="435"/>
        <v>0</v>
      </c>
      <c r="CA297" s="170">
        <f t="shared" si="409"/>
        <v>0</v>
      </c>
      <c r="CB297" s="90">
        <f t="shared" si="436"/>
        <v>0</v>
      </c>
      <c r="CC297" s="171">
        <f t="shared" si="437"/>
        <v>0</v>
      </c>
      <c r="CD297" s="170">
        <f t="shared" si="410"/>
        <v>0</v>
      </c>
      <c r="CE297" s="90">
        <f t="shared" si="438"/>
        <v>0</v>
      </c>
      <c r="CF297" s="171">
        <f t="shared" si="439"/>
        <v>0</v>
      </c>
      <c r="CG297" s="170">
        <f t="shared" si="411"/>
        <v>0</v>
      </c>
      <c r="CH297" s="90">
        <f t="shared" si="440"/>
        <v>0</v>
      </c>
      <c r="CI297" s="171">
        <f t="shared" si="441"/>
        <v>0</v>
      </c>
      <c r="CJ297" s="170">
        <f t="shared" si="412"/>
        <v>0</v>
      </c>
      <c r="CK297" s="90">
        <f t="shared" si="442"/>
        <v>0</v>
      </c>
      <c r="CL297" s="171">
        <f t="shared" si="443"/>
        <v>0</v>
      </c>
      <c r="CM297" s="170">
        <f t="shared" si="413"/>
        <v>0</v>
      </c>
      <c r="CN297" s="90">
        <f t="shared" si="444"/>
        <v>0</v>
      </c>
      <c r="CO297" s="171">
        <f t="shared" si="445"/>
        <v>0</v>
      </c>
      <c r="CP297" s="170">
        <f t="shared" si="414"/>
        <v>0</v>
      </c>
      <c r="CQ297" s="90">
        <f t="shared" si="446"/>
        <v>0</v>
      </c>
      <c r="CR297" s="171">
        <f t="shared" si="447"/>
        <v>0</v>
      </c>
      <c r="CS297" s="170">
        <f t="shared" si="415"/>
        <v>0</v>
      </c>
      <c r="CT297" s="90">
        <f t="shared" si="448"/>
        <v>0</v>
      </c>
      <c r="CU297" s="171">
        <f t="shared" si="449"/>
        <v>0</v>
      </c>
      <c r="CV297" s="170">
        <f t="shared" si="416"/>
        <v>0</v>
      </c>
      <c r="CW297" s="90">
        <f t="shared" si="450"/>
        <v>0</v>
      </c>
      <c r="CX297" s="171">
        <f t="shared" si="451"/>
        <v>0</v>
      </c>
      <c r="CY297" s="170">
        <f t="shared" si="417"/>
        <v>0</v>
      </c>
      <c r="CZ297" s="168">
        <f t="shared" si="418"/>
        <v>0</v>
      </c>
      <c r="DA297" s="172">
        <f t="shared" si="420"/>
        <v>0</v>
      </c>
      <c r="DB297" s="173">
        <f t="shared" si="421"/>
        <v>0</v>
      </c>
      <c r="DC297" s="172">
        <f t="shared" si="452"/>
        <v>0</v>
      </c>
      <c r="DD297" s="172">
        <f t="shared" si="452"/>
        <v>0</v>
      </c>
      <c r="DE297" s="172">
        <f t="shared" si="452"/>
        <v>0</v>
      </c>
      <c r="DF297" s="172">
        <f>IF(DA297-(DE296+CZ297)&lt;0,0,DA297-(DE296+CZ297))</f>
        <v>0</v>
      </c>
      <c r="DG297" s="136"/>
      <c r="DH297" s="136"/>
      <c r="DI297" s="3"/>
      <c r="DJ297" s="451" t="s">
        <v>507</v>
      </c>
      <c r="DK297" s="452">
        <v>20</v>
      </c>
      <c r="DL297" s="452" t="s">
        <v>528</v>
      </c>
      <c r="DM297" s="452" t="s">
        <v>529</v>
      </c>
      <c r="DN297" s="452">
        <f>DK297/5</f>
        <v>4</v>
      </c>
      <c r="DO297" s="8"/>
      <c r="DP297" s="8"/>
      <c r="DQ297" s="3"/>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row>
    <row r="298" spans="1:155" s="566" customFormat="1" ht="15" customHeight="1">
      <c r="A298" s="422"/>
      <c r="B298" s="27"/>
      <c r="C298" s="27"/>
      <c r="D298" s="27"/>
      <c r="E298" s="27"/>
      <c r="F298" s="27"/>
      <c r="G298" s="27"/>
      <c r="H298" s="27"/>
      <c r="I298" s="323" t="s">
        <v>191</v>
      </c>
      <c r="J298" s="194"/>
      <c r="K298" s="448">
        <f t="shared" si="425"/>
        <v>0</v>
      </c>
      <c r="L298" s="307"/>
      <c r="M298" s="307"/>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293"/>
      <c r="AW298" s="14"/>
      <c r="AX298" s="14"/>
      <c r="AY298" s="14"/>
      <c r="AZ298" s="14"/>
      <c r="BA298" s="14"/>
      <c r="BB298" s="14"/>
      <c r="BC298" s="14"/>
      <c r="BD298" s="70"/>
      <c r="BE298" s="165" t="s">
        <v>20</v>
      </c>
      <c r="BF298" s="23">
        <v>21</v>
      </c>
      <c r="BG298" s="23">
        <v>6</v>
      </c>
      <c r="BH298" s="23">
        <v>3</v>
      </c>
      <c r="BI298" s="90" t="b">
        <f t="shared" si="419"/>
        <v>1</v>
      </c>
      <c r="BJ298" s="46" t="b">
        <f t="shared" si="426"/>
        <v>1</v>
      </c>
      <c r="BK298" s="166">
        <f t="shared" si="427"/>
        <v>7.2</v>
      </c>
      <c r="BL298" s="175">
        <f>IF(SUM(BL$293:BL297,BK298)&gt;$BS$4,0,BK298)</f>
        <v>7.2</v>
      </c>
      <c r="BM298" s="23">
        <f t="shared" si="404"/>
        <v>0</v>
      </c>
      <c r="BN298" s="90">
        <f t="shared" si="405"/>
        <v>0</v>
      </c>
      <c r="BO298" s="24">
        <f t="shared" si="424"/>
        <v>0</v>
      </c>
      <c r="BP298" s="349">
        <f t="shared" si="428"/>
        <v>0</v>
      </c>
      <c r="BQ298" s="171">
        <f t="shared" si="429"/>
        <v>0</v>
      </c>
      <c r="BR298" s="170">
        <f t="shared" si="406"/>
        <v>0</v>
      </c>
      <c r="BS298" s="168">
        <f t="shared" si="430"/>
        <v>0</v>
      </c>
      <c r="BT298" s="171">
        <f t="shared" si="431"/>
        <v>0</v>
      </c>
      <c r="BU298" s="170">
        <f t="shared" si="407"/>
        <v>0</v>
      </c>
      <c r="BV298" s="168">
        <f t="shared" si="432"/>
        <v>0</v>
      </c>
      <c r="BW298" s="171">
        <f t="shared" si="433"/>
        <v>0</v>
      </c>
      <c r="BX298" s="170">
        <f t="shared" si="408"/>
        <v>0</v>
      </c>
      <c r="BY298" s="168">
        <f t="shared" si="434"/>
        <v>0</v>
      </c>
      <c r="BZ298" s="171">
        <f t="shared" si="435"/>
        <v>0</v>
      </c>
      <c r="CA298" s="170">
        <f t="shared" si="409"/>
        <v>0</v>
      </c>
      <c r="CB298" s="90">
        <f t="shared" si="436"/>
        <v>0</v>
      </c>
      <c r="CC298" s="171">
        <f t="shared" si="437"/>
        <v>0</v>
      </c>
      <c r="CD298" s="170">
        <f t="shared" si="410"/>
        <v>0</v>
      </c>
      <c r="CE298" s="90">
        <f t="shared" si="438"/>
        <v>0</v>
      </c>
      <c r="CF298" s="171">
        <f t="shared" si="439"/>
        <v>0</v>
      </c>
      <c r="CG298" s="170">
        <f t="shared" si="411"/>
        <v>0</v>
      </c>
      <c r="CH298" s="90">
        <f t="shared" si="440"/>
        <v>0</v>
      </c>
      <c r="CI298" s="171">
        <f t="shared" si="441"/>
        <v>0</v>
      </c>
      <c r="CJ298" s="170">
        <f t="shared" si="412"/>
        <v>0</v>
      </c>
      <c r="CK298" s="90">
        <f t="shared" si="442"/>
        <v>0</v>
      </c>
      <c r="CL298" s="171">
        <f t="shared" si="443"/>
        <v>0</v>
      </c>
      <c r="CM298" s="170">
        <f t="shared" si="413"/>
        <v>0</v>
      </c>
      <c r="CN298" s="90">
        <f t="shared" si="444"/>
        <v>0</v>
      </c>
      <c r="CO298" s="171">
        <f t="shared" si="445"/>
        <v>0</v>
      </c>
      <c r="CP298" s="170">
        <f t="shared" si="414"/>
        <v>0</v>
      </c>
      <c r="CQ298" s="90">
        <f t="shared" si="446"/>
        <v>0</v>
      </c>
      <c r="CR298" s="171">
        <f t="shared" si="447"/>
        <v>0</v>
      </c>
      <c r="CS298" s="170">
        <f t="shared" si="415"/>
        <v>0</v>
      </c>
      <c r="CT298" s="90">
        <f t="shared" si="448"/>
        <v>0</v>
      </c>
      <c r="CU298" s="171">
        <f t="shared" si="449"/>
        <v>0</v>
      </c>
      <c r="CV298" s="170">
        <f t="shared" si="416"/>
        <v>0</v>
      </c>
      <c r="CW298" s="90">
        <f t="shared" si="450"/>
        <v>0</v>
      </c>
      <c r="CX298" s="171">
        <f t="shared" si="451"/>
        <v>0</v>
      </c>
      <c r="CY298" s="170">
        <f t="shared" si="417"/>
        <v>0</v>
      </c>
      <c r="CZ298" s="168">
        <f t="shared" si="418"/>
        <v>0</v>
      </c>
      <c r="DA298" s="172">
        <f t="shared" si="420"/>
        <v>0</v>
      </c>
      <c r="DB298" s="173">
        <f t="shared" si="421"/>
        <v>0</v>
      </c>
      <c r="DC298" s="172">
        <f t="shared" si="452"/>
        <v>0</v>
      </c>
      <c r="DD298" s="172">
        <f t="shared" si="452"/>
        <v>0</v>
      </c>
      <c r="DE298" s="172">
        <f t="shared" si="452"/>
        <v>0</v>
      </c>
      <c r="DF298" s="172">
        <f t="shared" si="423"/>
        <v>0</v>
      </c>
      <c r="DG298" s="136"/>
      <c r="DH298" s="136"/>
      <c r="DI298" s="3"/>
      <c r="DJ298" s="451" t="s">
        <v>530</v>
      </c>
      <c r="DK298" s="452">
        <v>12</v>
      </c>
      <c r="DL298" s="452" t="s">
        <v>528</v>
      </c>
      <c r="DM298" s="452" t="s">
        <v>529</v>
      </c>
      <c r="DN298" s="452">
        <f>DK298/5</f>
        <v>2.4</v>
      </c>
      <c r="DO298" s="8"/>
      <c r="DP298" s="8"/>
      <c r="DQ298" s="3"/>
      <c r="DR298" s="8"/>
      <c r="DS298" s="8"/>
      <c r="DT298" s="8"/>
      <c r="DU298" s="8"/>
      <c r="DV298" s="8"/>
      <c r="DW298" s="8"/>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row>
    <row r="299" spans="1:155" s="566" customFormat="1" ht="17.25" customHeight="1">
      <c r="A299" s="422"/>
      <c r="B299" s="27"/>
      <c r="C299" s="27"/>
      <c r="D299" s="27"/>
      <c r="E299" s="27"/>
      <c r="F299" s="27"/>
      <c r="G299" s="27"/>
      <c r="H299" s="27"/>
      <c r="I299" s="27"/>
      <c r="J299" s="27"/>
      <c r="K299" s="453">
        <f>SUM(K287:K298)</f>
        <v>0</v>
      </c>
      <c r="L299" s="307"/>
      <c r="M299" s="307"/>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293"/>
      <c r="AW299" s="14"/>
      <c r="AX299" s="14"/>
      <c r="AY299" s="14"/>
      <c r="AZ299" s="14"/>
      <c r="BA299" s="14"/>
      <c r="BB299" s="14"/>
      <c r="BC299" s="14"/>
      <c r="BD299" s="70"/>
      <c r="BE299" s="165" t="s">
        <v>20</v>
      </c>
      <c r="BF299" s="23">
        <v>21</v>
      </c>
      <c r="BG299" s="23">
        <v>7</v>
      </c>
      <c r="BH299" s="23">
        <v>4</v>
      </c>
      <c r="BI299" s="90" t="b">
        <f t="shared" si="419"/>
        <v>1</v>
      </c>
      <c r="BJ299" s="46" t="b">
        <f t="shared" si="426"/>
        <v>0</v>
      </c>
      <c r="BK299" s="166">
        <f t="shared" si="427"/>
        <v>0</v>
      </c>
      <c r="BL299" s="175">
        <f>IF(SUM(BL$293:BL298,BK299)&gt;$BS$4,0,BK299)</f>
        <v>0</v>
      </c>
      <c r="BM299" s="23">
        <f t="shared" si="404"/>
        <v>0</v>
      </c>
      <c r="BN299" s="90">
        <f t="shared" si="405"/>
        <v>0</v>
      </c>
      <c r="BO299" s="24">
        <f t="shared" si="424"/>
        <v>0</v>
      </c>
      <c r="BP299" s="349">
        <f t="shared" si="428"/>
        <v>0</v>
      </c>
      <c r="BQ299" s="171">
        <f t="shared" si="429"/>
        <v>0</v>
      </c>
      <c r="BR299" s="170">
        <f t="shared" si="406"/>
        <v>0</v>
      </c>
      <c r="BS299" s="168">
        <f t="shared" si="430"/>
        <v>0</v>
      </c>
      <c r="BT299" s="171">
        <f t="shared" si="431"/>
        <v>0</v>
      </c>
      <c r="BU299" s="170">
        <f t="shared" si="407"/>
        <v>0</v>
      </c>
      <c r="BV299" s="168">
        <f t="shared" si="432"/>
        <v>0</v>
      </c>
      <c r="BW299" s="171">
        <f t="shared" si="433"/>
        <v>0</v>
      </c>
      <c r="BX299" s="170">
        <f t="shared" si="408"/>
        <v>0</v>
      </c>
      <c r="BY299" s="168">
        <f t="shared" si="434"/>
        <v>0</v>
      </c>
      <c r="BZ299" s="171">
        <f t="shared" si="435"/>
        <v>0</v>
      </c>
      <c r="CA299" s="170">
        <f t="shared" si="409"/>
        <v>0</v>
      </c>
      <c r="CB299" s="90">
        <f t="shared" si="436"/>
        <v>0</v>
      </c>
      <c r="CC299" s="171">
        <f t="shared" si="437"/>
        <v>0</v>
      </c>
      <c r="CD299" s="170">
        <f t="shared" si="410"/>
        <v>0</v>
      </c>
      <c r="CE299" s="90">
        <f t="shared" si="438"/>
        <v>0</v>
      </c>
      <c r="CF299" s="171">
        <f t="shared" si="439"/>
        <v>0</v>
      </c>
      <c r="CG299" s="170">
        <f t="shared" si="411"/>
        <v>0</v>
      </c>
      <c r="CH299" s="90">
        <f t="shared" si="440"/>
        <v>0</v>
      </c>
      <c r="CI299" s="171">
        <f t="shared" si="441"/>
        <v>0</v>
      </c>
      <c r="CJ299" s="170">
        <f t="shared" si="412"/>
        <v>0</v>
      </c>
      <c r="CK299" s="90">
        <f t="shared" si="442"/>
        <v>0</v>
      </c>
      <c r="CL299" s="171">
        <f t="shared" si="443"/>
        <v>0</v>
      </c>
      <c r="CM299" s="170">
        <f t="shared" si="413"/>
        <v>0</v>
      </c>
      <c r="CN299" s="90">
        <f t="shared" si="444"/>
        <v>0</v>
      </c>
      <c r="CO299" s="171">
        <f t="shared" si="445"/>
        <v>0</v>
      </c>
      <c r="CP299" s="170">
        <f t="shared" si="414"/>
        <v>0</v>
      </c>
      <c r="CQ299" s="90">
        <f t="shared" si="446"/>
        <v>0</v>
      </c>
      <c r="CR299" s="171">
        <f t="shared" si="447"/>
        <v>0</v>
      </c>
      <c r="CS299" s="170">
        <f t="shared" si="415"/>
        <v>0</v>
      </c>
      <c r="CT299" s="90">
        <f t="shared" si="448"/>
        <v>0</v>
      </c>
      <c r="CU299" s="171">
        <f t="shared" si="449"/>
        <v>0</v>
      </c>
      <c r="CV299" s="170">
        <f t="shared" si="416"/>
        <v>0</v>
      </c>
      <c r="CW299" s="90">
        <f t="shared" si="450"/>
        <v>0</v>
      </c>
      <c r="CX299" s="171">
        <f t="shared" si="451"/>
        <v>0</v>
      </c>
      <c r="CY299" s="170">
        <f t="shared" si="417"/>
        <v>0</v>
      </c>
      <c r="CZ299" s="168">
        <f t="shared" si="418"/>
        <v>0</v>
      </c>
      <c r="DA299" s="172">
        <f t="shared" si="420"/>
        <v>0</v>
      </c>
      <c r="DB299" s="173">
        <f t="shared" si="421"/>
        <v>0</v>
      </c>
      <c r="DC299" s="172">
        <f t="shared" si="452"/>
        <v>0</v>
      </c>
      <c r="DD299" s="172">
        <f t="shared" si="452"/>
        <v>0</v>
      </c>
      <c r="DE299" s="172">
        <f t="shared" si="452"/>
        <v>0</v>
      </c>
      <c r="DF299" s="172">
        <f t="shared" si="423"/>
        <v>0</v>
      </c>
      <c r="DG299" s="136"/>
      <c r="DH299" s="136"/>
      <c r="DI299" s="3"/>
      <c r="DJ299" s="451" t="s">
        <v>510</v>
      </c>
      <c r="DK299" s="452">
        <v>57</v>
      </c>
      <c r="DL299" s="452" t="s">
        <v>531</v>
      </c>
      <c r="DM299" s="452" t="s">
        <v>532</v>
      </c>
      <c r="DN299" s="452">
        <f>DK299/25</f>
        <v>2.2799999999999998</v>
      </c>
      <c r="DO299" s="8"/>
      <c r="DP299" s="8"/>
      <c r="DQ299" s="3"/>
      <c r="DR299" s="8"/>
      <c r="DS299" s="8"/>
      <c r="DT299" s="8"/>
      <c r="DU299" s="8"/>
      <c r="DV299" s="8"/>
      <c r="DW299" s="8"/>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row>
    <row r="300" spans="1:155" s="566" customFormat="1" ht="15" customHeight="1">
      <c r="A300" s="422"/>
      <c r="B300" s="27"/>
      <c r="C300" s="27"/>
      <c r="D300" s="27"/>
      <c r="E300" s="27"/>
      <c r="F300" s="27"/>
      <c r="G300" s="27"/>
      <c r="H300" s="27"/>
      <c r="I300" s="27"/>
      <c r="J300" s="27"/>
      <c r="K300" s="307"/>
      <c r="L300" s="307"/>
      <c r="M300" s="307"/>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293"/>
      <c r="AW300" s="14"/>
      <c r="AX300" s="14"/>
      <c r="AY300" s="14"/>
      <c r="AZ300" s="14"/>
      <c r="BA300" s="14"/>
      <c r="BB300" s="14"/>
      <c r="BC300" s="14"/>
      <c r="BD300" s="70"/>
      <c r="BE300" s="165" t="s">
        <v>20</v>
      </c>
      <c r="BF300" s="23">
        <v>21</v>
      </c>
      <c r="BG300" s="23">
        <v>8</v>
      </c>
      <c r="BH300" s="23">
        <v>5</v>
      </c>
      <c r="BI300" s="90" t="b">
        <f t="shared" si="419"/>
        <v>1</v>
      </c>
      <c r="BJ300" s="46" t="b">
        <f t="shared" si="426"/>
        <v>0</v>
      </c>
      <c r="BK300" s="166">
        <f t="shared" si="427"/>
        <v>0</v>
      </c>
      <c r="BL300" s="175">
        <f>IF(SUM(BL$293:BL299,BK300)&gt;$BS$4,0,BK300)</f>
        <v>0</v>
      </c>
      <c r="BM300" s="23">
        <f t="shared" si="404"/>
        <v>0</v>
      </c>
      <c r="BN300" s="90">
        <f t="shared" si="405"/>
        <v>0</v>
      </c>
      <c r="BO300" s="24">
        <f t="shared" si="424"/>
        <v>0</v>
      </c>
      <c r="BP300" s="349">
        <f t="shared" si="428"/>
        <v>0</v>
      </c>
      <c r="BQ300" s="171">
        <f t="shared" si="429"/>
        <v>0</v>
      </c>
      <c r="BR300" s="170">
        <f t="shared" si="406"/>
        <v>0</v>
      </c>
      <c r="BS300" s="168">
        <f t="shared" si="430"/>
        <v>0</v>
      </c>
      <c r="BT300" s="171">
        <f t="shared" si="431"/>
        <v>0</v>
      </c>
      <c r="BU300" s="170">
        <f t="shared" si="407"/>
        <v>0</v>
      </c>
      <c r="BV300" s="168">
        <f t="shared" si="432"/>
        <v>0</v>
      </c>
      <c r="BW300" s="171">
        <f t="shared" si="433"/>
        <v>0</v>
      </c>
      <c r="BX300" s="170">
        <f t="shared" si="408"/>
        <v>0</v>
      </c>
      <c r="BY300" s="168">
        <f t="shared" si="434"/>
        <v>0</v>
      </c>
      <c r="BZ300" s="171">
        <f t="shared" si="435"/>
        <v>0</v>
      </c>
      <c r="CA300" s="170">
        <f t="shared" si="409"/>
        <v>0</v>
      </c>
      <c r="CB300" s="90">
        <f t="shared" si="436"/>
        <v>0</v>
      </c>
      <c r="CC300" s="171">
        <f t="shared" si="437"/>
        <v>0</v>
      </c>
      <c r="CD300" s="170">
        <f t="shared" si="410"/>
        <v>0</v>
      </c>
      <c r="CE300" s="90">
        <f t="shared" si="438"/>
        <v>0</v>
      </c>
      <c r="CF300" s="171">
        <f t="shared" si="439"/>
        <v>0</v>
      </c>
      <c r="CG300" s="170">
        <f t="shared" si="411"/>
        <v>0</v>
      </c>
      <c r="CH300" s="90">
        <f t="shared" si="440"/>
        <v>0</v>
      </c>
      <c r="CI300" s="171">
        <f t="shared" si="441"/>
        <v>0</v>
      </c>
      <c r="CJ300" s="170">
        <f t="shared" si="412"/>
        <v>0</v>
      </c>
      <c r="CK300" s="90">
        <f t="shared" si="442"/>
        <v>0</v>
      </c>
      <c r="CL300" s="171">
        <f t="shared" si="443"/>
        <v>0</v>
      </c>
      <c r="CM300" s="170">
        <f t="shared" si="413"/>
        <v>0</v>
      </c>
      <c r="CN300" s="90">
        <f t="shared" si="444"/>
        <v>0</v>
      </c>
      <c r="CO300" s="171">
        <f t="shared" si="445"/>
        <v>0</v>
      </c>
      <c r="CP300" s="170">
        <f t="shared" si="414"/>
        <v>0</v>
      </c>
      <c r="CQ300" s="90">
        <f t="shared" si="446"/>
        <v>0</v>
      </c>
      <c r="CR300" s="171">
        <f t="shared" si="447"/>
        <v>0</v>
      </c>
      <c r="CS300" s="170">
        <f t="shared" si="415"/>
        <v>0</v>
      </c>
      <c r="CT300" s="90">
        <f t="shared" si="448"/>
        <v>0</v>
      </c>
      <c r="CU300" s="171">
        <f t="shared" si="449"/>
        <v>0</v>
      </c>
      <c r="CV300" s="170">
        <f t="shared" si="416"/>
        <v>0</v>
      </c>
      <c r="CW300" s="90">
        <f t="shared" si="450"/>
        <v>0</v>
      </c>
      <c r="CX300" s="171">
        <f t="shared" si="451"/>
        <v>0</v>
      </c>
      <c r="CY300" s="170">
        <f t="shared" si="417"/>
        <v>0</v>
      </c>
      <c r="CZ300" s="168">
        <f t="shared" si="418"/>
        <v>0</v>
      </c>
      <c r="DA300" s="172">
        <f t="shared" si="420"/>
        <v>0</v>
      </c>
      <c r="DB300" s="173">
        <f t="shared" si="421"/>
        <v>0</v>
      </c>
      <c r="DC300" s="172">
        <f t="shared" si="452"/>
        <v>0</v>
      </c>
      <c r="DD300" s="172">
        <f t="shared" si="452"/>
        <v>0</v>
      </c>
      <c r="DE300" s="172">
        <f t="shared" si="452"/>
        <v>0</v>
      </c>
      <c r="DF300" s="172">
        <f t="shared" si="423"/>
        <v>0</v>
      </c>
      <c r="DG300" s="136"/>
      <c r="DH300" s="136"/>
      <c r="DI300" s="3"/>
      <c r="DJ300" s="8"/>
      <c r="DK300" s="8"/>
      <c r="DL300" s="8"/>
      <c r="DM300" s="8"/>
      <c r="DN300" s="8"/>
      <c r="DO300" s="8"/>
      <c r="DP300" s="8"/>
      <c r="DQ300" s="3"/>
      <c r="DR300" s="8"/>
      <c r="DS300" s="8"/>
      <c r="DT300" s="8"/>
      <c r="DU300" s="8"/>
      <c r="DV300" s="8"/>
      <c r="DW300" s="8"/>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row>
    <row r="301" spans="1:155" s="566" customFormat="1" ht="15" customHeight="1">
      <c r="A301" s="422"/>
      <c r="B301" s="417"/>
      <c r="C301" s="417"/>
      <c r="D301" s="322" t="s">
        <v>462</v>
      </c>
      <c r="E301" s="27"/>
      <c r="F301" s="27"/>
      <c r="G301" s="27"/>
      <c r="H301" s="27"/>
      <c r="I301" s="27"/>
      <c r="J301" s="27"/>
      <c r="K301" s="307"/>
      <c r="L301" s="307"/>
      <c r="M301" s="307"/>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293"/>
      <c r="AW301" s="14"/>
      <c r="AX301" s="14"/>
      <c r="AY301" s="14"/>
      <c r="AZ301" s="14"/>
      <c r="BA301" s="14"/>
      <c r="BB301" s="14"/>
      <c r="BC301" s="14"/>
      <c r="BD301" s="70"/>
      <c r="BE301" s="165" t="s">
        <v>20</v>
      </c>
      <c r="BF301" s="23">
        <v>21</v>
      </c>
      <c r="BG301" s="23">
        <v>9</v>
      </c>
      <c r="BH301" s="23">
        <v>6</v>
      </c>
      <c r="BI301" s="90" t="b">
        <f t="shared" si="419"/>
        <v>0</v>
      </c>
      <c r="BJ301" s="46" t="b">
        <f t="shared" si="426"/>
        <v>1</v>
      </c>
      <c r="BK301" s="166">
        <f t="shared" si="427"/>
        <v>7.2</v>
      </c>
      <c r="BL301" s="175">
        <f>IF(SUM(BL$293:BL300,BK301)&gt;$BS$4,0,BK301)</f>
        <v>7.2</v>
      </c>
      <c r="BM301" s="23">
        <f t="shared" si="404"/>
        <v>0</v>
      </c>
      <c r="BN301" s="90">
        <f t="shared" si="405"/>
        <v>0</v>
      </c>
      <c r="BO301" s="24">
        <f t="shared" si="424"/>
        <v>0</v>
      </c>
      <c r="BP301" s="349">
        <f t="shared" si="428"/>
        <v>0</v>
      </c>
      <c r="BQ301" s="171">
        <f t="shared" si="429"/>
        <v>0</v>
      </c>
      <c r="BR301" s="170">
        <f t="shared" si="406"/>
        <v>0</v>
      </c>
      <c r="BS301" s="168">
        <f t="shared" si="430"/>
        <v>0</v>
      </c>
      <c r="BT301" s="171">
        <f t="shared" si="431"/>
        <v>0</v>
      </c>
      <c r="BU301" s="170">
        <f t="shared" si="407"/>
        <v>0</v>
      </c>
      <c r="BV301" s="168">
        <f t="shared" si="432"/>
        <v>0</v>
      </c>
      <c r="BW301" s="171">
        <f t="shared" si="433"/>
        <v>0</v>
      </c>
      <c r="BX301" s="170">
        <f t="shared" si="408"/>
        <v>0</v>
      </c>
      <c r="BY301" s="168">
        <f t="shared" si="434"/>
        <v>0</v>
      </c>
      <c r="BZ301" s="171">
        <f t="shared" si="435"/>
        <v>0</v>
      </c>
      <c r="CA301" s="170">
        <f t="shared" si="409"/>
        <v>0</v>
      </c>
      <c r="CB301" s="90">
        <f t="shared" si="436"/>
        <v>0</v>
      </c>
      <c r="CC301" s="171">
        <f t="shared" si="437"/>
        <v>0</v>
      </c>
      <c r="CD301" s="170">
        <f t="shared" si="410"/>
        <v>0</v>
      </c>
      <c r="CE301" s="90">
        <f t="shared" si="438"/>
        <v>0</v>
      </c>
      <c r="CF301" s="171">
        <f t="shared" si="439"/>
        <v>0</v>
      </c>
      <c r="CG301" s="170">
        <f t="shared" si="411"/>
        <v>0</v>
      </c>
      <c r="CH301" s="90">
        <f t="shared" si="440"/>
        <v>0</v>
      </c>
      <c r="CI301" s="171">
        <f t="shared" si="441"/>
        <v>0</v>
      </c>
      <c r="CJ301" s="170">
        <f t="shared" si="412"/>
        <v>0</v>
      </c>
      <c r="CK301" s="90">
        <f t="shared" si="442"/>
        <v>0</v>
      </c>
      <c r="CL301" s="171">
        <f t="shared" si="443"/>
        <v>0</v>
      </c>
      <c r="CM301" s="170">
        <f t="shared" si="413"/>
        <v>0</v>
      </c>
      <c r="CN301" s="90">
        <f t="shared" si="444"/>
        <v>0</v>
      </c>
      <c r="CO301" s="171">
        <f t="shared" si="445"/>
        <v>0</v>
      </c>
      <c r="CP301" s="170">
        <f t="shared" si="414"/>
        <v>0</v>
      </c>
      <c r="CQ301" s="90">
        <f t="shared" si="446"/>
        <v>0</v>
      </c>
      <c r="CR301" s="171">
        <f t="shared" si="447"/>
        <v>0</v>
      </c>
      <c r="CS301" s="170">
        <f t="shared" si="415"/>
        <v>0</v>
      </c>
      <c r="CT301" s="90">
        <f t="shared" si="448"/>
        <v>0</v>
      </c>
      <c r="CU301" s="171">
        <f t="shared" si="449"/>
        <v>0</v>
      </c>
      <c r="CV301" s="170">
        <f t="shared" si="416"/>
        <v>0</v>
      </c>
      <c r="CW301" s="90">
        <f t="shared" si="450"/>
        <v>0</v>
      </c>
      <c r="CX301" s="171">
        <f t="shared" si="451"/>
        <v>0</v>
      </c>
      <c r="CY301" s="170">
        <f t="shared" si="417"/>
        <v>0</v>
      </c>
      <c r="CZ301" s="168">
        <f t="shared" si="418"/>
        <v>0</v>
      </c>
      <c r="DA301" s="172">
        <f t="shared" si="420"/>
        <v>0</v>
      </c>
      <c r="DB301" s="173">
        <f t="shared" si="421"/>
        <v>0</v>
      </c>
      <c r="DC301" s="172">
        <f t="shared" si="452"/>
        <v>0</v>
      </c>
      <c r="DD301" s="172">
        <f t="shared" si="452"/>
        <v>0</v>
      </c>
      <c r="DE301" s="172">
        <f t="shared" si="452"/>
        <v>0</v>
      </c>
      <c r="DF301" s="172">
        <f t="shared" si="423"/>
        <v>0</v>
      </c>
      <c r="DG301" s="136"/>
      <c r="DH301" s="136"/>
      <c r="DI301" s="3"/>
      <c r="DJ301" s="8"/>
      <c r="DK301" s="8"/>
      <c r="DL301" s="8"/>
      <c r="DM301" s="8"/>
      <c r="DN301" s="8"/>
      <c r="DO301" s="8"/>
      <c r="DP301" s="8"/>
      <c r="DQ301" s="3"/>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row>
    <row r="302" spans="1:155" s="566" customFormat="1" ht="17.25" customHeight="1">
      <c r="A302" s="422"/>
      <c r="B302" s="436" t="s">
        <v>533</v>
      </c>
      <c r="C302" s="417"/>
      <c r="D302" s="195">
        <f>K299*N280</f>
        <v>0</v>
      </c>
      <c r="E302" s="27"/>
      <c r="F302" s="27"/>
      <c r="G302" s="27"/>
      <c r="H302" s="27"/>
      <c r="I302" s="27"/>
      <c r="J302" s="404"/>
      <c r="K302" s="307"/>
      <c r="L302" s="307"/>
      <c r="M302" s="307"/>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293"/>
      <c r="AW302" s="14"/>
      <c r="AX302" s="14"/>
      <c r="AY302" s="14"/>
      <c r="AZ302" s="14"/>
      <c r="BA302" s="14"/>
      <c r="BB302" s="14"/>
      <c r="BC302" s="14"/>
      <c r="BD302" s="70"/>
      <c r="BE302" s="165" t="s">
        <v>20</v>
      </c>
      <c r="BF302" s="23">
        <v>21</v>
      </c>
      <c r="BG302" s="23">
        <v>10</v>
      </c>
      <c r="BH302" s="23">
        <v>7</v>
      </c>
      <c r="BI302" s="90" t="b">
        <f t="shared" si="419"/>
        <v>0</v>
      </c>
      <c r="BJ302" s="46" t="b">
        <f t="shared" si="426"/>
        <v>0</v>
      </c>
      <c r="BK302" s="166">
        <f t="shared" si="427"/>
        <v>0</v>
      </c>
      <c r="BL302" s="175">
        <f>IF(SUM(BL$293:BL301,BK302)&gt;$BS$4,0,BK302)</f>
        <v>0</v>
      </c>
      <c r="BM302" s="23">
        <f t="shared" si="404"/>
        <v>0</v>
      </c>
      <c r="BN302" s="90">
        <f t="shared" si="405"/>
        <v>0</v>
      </c>
      <c r="BO302" s="24">
        <f t="shared" si="424"/>
        <v>0</v>
      </c>
      <c r="BP302" s="349">
        <f t="shared" si="428"/>
        <v>0</v>
      </c>
      <c r="BQ302" s="171">
        <f t="shared" si="429"/>
        <v>0</v>
      </c>
      <c r="BR302" s="170">
        <f t="shared" si="406"/>
        <v>0</v>
      </c>
      <c r="BS302" s="168">
        <f t="shared" si="430"/>
        <v>0</v>
      </c>
      <c r="BT302" s="171">
        <f t="shared" si="431"/>
        <v>0</v>
      </c>
      <c r="BU302" s="170">
        <f t="shared" si="407"/>
        <v>0</v>
      </c>
      <c r="BV302" s="168">
        <f t="shared" si="432"/>
        <v>0</v>
      </c>
      <c r="BW302" s="171">
        <f t="shared" si="433"/>
        <v>0</v>
      </c>
      <c r="BX302" s="170">
        <f t="shared" si="408"/>
        <v>0</v>
      </c>
      <c r="BY302" s="168">
        <f t="shared" si="434"/>
        <v>0</v>
      </c>
      <c r="BZ302" s="171">
        <f t="shared" si="435"/>
        <v>0</v>
      </c>
      <c r="CA302" s="170">
        <f t="shared" si="409"/>
        <v>0</v>
      </c>
      <c r="CB302" s="90">
        <f t="shared" si="436"/>
        <v>0</v>
      </c>
      <c r="CC302" s="171">
        <f t="shared" si="437"/>
        <v>0</v>
      </c>
      <c r="CD302" s="170">
        <f t="shared" si="410"/>
        <v>0</v>
      </c>
      <c r="CE302" s="90">
        <f t="shared" si="438"/>
        <v>0</v>
      </c>
      <c r="CF302" s="171">
        <f t="shared" si="439"/>
        <v>0</v>
      </c>
      <c r="CG302" s="170">
        <f t="shared" si="411"/>
        <v>0</v>
      </c>
      <c r="CH302" s="90">
        <f t="shared" si="440"/>
        <v>0</v>
      </c>
      <c r="CI302" s="171">
        <f t="shared" si="441"/>
        <v>0</v>
      </c>
      <c r="CJ302" s="170">
        <f t="shared" si="412"/>
        <v>0</v>
      </c>
      <c r="CK302" s="90">
        <f t="shared" si="442"/>
        <v>0</v>
      </c>
      <c r="CL302" s="171">
        <f t="shared" si="443"/>
        <v>0</v>
      </c>
      <c r="CM302" s="170">
        <f t="shared" si="413"/>
        <v>0</v>
      </c>
      <c r="CN302" s="90">
        <f t="shared" si="444"/>
        <v>0</v>
      </c>
      <c r="CO302" s="171">
        <f t="shared" si="445"/>
        <v>0</v>
      </c>
      <c r="CP302" s="170">
        <f t="shared" si="414"/>
        <v>0</v>
      </c>
      <c r="CQ302" s="90">
        <f t="shared" si="446"/>
        <v>0</v>
      </c>
      <c r="CR302" s="171">
        <f t="shared" si="447"/>
        <v>0</v>
      </c>
      <c r="CS302" s="170">
        <f t="shared" si="415"/>
        <v>0</v>
      </c>
      <c r="CT302" s="90">
        <f t="shared" si="448"/>
        <v>0</v>
      </c>
      <c r="CU302" s="171">
        <f t="shared" si="449"/>
        <v>0</v>
      </c>
      <c r="CV302" s="170">
        <f t="shared" si="416"/>
        <v>0</v>
      </c>
      <c r="CW302" s="90">
        <f t="shared" si="450"/>
        <v>0</v>
      </c>
      <c r="CX302" s="171">
        <f t="shared" si="451"/>
        <v>0</v>
      </c>
      <c r="CY302" s="170">
        <f t="shared" si="417"/>
        <v>0</v>
      </c>
      <c r="CZ302" s="168">
        <f t="shared" si="418"/>
        <v>0</v>
      </c>
      <c r="DA302" s="172">
        <f t="shared" si="420"/>
        <v>0</v>
      </c>
      <c r="DB302" s="173">
        <f t="shared" si="421"/>
        <v>0</v>
      </c>
      <c r="DC302" s="172">
        <f t="shared" si="452"/>
        <v>0</v>
      </c>
      <c r="DD302" s="172">
        <f t="shared" si="452"/>
        <v>0</v>
      </c>
      <c r="DE302" s="172">
        <f t="shared" si="452"/>
        <v>0</v>
      </c>
      <c r="DF302" s="172">
        <f t="shared" si="423"/>
        <v>0</v>
      </c>
      <c r="DG302" s="136"/>
      <c r="DH302" s="136"/>
      <c r="DI302" s="3"/>
      <c r="DJ302" s="8"/>
      <c r="DK302" s="8"/>
      <c r="DL302" s="8"/>
      <c r="DM302" s="8"/>
      <c r="DN302" s="8"/>
      <c r="DO302" s="8"/>
      <c r="DP302" s="8"/>
      <c r="DQ302" s="3"/>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row>
    <row r="303" spans="1:155" s="566" customFormat="1" ht="15" customHeight="1">
      <c r="A303" s="422"/>
      <c r="B303" s="437"/>
      <c r="C303" s="417"/>
      <c r="D303" s="273">
        <f>D302</f>
        <v>0</v>
      </c>
      <c r="E303" s="27"/>
      <c r="F303" s="27"/>
      <c r="G303" s="27"/>
      <c r="H303" s="27"/>
      <c r="I303" s="27"/>
      <c r="J303" s="404"/>
      <c r="K303" s="307"/>
      <c r="L303" s="307"/>
      <c r="M303" s="307"/>
      <c r="N303" s="222" t="s">
        <v>534</v>
      </c>
      <c r="O303" s="218"/>
      <c r="P303" s="218"/>
      <c r="Q303" s="218"/>
      <c r="R303" s="218"/>
      <c r="S303" s="218"/>
      <c r="T303" s="218"/>
      <c r="U303" s="218"/>
      <c r="V303" s="218"/>
      <c r="W303" s="218"/>
      <c r="X303" s="218"/>
      <c r="Y303" s="218"/>
      <c r="Z303" s="218"/>
      <c r="AA303" s="218"/>
      <c r="AB303" s="218"/>
      <c r="AC303" s="218"/>
      <c r="AD303" s="218"/>
      <c r="AE303" s="218"/>
      <c r="AF303" s="218"/>
      <c r="AG303" s="218"/>
      <c r="AH303" s="218"/>
      <c r="AI303" s="218"/>
      <c r="AJ303" s="218"/>
      <c r="AK303" s="218"/>
      <c r="AL303" s="218"/>
      <c r="AM303" s="218"/>
      <c r="AN303" s="218"/>
      <c r="AO303" s="218"/>
      <c r="AP303" s="218"/>
      <c r="AQ303" s="218"/>
      <c r="AR303" s="218"/>
      <c r="AS303" s="218"/>
      <c r="AT303" s="218"/>
      <c r="AU303" s="218"/>
      <c r="AV303" s="218"/>
      <c r="AW303" s="218"/>
      <c r="AX303" s="218"/>
      <c r="AY303" s="218"/>
      <c r="AZ303" s="218"/>
      <c r="BA303" s="218"/>
      <c r="BB303" s="218"/>
      <c r="BC303" s="218"/>
      <c r="BD303" s="70"/>
      <c r="BE303" s="165" t="s">
        <v>20</v>
      </c>
      <c r="BF303" s="23">
        <v>21</v>
      </c>
      <c r="BG303" s="23">
        <v>11</v>
      </c>
      <c r="BH303" s="23">
        <v>1</v>
      </c>
      <c r="BI303" s="90" t="b">
        <f t="shared" si="419"/>
        <v>1</v>
      </c>
      <c r="BJ303" s="46" t="b">
        <f t="shared" si="426"/>
        <v>0</v>
      </c>
      <c r="BK303" s="166">
        <f t="shared" si="427"/>
        <v>0</v>
      </c>
      <c r="BL303" s="175">
        <f>IF(SUM(BL$293:BL302,BK303)&gt;$BS$4,0,BK303)</f>
        <v>0</v>
      </c>
      <c r="BM303" s="23">
        <f t="shared" si="404"/>
        <v>0</v>
      </c>
      <c r="BN303" s="90">
        <f t="shared" si="405"/>
        <v>0</v>
      </c>
      <c r="BO303" s="24">
        <f t="shared" si="424"/>
        <v>0</v>
      </c>
      <c r="BP303" s="349">
        <f t="shared" si="428"/>
        <v>0</v>
      </c>
      <c r="BQ303" s="171">
        <f t="shared" si="429"/>
        <v>0</v>
      </c>
      <c r="BR303" s="170">
        <f t="shared" si="406"/>
        <v>0</v>
      </c>
      <c r="BS303" s="168">
        <f t="shared" si="430"/>
        <v>0</v>
      </c>
      <c r="BT303" s="171">
        <f t="shared" si="431"/>
        <v>0</v>
      </c>
      <c r="BU303" s="170">
        <f t="shared" si="407"/>
        <v>0</v>
      </c>
      <c r="BV303" s="168">
        <f t="shared" si="432"/>
        <v>0</v>
      </c>
      <c r="BW303" s="171">
        <f t="shared" si="433"/>
        <v>0</v>
      </c>
      <c r="BX303" s="170">
        <f t="shared" si="408"/>
        <v>0</v>
      </c>
      <c r="BY303" s="168">
        <f t="shared" si="434"/>
        <v>0</v>
      </c>
      <c r="BZ303" s="171">
        <f t="shared" si="435"/>
        <v>0</v>
      </c>
      <c r="CA303" s="170">
        <f t="shared" si="409"/>
        <v>0</v>
      </c>
      <c r="CB303" s="90">
        <f t="shared" si="436"/>
        <v>0</v>
      </c>
      <c r="CC303" s="171">
        <f t="shared" si="437"/>
        <v>0</v>
      </c>
      <c r="CD303" s="170">
        <f t="shared" si="410"/>
        <v>0</v>
      </c>
      <c r="CE303" s="90">
        <f t="shared" si="438"/>
        <v>0</v>
      </c>
      <c r="CF303" s="171">
        <f t="shared" si="439"/>
        <v>0</v>
      </c>
      <c r="CG303" s="170">
        <f t="shared" si="411"/>
        <v>0</v>
      </c>
      <c r="CH303" s="90">
        <f t="shared" si="440"/>
        <v>0</v>
      </c>
      <c r="CI303" s="171">
        <f t="shared" si="441"/>
        <v>0</v>
      </c>
      <c r="CJ303" s="170">
        <f t="shared" si="412"/>
        <v>0</v>
      </c>
      <c r="CK303" s="90">
        <f t="shared" si="442"/>
        <v>0</v>
      </c>
      <c r="CL303" s="171">
        <f t="shared" si="443"/>
        <v>0</v>
      </c>
      <c r="CM303" s="170">
        <f t="shared" si="413"/>
        <v>0</v>
      </c>
      <c r="CN303" s="90">
        <f t="shared" si="444"/>
        <v>0</v>
      </c>
      <c r="CO303" s="171">
        <f t="shared" si="445"/>
        <v>0</v>
      </c>
      <c r="CP303" s="170">
        <f t="shared" si="414"/>
        <v>0</v>
      </c>
      <c r="CQ303" s="90">
        <f t="shared" si="446"/>
        <v>0</v>
      </c>
      <c r="CR303" s="171">
        <f t="shared" si="447"/>
        <v>0</v>
      </c>
      <c r="CS303" s="170">
        <f t="shared" si="415"/>
        <v>0</v>
      </c>
      <c r="CT303" s="90">
        <f t="shared" si="448"/>
        <v>0</v>
      </c>
      <c r="CU303" s="171">
        <f t="shared" si="449"/>
        <v>0</v>
      </c>
      <c r="CV303" s="170">
        <f t="shared" si="416"/>
        <v>0</v>
      </c>
      <c r="CW303" s="90">
        <f t="shared" si="450"/>
        <v>0</v>
      </c>
      <c r="CX303" s="171">
        <f t="shared" si="451"/>
        <v>0</v>
      </c>
      <c r="CY303" s="170">
        <f t="shared" si="417"/>
        <v>0</v>
      </c>
      <c r="CZ303" s="168">
        <f t="shared" si="418"/>
        <v>0</v>
      </c>
      <c r="DA303" s="172">
        <f t="shared" si="420"/>
        <v>0</v>
      </c>
      <c r="DB303" s="173">
        <f t="shared" si="421"/>
        <v>0</v>
      </c>
      <c r="DC303" s="172">
        <f t="shared" si="452"/>
        <v>0</v>
      </c>
      <c r="DD303" s="172">
        <f t="shared" si="452"/>
        <v>0</v>
      </c>
      <c r="DE303" s="172">
        <f t="shared" si="452"/>
        <v>0</v>
      </c>
      <c r="DF303" s="172">
        <f>IF(DA303-(DE302+CZ303)&lt;0,0,DA303-(DE302+CZ303))</f>
        <v>0</v>
      </c>
      <c r="DG303" s="136"/>
      <c r="DH303" s="136"/>
      <c r="DI303" s="3"/>
      <c r="DJ303" s="8"/>
      <c r="DK303" s="8"/>
      <c r="DL303" s="8"/>
      <c r="DM303" s="8"/>
      <c r="DN303" s="8"/>
      <c r="DO303" s="8"/>
      <c r="DP303" s="8"/>
      <c r="DQ303" s="3"/>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row>
    <row r="304" spans="1:155" s="566" customFormat="1" ht="15" customHeight="1">
      <c r="A304" s="422"/>
      <c r="B304" s="27"/>
      <c r="C304" s="27"/>
      <c r="D304" s="27"/>
      <c r="E304" s="27"/>
      <c r="F304" s="27"/>
      <c r="G304" s="27"/>
      <c r="H304" s="27"/>
      <c r="I304" s="27"/>
      <c r="J304" s="404"/>
      <c r="K304" s="307"/>
      <c r="L304" s="307"/>
      <c r="M304" s="307"/>
      <c r="N304" s="14" t="s">
        <v>491</v>
      </c>
      <c r="O304" s="14" t="b">
        <f>F308="Yes"</f>
        <v>0</v>
      </c>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293"/>
      <c r="AW304" s="14"/>
      <c r="AX304" s="14"/>
      <c r="AY304" s="14"/>
      <c r="AZ304" s="14"/>
      <c r="BA304" s="14"/>
      <c r="BB304" s="14"/>
      <c r="BC304" s="14"/>
      <c r="BD304" s="70"/>
      <c r="BE304" s="165" t="s">
        <v>20</v>
      </c>
      <c r="BF304" s="23">
        <v>21</v>
      </c>
      <c r="BG304" s="23">
        <v>12</v>
      </c>
      <c r="BH304" s="23">
        <v>2</v>
      </c>
      <c r="BI304" s="90" t="b">
        <f t="shared" si="419"/>
        <v>1</v>
      </c>
      <c r="BJ304" s="46" t="b">
        <f t="shared" si="426"/>
        <v>1</v>
      </c>
      <c r="BK304" s="166">
        <f t="shared" si="427"/>
        <v>7.2</v>
      </c>
      <c r="BL304" s="175">
        <f>IF(SUM(BL$293:BL303,BK304)&gt;$BS$4,0,BK304)</f>
        <v>7.2</v>
      </c>
      <c r="BM304" s="23">
        <f t="shared" si="404"/>
        <v>0</v>
      </c>
      <c r="BN304" s="90">
        <f t="shared" si="405"/>
        <v>0</v>
      </c>
      <c r="BO304" s="24">
        <f t="shared" si="424"/>
        <v>0</v>
      </c>
      <c r="BP304" s="349">
        <f t="shared" si="428"/>
        <v>0</v>
      </c>
      <c r="BQ304" s="171">
        <f t="shared" si="429"/>
        <v>0</v>
      </c>
      <c r="BR304" s="170">
        <f t="shared" si="406"/>
        <v>0</v>
      </c>
      <c r="BS304" s="168">
        <f t="shared" si="430"/>
        <v>0</v>
      </c>
      <c r="BT304" s="171">
        <f t="shared" si="431"/>
        <v>0</v>
      </c>
      <c r="BU304" s="170">
        <f t="shared" si="407"/>
        <v>0</v>
      </c>
      <c r="BV304" s="168">
        <f t="shared" si="432"/>
        <v>0</v>
      </c>
      <c r="BW304" s="171">
        <f t="shared" si="433"/>
        <v>0</v>
      </c>
      <c r="BX304" s="170">
        <f t="shared" si="408"/>
        <v>0</v>
      </c>
      <c r="BY304" s="168">
        <f t="shared" si="434"/>
        <v>0</v>
      </c>
      <c r="BZ304" s="171">
        <f t="shared" si="435"/>
        <v>0</v>
      </c>
      <c r="CA304" s="170">
        <f t="shared" si="409"/>
        <v>0</v>
      </c>
      <c r="CB304" s="90">
        <f t="shared" si="436"/>
        <v>0</v>
      </c>
      <c r="CC304" s="171">
        <f t="shared" si="437"/>
        <v>0</v>
      </c>
      <c r="CD304" s="170">
        <f t="shared" si="410"/>
        <v>0</v>
      </c>
      <c r="CE304" s="90">
        <f t="shared" si="438"/>
        <v>0</v>
      </c>
      <c r="CF304" s="171">
        <f t="shared" si="439"/>
        <v>0</v>
      </c>
      <c r="CG304" s="170">
        <f t="shared" si="411"/>
        <v>0</v>
      </c>
      <c r="CH304" s="90">
        <f t="shared" si="440"/>
        <v>0</v>
      </c>
      <c r="CI304" s="171">
        <f t="shared" si="441"/>
        <v>0</v>
      </c>
      <c r="CJ304" s="170">
        <f t="shared" si="412"/>
        <v>0</v>
      </c>
      <c r="CK304" s="90">
        <f t="shared" si="442"/>
        <v>0</v>
      </c>
      <c r="CL304" s="171">
        <f t="shared" si="443"/>
        <v>0</v>
      </c>
      <c r="CM304" s="170">
        <f t="shared" si="413"/>
        <v>0</v>
      </c>
      <c r="CN304" s="90">
        <f t="shared" si="444"/>
        <v>0</v>
      </c>
      <c r="CO304" s="171">
        <f t="shared" si="445"/>
        <v>0</v>
      </c>
      <c r="CP304" s="170">
        <f t="shared" si="414"/>
        <v>0</v>
      </c>
      <c r="CQ304" s="90">
        <f t="shared" si="446"/>
        <v>0</v>
      </c>
      <c r="CR304" s="171">
        <f t="shared" si="447"/>
        <v>0</v>
      </c>
      <c r="CS304" s="170">
        <f t="shared" si="415"/>
        <v>0</v>
      </c>
      <c r="CT304" s="90">
        <f t="shared" si="448"/>
        <v>0</v>
      </c>
      <c r="CU304" s="171">
        <f t="shared" si="449"/>
        <v>0</v>
      </c>
      <c r="CV304" s="170">
        <f t="shared" si="416"/>
        <v>0</v>
      </c>
      <c r="CW304" s="90">
        <f t="shared" si="450"/>
        <v>0</v>
      </c>
      <c r="CX304" s="171">
        <f t="shared" si="451"/>
        <v>0</v>
      </c>
      <c r="CY304" s="170">
        <f t="shared" si="417"/>
        <v>0</v>
      </c>
      <c r="CZ304" s="168">
        <f t="shared" si="418"/>
        <v>0</v>
      </c>
      <c r="DA304" s="172">
        <f t="shared" si="420"/>
        <v>0</v>
      </c>
      <c r="DB304" s="173">
        <f t="shared" si="421"/>
        <v>0</v>
      </c>
      <c r="DC304" s="172">
        <f t="shared" si="452"/>
        <v>0</v>
      </c>
      <c r="DD304" s="172">
        <f t="shared" si="452"/>
        <v>0</v>
      </c>
      <c r="DE304" s="172">
        <f t="shared" si="452"/>
        <v>0</v>
      </c>
      <c r="DF304" s="172">
        <f>IF(DA304-(DE303+CZ304)&lt;0,0,DA304-(DE303+CZ304))</f>
        <v>0</v>
      </c>
      <c r="DG304" s="136"/>
      <c r="DH304" s="136"/>
      <c r="DI304" s="3"/>
      <c r="DJ304" s="8"/>
      <c r="DK304" s="8"/>
      <c r="DL304" s="8"/>
      <c r="DM304" s="8"/>
      <c r="DN304" s="8"/>
      <c r="DO304" s="8"/>
      <c r="DP304" s="8"/>
      <c r="DQ304" s="3"/>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row>
    <row r="305" spans="1:155" s="566" customFormat="1" ht="15" customHeight="1">
      <c r="A305" s="422"/>
      <c r="B305" s="217" t="s">
        <v>535</v>
      </c>
      <c r="C305" s="218"/>
      <c r="D305" s="218"/>
      <c r="E305" s="218"/>
      <c r="F305" s="218"/>
      <c r="G305" s="218"/>
      <c r="H305" s="218"/>
      <c r="I305" s="218"/>
      <c r="J305" s="218"/>
      <c r="K305" s="218"/>
      <c r="L305" s="218"/>
      <c r="M305" s="218"/>
      <c r="N305" s="14" t="s">
        <v>536</v>
      </c>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293"/>
      <c r="AW305" s="14"/>
      <c r="AX305" s="14"/>
      <c r="AY305" s="14"/>
      <c r="AZ305" s="14"/>
      <c r="BA305" s="14"/>
      <c r="BB305" s="14"/>
      <c r="BC305" s="14"/>
      <c r="BD305" s="70"/>
      <c r="BE305" s="165" t="s">
        <v>20</v>
      </c>
      <c r="BF305" s="23">
        <v>21</v>
      </c>
      <c r="BG305" s="23">
        <v>13</v>
      </c>
      <c r="BH305" s="23">
        <v>3</v>
      </c>
      <c r="BI305" s="90" t="b">
        <f t="shared" si="419"/>
        <v>1</v>
      </c>
      <c r="BJ305" s="46" t="b">
        <f t="shared" si="426"/>
        <v>0</v>
      </c>
      <c r="BK305" s="166">
        <f t="shared" si="427"/>
        <v>0</v>
      </c>
      <c r="BL305" s="175">
        <f>IF(SUM(BL$293:BL304,BK305)&gt;$BS$4,0,BK305)</f>
        <v>0</v>
      </c>
      <c r="BM305" s="23">
        <f t="shared" si="404"/>
        <v>0</v>
      </c>
      <c r="BN305" s="90">
        <f t="shared" si="405"/>
        <v>0</v>
      </c>
      <c r="BO305" s="24">
        <f t="shared" si="424"/>
        <v>0</v>
      </c>
      <c r="BP305" s="349">
        <f t="shared" si="428"/>
        <v>0</v>
      </c>
      <c r="BQ305" s="171">
        <f t="shared" si="429"/>
        <v>0</v>
      </c>
      <c r="BR305" s="170">
        <f t="shared" si="406"/>
        <v>0</v>
      </c>
      <c r="BS305" s="168">
        <f t="shared" si="430"/>
        <v>0</v>
      </c>
      <c r="BT305" s="171">
        <f t="shared" si="431"/>
        <v>0</v>
      </c>
      <c r="BU305" s="170">
        <f t="shared" si="407"/>
        <v>0</v>
      </c>
      <c r="BV305" s="168">
        <f t="shared" si="432"/>
        <v>0</v>
      </c>
      <c r="BW305" s="171">
        <f t="shared" si="433"/>
        <v>0</v>
      </c>
      <c r="BX305" s="170">
        <f t="shared" si="408"/>
        <v>0</v>
      </c>
      <c r="BY305" s="168">
        <f t="shared" si="434"/>
        <v>0</v>
      </c>
      <c r="BZ305" s="171">
        <f t="shared" si="435"/>
        <v>0</v>
      </c>
      <c r="CA305" s="170">
        <f t="shared" si="409"/>
        <v>0</v>
      </c>
      <c r="CB305" s="90">
        <f t="shared" si="436"/>
        <v>0</v>
      </c>
      <c r="CC305" s="171">
        <f t="shared" si="437"/>
        <v>0</v>
      </c>
      <c r="CD305" s="170">
        <f t="shared" si="410"/>
        <v>0</v>
      </c>
      <c r="CE305" s="90">
        <f t="shared" si="438"/>
        <v>0</v>
      </c>
      <c r="CF305" s="171">
        <f t="shared" si="439"/>
        <v>0</v>
      </c>
      <c r="CG305" s="170">
        <f t="shared" si="411"/>
        <v>0</v>
      </c>
      <c r="CH305" s="90">
        <f t="shared" si="440"/>
        <v>0</v>
      </c>
      <c r="CI305" s="171">
        <f t="shared" si="441"/>
        <v>0</v>
      </c>
      <c r="CJ305" s="170">
        <f t="shared" si="412"/>
        <v>0</v>
      </c>
      <c r="CK305" s="90">
        <f t="shared" si="442"/>
        <v>0</v>
      </c>
      <c r="CL305" s="171">
        <f t="shared" si="443"/>
        <v>0</v>
      </c>
      <c r="CM305" s="170">
        <f t="shared" si="413"/>
        <v>0</v>
      </c>
      <c r="CN305" s="90">
        <f t="shared" si="444"/>
        <v>0</v>
      </c>
      <c r="CO305" s="171">
        <f t="shared" si="445"/>
        <v>0</v>
      </c>
      <c r="CP305" s="170">
        <f t="shared" si="414"/>
        <v>0</v>
      </c>
      <c r="CQ305" s="90">
        <f t="shared" si="446"/>
        <v>0</v>
      </c>
      <c r="CR305" s="171">
        <f t="shared" si="447"/>
        <v>0</v>
      </c>
      <c r="CS305" s="170">
        <f t="shared" si="415"/>
        <v>0</v>
      </c>
      <c r="CT305" s="90">
        <f t="shared" si="448"/>
        <v>0</v>
      </c>
      <c r="CU305" s="171">
        <f t="shared" si="449"/>
        <v>0</v>
      </c>
      <c r="CV305" s="170">
        <f t="shared" si="416"/>
        <v>0</v>
      </c>
      <c r="CW305" s="90">
        <f t="shared" si="450"/>
        <v>0</v>
      </c>
      <c r="CX305" s="171">
        <f t="shared" si="451"/>
        <v>0</v>
      </c>
      <c r="CY305" s="170">
        <f t="shared" si="417"/>
        <v>0</v>
      </c>
      <c r="CZ305" s="168">
        <f t="shared" si="418"/>
        <v>0</v>
      </c>
      <c r="DA305" s="172">
        <f t="shared" si="420"/>
        <v>0</v>
      </c>
      <c r="DB305" s="173">
        <f t="shared" si="421"/>
        <v>0</v>
      </c>
      <c r="DC305" s="172">
        <f t="shared" si="452"/>
        <v>0</v>
      </c>
      <c r="DD305" s="172">
        <f t="shared" si="452"/>
        <v>0</v>
      </c>
      <c r="DE305" s="172">
        <f t="shared" si="452"/>
        <v>0</v>
      </c>
      <c r="DF305" s="172">
        <f t="shared" si="423"/>
        <v>0</v>
      </c>
      <c r="DG305" s="136"/>
      <c r="DH305" s="136"/>
      <c r="DI305" s="3"/>
      <c r="DJ305" s="8"/>
      <c r="DK305" s="8"/>
      <c r="DL305" s="8"/>
      <c r="DM305" s="8"/>
      <c r="DN305" s="8"/>
      <c r="DO305" s="8"/>
      <c r="DP305" s="8"/>
      <c r="DQ305" s="3"/>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row>
    <row r="306" spans="1:155" s="566" customFormat="1" ht="15" customHeight="1">
      <c r="A306" s="422"/>
      <c r="B306" s="277" t="s">
        <v>537</v>
      </c>
      <c r="C306" s="27"/>
      <c r="D306" s="27"/>
      <c r="E306" s="27"/>
      <c r="F306" s="27"/>
      <c r="G306" s="27"/>
      <c r="H306" s="27"/>
      <c r="I306" s="27"/>
      <c r="J306" s="404"/>
      <c r="K306" s="307"/>
      <c r="L306" s="307"/>
      <c r="M306" s="307"/>
      <c r="N306" s="434">
        <v>0.03</v>
      </c>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293"/>
      <c r="AW306" s="14"/>
      <c r="AX306" s="14"/>
      <c r="AY306" s="14"/>
      <c r="AZ306" s="14"/>
      <c r="BA306" s="14"/>
      <c r="BB306" s="14"/>
      <c r="BC306" s="14"/>
      <c r="BD306" s="70"/>
      <c r="BE306" s="165" t="s">
        <v>20</v>
      </c>
      <c r="BF306" s="23">
        <v>21</v>
      </c>
      <c r="BG306" s="23">
        <v>14</v>
      </c>
      <c r="BH306" s="23">
        <v>4</v>
      </c>
      <c r="BI306" s="90" t="b">
        <f t="shared" si="419"/>
        <v>1</v>
      </c>
      <c r="BJ306" s="46" t="b">
        <f t="shared" si="426"/>
        <v>0</v>
      </c>
      <c r="BK306" s="166">
        <f t="shared" si="427"/>
        <v>0</v>
      </c>
      <c r="BL306" s="175">
        <f>IF(SUM(BL$293:BL305,BK306)&gt;$BS$4,0,BK306)</f>
        <v>0</v>
      </c>
      <c r="BM306" s="23">
        <f t="shared" si="404"/>
        <v>0</v>
      </c>
      <c r="BN306" s="90">
        <f t="shared" si="405"/>
        <v>0</v>
      </c>
      <c r="BO306" s="24">
        <f t="shared" si="424"/>
        <v>0</v>
      </c>
      <c r="BP306" s="349">
        <f t="shared" si="428"/>
        <v>0</v>
      </c>
      <c r="BQ306" s="171">
        <f t="shared" si="429"/>
        <v>0</v>
      </c>
      <c r="BR306" s="170">
        <f t="shared" si="406"/>
        <v>0</v>
      </c>
      <c r="BS306" s="168">
        <f t="shared" si="430"/>
        <v>0</v>
      </c>
      <c r="BT306" s="171">
        <f t="shared" si="431"/>
        <v>0</v>
      </c>
      <c r="BU306" s="170">
        <f t="shared" si="407"/>
        <v>0</v>
      </c>
      <c r="BV306" s="168">
        <f t="shared" si="432"/>
        <v>0</v>
      </c>
      <c r="BW306" s="171">
        <f t="shared" si="433"/>
        <v>0</v>
      </c>
      <c r="BX306" s="170">
        <f t="shared" si="408"/>
        <v>0</v>
      </c>
      <c r="BY306" s="168">
        <f t="shared" si="434"/>
        <v>0</v>
      </c>
      <c r="BZ306" s="171">
        <f t="shared" si="435"/>
        <v>0</v>
      </c>
      <c r="CA306" s="170">
        <f t="shared" si="409"/>
        <v>0</v>
      </c>
      <c r="CB306" s="90">
        <f t="shared" si="436"/>
        <v>0</v>
      </c>
      <c r="CC306" s="171">
        <f t="shared" si="437"/>
        <v>0</v>
      </c>
      <c r="CD306" s="170">
        <f t="shared" si="410"/>
        <v>0</v>
      </c>
      <c r="CE306" s="90">
        <f t="shared" si="438"/>
        <v>0</v>
      </c>
      <c r="CF306" s="171">
        <f t="shared" si="439"/>
        <v>0</v>
      </c>
      <c r="CG306" s="170">
        <f t="shared" si="411"/>
        <v>0</v>
      </c>
      <c r="CH306" s="90">
        <f t="shared" si="440"/>
        <v>0</v>
      </c>
      <c r="CI306" s="171">
        <f t="shared" si="441"/>
        <v>0</v>
      </c>
      <c r="CJ306" s="170">
        <f t="shared" si="412"/>
        <v>0</v>
      </c>
      <c r="CK306" s="90">
        <f t="shared" si="442"/>
        <v>0</v>
      </c>
      <c r="CL306" s="171">
        <f t="shared" si="443"/>
        <v>0</v>
      </c>
      <c r="CM306" s="170">
        <f t="shared" si="413"/>
        <v>0</v>
      </c>
      <c r="CN306" s="90">
        <f t="shared" si="444"/>
        <v>0</v>
      </c>
      <c r="CO306" s="171">
        <f t="shared" si="445"/>
        <v>0</v>
      </c>
      <c r="CP306" s="170">
        <f t="shared" si="414"/>
        <v>0</v>
      </c>
      <c r="CQ306" s="90">
        <f t="shared" si="446"/>
        <v>0</v>
      </c>
      <c r="CR306" s="171">
        <f t="shared" si="447"/>
        <v>0</v>
      </c>
      <c r="CS306" s="170">
        <f t="shared" si="415"/>
        <v>0</v>
      </c>
      <c r="CT306" s="90">
        <f t="shared" si="448"/>
        <v>0</v>
      </c>
      <c r="CU306" s="171">
        <f t="shared" si="449"/>
        <v>0</v>
      </c>
      <c r="CV306" s="170">
        <f t="shared" si="416"/>
        <v>0</v>
      </c>
      <c r="CW306" s="90">
        <f t="shared" si="450"/>
        <v>0</v>
      </c>
      <c r="CX306" s="171">
        <f t="shared" si="451"/>
        <v>0</v>
      </c>
      <c r="CY306" s="170">
        <f t="shared" si="417"/>
        <v>0</v>
      </c>
      <c r="CZ306" s="168">
        <f t="shared" si="418"/>
        <v>0</v>
      </c>
      <c r="DA306" s="172">
        <f t="shared" si="420"/>
        <v>0</v>
      </c>
      <c r="DB306" s="173">
        <f t="shared" si="421"/>
        <v>0</v>
      </c>
      <c r="DC306" s="172">
        <f t="shared" si="452"/>
        <v>0</v>
      </c>
      <c r="DD306" s="172">
        <f t="shared" si="452"/>
        <v>0</v>
      </c>
      <c r="DE306" s="172">
        <f t="shared" si="452"/>
        <v>0</v>
      </c>
      <c r="DF306" s="172">
        <f t="shared" si="423"/>
        <v>0</v>
      </c>
      <c r="DG306" s="136"/>
      <c r="DH306" s="136"/>
      <c r="DI306" s="3"/>
      <c r="DJ306" s="8"/>
      <c r="DK306" s="8"/>
      <c r="DL306" s="8"/>
      <c r="DM306" s="8"/>
      <c r="DN306" s="8"/>
      <c r="DO306" s="8"/>
      <c r="DP306" s="8"/>
      <c r="DQ306" s="3"/>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row>
    <row r="307" spans="1:155" s="566" customFormat="1" ht="15" customHeight="1">
      <c r="A307" s="422"/>
      <c r="B307" s="277" t="s">
        <v>538</v>
      </c>
      <c r="C307" s="27"/>
      <c r="D307" s="27"/>
      <c r="E307" s="27"/>
      <c r="F307" s="27"/>
      <c r="G307" s="27"/>
      <c r="H307" s="27"/>
      <c r="I307" s="27"/>
      <c r="J307" s="404"/>
      <c r="K307" s="307"/>
      <c r="L307" s="307"/>
      <c r="M307" s="307"/>
      <c r="N307" s="14" t="s">
        <v>539</v>
      </c>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293"/>
      <c r="AW307" s="14"/>
      <c r="AX307" s="14"/>
      <c r="AY307" s="14"/>
      <c r="AZ307" s="14"/>
      <c r="BA307" s="14"/>
      <c r="BB307" s="14"/>
      <c r="BC307" s="14"/>
      <c r="BD307" s="70"/>
      <c r="BE307" s="165" t="s">
        <v>20</v>
      </c>
      <c r="BF307" s="23">
        <v>21</v>
      </c>
      <c r="BG307" s="23">
        <v>15</v>
      </c>
      <c r="BH307" s="23">
        <v>5</v>
      </c>
      <c r="BI307" s="90" t="b">
        <f t="shared" si="419"/>
        <v>1</v>
      </c>
      <c r="BJ307" s="46" t="b">
        <f t="shared" si="426"/>
        <v>1</v>
      </c>
      <c r="BK307" s="166">
        <f t="shared" si="427"/>
        <v>7.2</v>
      </c>
      <c r="BL307" s="175">
        <f>IF(SUM(BL$293:BL306,BK307)&gt;$BS$4,0,BK307)</f>
        <v>7.2</v>
      </c>
      <c r="BM307" s="23">
        <f t="shared" si="404"/>
        <v>0</v>
      </c>
      <c r="BN307" s="90">
        <f t="shared" si="405"/>
        <v>0</v>
      </c>
      <c r="BO307" s="24">
        <f t="shared" si="424"/>
        <v>0</v>
      </c>
      <c r="BP307" s="349">
        <f t="shared" si="428"/>
        <v>0</v>
      </c>
      <c r="BQ307" s="171">
        <f t="shared" si="429"/>
        <v>0</v>
      </c>
      <c r="BR307" s="170">
        <f t="shared" si="406"/>
        <v>0</v>
      </c>
      <c r="BS307" s="168">
        <f t="shared" si="430"/>
        <v>0</v>
      </c>
      <c r="BT307" s="171">
        <f t="shared" si="431"/>
        <v>0</v>
      </c>
      <c r="BU307" s="170">
        <f t="shared" si="407"/>
        <v>0</v>
      </c>
      <c r="BV307" s="168">
        <f t="shared" si="432"/>
        <v>0</v>
      </c>
      <c r="BW307" s="171">
        <f t="shared" si="433"/>
        <v>0</v>
      </c>
      <c r="BX307" s="170">
        <f t="shared" si="408"/>
        <v>0</v>
      </c>
      <c r="BY307" s="168">
        <f t="shared" si="434"/>
        <v>0</v>
      </c>
      <c r="BZ307" s="171">
        <f t="shared" si="435"/>
        <v>0</v>
      </c>
      <c r="CA307" s="170">
        <f t="shared" si="409"/>
        <v>0</v>
      </c>
      <c r="CB307" s="90">
        <f t="shared" si="436"/>
        <v>0</v>
      </c>
      <c r="CC307" s="171">
        <f t="shared" si="437"/>
        <v>0</v>
      </c>
      <c r="CD307" s="170">
        <f t="shared" si="410"/>
        <v>0</v>
      </c>
      <c r="CE307" s="90">
        <f t="shared" si="438"/>
        <v>0</v>
      </c>
      <c r="CF307" s="171">
        <f t="shared" si="439"/>
        <v>0</v>
      </c>
      <c r="CG307" s="170">
        <f t="shared" si="411"/>
        <v>0</v>
      </c>
      <c r="CH307" s="90">
        <f t="shared" si="440"/>
        <v>0</v>
      </c>
      <c r="CI307" s="171">
        <f t="shared" si="441"/>
        <v>0</v>
      </c>
      <c r="CJ307" s="170">
        <f t="shared" si="412"/>
        <v>0</v>
      </c>
      <c r="CK307" s="90">
        <f t="shared" si="442"/>
        <v>0</v>
      </c>
      <c r="CL307" s="171">
        <f t="shared" si="443"/>
        <v>0</v>
      </c>
      <c r="CM307" s="170">
        <f t="shared" si="413"/>
        <v>0</v>
      </c>
      <c r="CN307" s="90">
        <f t="shared" si="444"/>
        <v>0</v>
      </c>
      <c r="CO307" s="171">
        <f t="shared" si="445"/>
        <v>0</v>
      </c>
      <c r="CP307" s="170">
        <f t="shared" si="414"/>
        <v>0</v>
      </c>
      <c r="CQ307" s="90">
        <f t="shared" si="446"/>
        <v>0</v>
      </c>
      <c r="CR307" s="171">
        <f t="shared" si="447"/>
        <v>0</v>
      </c>
      <c r="CS307" s="170">
        <f t="shared" si="415"/>
        <v>0</v>
      </c>
      <c r="CT307" s="90">
        <f t="shared" si="448"/>
        <v>0</v>
      </c>
      <c r="CU307" s="171">
        <f t="shared" si="449"/>
        <v>0</v>
      </c>
      <c r="CV307" s="170">
        <f t="shared" si="416"/>
        <v>0</v>
      </c>
      <c r="CW307" s="90">
        <f t="shared" si="450"/>
        <v>0</v>
      </c>
      <c r="CX307" s="171">
        <f t="shared" si="451"/>
        <v>0</v>
      </c>
      <c r="CY307" s="170">
        <f t="shared" si="417"/>
        <v>0</v>
      </c>
      <c r="CZ307" s="168">
        <f t="shared" si="418"/>
        <v>0</v>
      </c>
      <c r="DA307" s="172">
        <f t="shared" si="420"/>
        <v>0</v>
      </c>
      <c r="DB307" s="173">
        <f t="shared" si="421"/>
        <v>0</v>
      </c>
      <c r="DC307" s="172">
        <f t="shared" si="452"/>
        <v>0</v>
      </c>
      <c r="DD307" s="172">
        <f t="shared" si="452"/>
        <v>0</v>
      </c>
      <c r="DE307" s="172">
        <f t="shared" si="452"/>
        <v>0</v>
      </c>
      <c r="DF307" s="172">
        <f t="shared" si="423"/>
        <v>0</v>
      </c>
      <c r="DG307" s="136"/>
      <c r="DH307" s="136"/>
      <c r="DI307" s="3"/>
      <c r="DJ307" s="8"/>
      <c r="DK307" s="8"/>
      <c r="DL307" s="8"/>
      <c r="DM307" s="8"/>
      <c r="DN307" s="8"/>
      <c r="DO307" s="8"/>
      <c r="DP307" s="8"/>
      <c r="DQ307" s="3"/>
      <c r="DR307" s="8"/>
      <c r="DS307" s="8"/>
      <c r="DT307" s="8"/>
      <c r="DU307" s="8"/>
      <c r="DV307" s="8"/>
      <c r="DW307" s="8"/>
      <c r="DX307" s="8"/>
      <c r="DY307" s="8"/>
      <c r="DZ307" s="8"/>
      <c r="EA307" s="8"/>
      <c r="EB307" s="8"/>
      <c r="EC307" s="8"/>
      <c r="ED307" s="8"/>
      <c r="EE307" s="8"/>
      <c r="EF307" s="8"/>
      <c r="EG307" s="8"/>
      <c r="EH307" s="8"/>
      <c r="EI307" s="8"/>
      <c r="EJ307" s="8"/>
      <c r="EK307" s="8"/>
      <c r="EL307" s="8"/>
      <c r="EM307" s="8"/>
      <c r="EN307" s="8"/>
      <c r="EO307" s="8"/>
      <c r="EP307" s="8"/>
      <c r="EQ307" s="8"/>
      <c r="ER307" s="8"/>
      <c r="ES307" s="8"/>
      <c r="ET307" s="8"/>
      <c r="EU307" s="8"/>
      <c r="EV307" s="8"/>
      <c r="EW307" s="8"/>
      <c r="EX307" s="8"/>
      <c r="EY307" s="8"/>
    </row>
    <row r="308" spans="1:155" s="566" customFormat="1" ht="15" customHeight="1">
      <c r="A308" s="422"/>
      <c r="B308" s="655" t="s">
        <v>540</v>
      </c>
      <c r="C308" s="655"/>
      <c r="D308" s="655"/>
      <c r="E308" s="656"/>
      <c r="F308" s="231" t="s">
        <v>417</v>
      </c>
      <c r="G308" s="27"/>
      <c r="H308" s="27"/>
      <c r="I308" s="27"/>
      <c r="J308" s="404"/>
      <c r="K308" s="307"/>
      <c r="L308" s="307"/>
      <c r="M308" s="307"/>
      <c r="N308" s="14" t="b">
        <f>F308="Yes"</f>
        <v>0</v>
      </c>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293"/>
      <c r="AW308" s="14"/>
      <c r="AX308" s="14"/>
      <c r="AY308" s="14"/>
      <c r="AZ308" s="14"/>
      <c r="BA308" s="14"/>
      <c r="BB308" s="14"/>
      <c r="BC308" s="14"/>
      <c r="BD308" s="70"/>
      <c r="BE308" s="165" t="s">
        <v>20</v>
      </c>
      <c r="BF308" s="23">
        <v>21</v>
      </c>
      <c r="BG308" s="23">
        <v>16</v>
      </c>
      <c r="BH308" s="23">
        <v>6</v>
      </c>
      <c r="BI308" s="90" t="b">
        <f t="shared" si="419"/>
        <v>0</v>
      </c>
      <c r="BJ308" s="46" t="b">
        <f t="shared" si="426"/>
        <v>0</v>
      </c>
      <c r="BK308" s="166">
        <f t="shared" si="427"/>
        <v>0</v>
      </c>
      <c r="BL308" s="175">
        <f>IF(SUM(BL$293:BL307,BK308)&gt;$BS$4,0,BK308)</f>
        <v>0</v>
      </c>
      <c r="BM308" s="23">
        <f t="shared" si="404"/>
        <v>0</v>
      </c>
      <c r="BN308" s="90">
        <f t="shared" si="405"/>
        <v>0</v>
      </c>
      <c r="BO308" s="24">
        <f t="shared" si="424"/>
        <v>0</v>
      </c>
      <c r="BP308" s="349">
        <f t="shared" si="428"/>
        <v>0</v>
      </c>
      <c r="BQ308" s="171">
        <f t="shared" si="429"/>
        <v>0</v>
      </c>
      <c r="BR308" s="170">
        <f t="shared" si="406"/>
        <v>0</v>
      </c>
      <c r="BS308" s="168">
        <f t="shared" si="430"/>
        <v>0</v>
      </c>
      <c r="BT308" s="171">
        <f t="shared" si="431"/>
        <v>0</v>
      </c>
      <c r="BU308" s="170">
        <f t="shared" si="407"/>
        <v>0</v>
      </c>
      <c r="BV308" s="168">
        <f t="shared" si="432"/>
        <v>0</v>
      </c>
      <c r="BW308" s="171">
        <f t="shared" si="433"/>
        <v>0</v>
      </c>
      <c r="BX308" s="170">
        <f t="shared" si="408"/>
        <v>0</v>
      </c>
      <c r="BY308" s="168">
        <f t="shared" si="434"/>
        <v>0</v>
      </c>
      <c r="BZ308" s="171">
        <f t="shared" si="435"/>
        <v>0</v>
      </c>
      <c r="CA308" s="170">
        <f t="shared" si="409"/>
        <v>0</v>
      </c>
      <c r="CB308" s="90">
        <f t="shared" si="436"/>
        <v>0</v>
      </c>
      <c r="CC308" s="171">
        <f t="shared" si="437"/>
        <v>0</v>
      </c>
      <c r="CD308" s="170">
        <f t="shared" si="410"/>
        <v>0</v>
      </c>
      <c r="CE308" s="90">
        <f t="shared" si="438"/>
        <v>0</v>
      </c>
      <c r="CF308" s="171">
        <f t="shared" si="439"/>
        <v>0</v>
      </c>
      <c r="CG308" s="170">
        <f t="shared" si="411"/>
        <v>0</v>
      </c>
      <c r="CH308" s="90">
        <f t="shared" si="440"/>
        <v>0</v>
      </c>
      <c r="CI308" s="171">
        <f t="shared" si="441"/>
        <v>0</v>
      </c>
      <c r="CJ308" s="170">
        <f t="shared" si="412"/>
        <v>0</v>
      </c>
      <c r="CK308" s="90">
        <f t="shared" si="442"/>
        <v>0</v>
      </c>
      <c r="CL308" s="171">
        <f t="shared" si="443"/>
        <v>0</v>
      </c>
      <c r="CM308" s="170">
        <f t="shared" si="413"/>
        <v>0</v>
      </c>
      <c r="CN308" s="90">
        <f t="shared" si="444"/>
        <v>0</v>
      </c>
      <c r="CO308" s="171">
        <f t="shared" si="445"/>
        <v>0</v>
      </c>
      <c r="CP308" s="170">
        <f t="shared" si="414"/>
        <v>0</v>
      </c>
      <c r="CQ308" s="90">
        <f t="shared" si="446"/>
        <v>0</v>
      </c>
      <c r="CR308" s="171">
        <f t="shared" si="447"/>
        <v>0</v>
      </c>
      <c r="CS308" s="170">
        <f t="shared" si="415"/>
        <v>0</v>
      </c>
      <c r="CT308" s="90">
        <f t="shared" si="448"/>
        <v>0</v>
      </c>
      <c r="CU308" s="171">
        <f t="shared" si="449"/>
        <v>0</v>
      </c>
      <c r="CV308" s="170">
        <f t="shared" si="416"/>
        <v>0</v>
      </c>
      <c r="CW308" s="90">
        <f t="shared" si="450"/>
        <v>0</v>
      </c>
      <c r="CX308" s="171">
        <f t="shared" si="451"/>
        <v>0</v>
      </c>
      <c r="CY308" s="170">
        <f t="shared" si="417"/>
        <v>0</v>
      </c>
      <c r="CZ308" s="168">
        <f t="shared" si="418"/>
        <v>0</v>
      </c>
      <c r="DA308" s="172">
        <f t="shared" si="420"/>
        <v>0</v>
      </c>
      <c r="DB308" s="173">
        <f t="shared" si="421"/>
        <v>0</v>
      </c>
      <c r="DC308" s="172">
        <f t="shared" si="452"/>
        <v>0</v>
      </c>
      <c r="DD308" s="172">
        <f t="shared" si="452"/>
        <v>0</v>
      </c>
      <c r="DE308" s="172">
        <f t="shared" si="452"/>
        <v>0</v>
      </c>
      <c r="DF308" s="172">
        <f t="shared" si="423"/>
        <v>0</v>
      </c>
      <c r="DG308" s="136"/>
      <c r="DH308" s="136"/>
      <c r="DI308" s="3"/>
      <c r="DJ308" s="8"/>
      <c r="DK308" s="8"/>
      <c r="DL308" s="8"/>
      <c r="DM308" s="8"/>
      <c r="DN308" s="8"/>
      <c r="DO308" s="8"/>
      <c r="DP308" s="8"/>
      <c r="DQ308" s="3"/>
      <c r="DR308" s="8"/>
      <c r="DS308" s="8"/>
      <c r="DT308" s="8"/>
      <c r="DU308" s="8"/>
      <c r="DV308" s="8"/>
      <c r="DW308" s="8"/>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row>
    <row r="309" spans="1:155" s="566" customFormat="1" ht="15.75">
      <c r="A309" s="422"/>
      <c r="B309" s="221"/>
      <c r="C309" s="27"/>
      <c r="D309" s="27"/>
      <c r="E309" s="27"/>
      <c r="F309" s="27"/>
      <c r="G309" s="27"/>
      <c r="H309" s="27"/>
      <c r="I309" s="27"/>
      <c r="J309" s="404"/>
      <c r="K309" s="307"/>
      <c r="L309" s="307"/>
      <c r="M309" s="307"/>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293"/>
      <c r="AW309" s="14"/>
      <c r="AX309" s="14"/>
      <c r="AY309" s="14"/>
      <c r="AZ309" s="14"/>
      <c r="BA309" s="14"/>
      <c r="BB309" s="14"/>
      <c r="BC309" s="14"/>
      <c r="BD309" s="70"/>
      <c r="BE309" s="165" t="s">
        <v>20</v>
      </c>
      <c r="BF309" s="23">
        <v>21</v>
      </c>
      <c r="BG309" s="23">
        <v>17</v>
      </c>
      <c r="BH309" s="23">
        <v>7</v>
      </c>
      <c r="BI309" s="90" t="b">
        <f t="shared" si="419"/>
        <v>0</v>
      </c>
      <c r="BJ309" s="46" t="b">
        <f t="shared" si="426"/>
        <v>0</v>
      </c>
      <c r="BK309" s="166">
        <f t="shared" si="427"/>
        <v>0</v>
      </c>
      <c r="BL309" s="175">
        <f>IF(SUM(BL$293:BL308,BK309)&gt;$BS$4,0,BK309)</f>
        <v>0</v>
      </c>
      <c r="BM309" s="23">
        <f t="shared" si="404"/>
        <v>0</v>
      </c>
      <c r="BN309" s="90">
        <f t="shared" si="405"/>
        <v>0</v>
      </c>
      <c r="BO309" s="24">
        <f t="shared" si="424"/>
        <v>0</v>
      </c>
      <c r="BP309" s="349">
        <f t="shared" si="428"/>
        <v>0</v>
      </c>
      <c r="BQ309" s="171">
        <f t="shared" si="429"/>
        <v>0</v>
      </c>
      <c r="BR309" s="170">
        <f t="shared" si="406"/>
        <v>0</v>
      </c>
      <c r="BS309" s="168">
        <f t="shared" si="430"/>
        <v>0</v>
      </c>
      <c r="BT309" s="171">
        <f t="shared" si="431"/>
        <v>0</v>
      </c>
      <c r="BU309" s="170">
        <f t="shared" si="407"/>
        <v>0</v>
      </c>
      <c r="BV309" s="168">
        <f t="shared" si="432"/>
        <v>0</v>
      </c>
      <c r="BW309" s="171">
        <f t="shared" si="433"/>
        <v>0</v>
      </c>
      <c r="BX309" s="170">
        <f t="shared" si="408"/>
        <v>0</v>
      </c>
      <c r="BY309" s="168">
        <f t="shared" si="434"/>
        <v>0</v>
      </c>
      <c r="BZ309" s="171">
        <f t="shared" si="435"/>
        <v>0</v>
      </c>
      <c r="CA309" s="170">
        <f t="shared" si="409"/>
        <v>0</v>
      </c>
      <c r="CB309" s="90">
        <f t="shared" si="436"/>
        <v>0</v>
      </c>
      <c r="CC309" s="171">
        <f t="shared" si="437"/>
        <v>0</v>
      </c>
      <c r="CD309" s="170">
        <f t="shared" si="410"/>
        <v>0</v>
      </c>
      <c r="CE309" s="90">
        <f t="shared" si="438"/>
        <v>0</v>
      </c>
      <c r="CF309" s="171">
        <f t="shared" si="439"/>
        <v>0</v>
      </c>
      <c r="CG309" s="170">
        <f t="shared" si="411"/>
        <v>0</v>
      </c>
      <c r="CH309" s="90">
        <f t="shared" si="440"/>
        <v>0</v>
      </c>
      <c r="CI309" s="171">
        <f t="shared" si="441"/>
        <v>0</v>
      </c>
      <c r="CJ309" s="170">
        <f t="shared" si="412"/>
        <v>0</v>
      </c>
      <c r="CK309" s="90">
        <f t="shared" si="442"/>
        <v>0</v>
      </c>
      <c r="CL309" s="171">
        <f t="shared" si="443"/>
        <v>0</v>
      </c>
      <c r="CM309" s="170">
        <f t="shared" si="413"/>
        <v>0</v>
      </c>
      <c r="CN309" s="90">
        <f t="shared" si="444"/>
        <v>0</v>
      </c>
      <c r="CO309" s="171">
        <f t="shared" si="445"/>
        <v>0</v>
      </c>
      <c r="CP309" s="170">
        <f t="shared" si="414"/>
        <v>0</v>
      </c>
      <c r="CQ309" s="90">
        <f t="shared" si="446"/>
        <v>0</v>
      </c>
      <c r="CR309" s="171">
        <f t="shared" si="447"/>
        <v>0</v>
      </c>
      <c r="CS309" s="170">
        <f t="shared" si="415"/>
        <v>0</v>
      </c>
      <c r="CT309" s="90">
        <f t="shared" si="448"/>
        <v>0</v>
      </c>
      <c r="CU309" s="171">
        <f t="shared" si="449"/>
        <v>0</v>
      </c>
      <c r="CV309" s="170">
        <f t="shared" si="416"/>
        <v>0</v>
      </c>
      <c r="CW309" s="90">
        <f t="shared" si="450"/>
        <v>0</v>
      </c>
      <c r="CX309" s="171">
        <f t="shared" si="451"/>
        <v>0</v>
      </c>
      <c r="CY309" s="170">
        <f t="shared" si="417"/>
        <v>0</v>
      </c>
      <c r="CZ309" s="168">
        <f t="shared" si="418"/>
        <v>0</v>
      </c>
      <c r="DA309" s="172">
        <f t="shared" si="420"/>
        <v>0</v>
      </c>
      <c r="DB309" s="173">
        <f t="shared" si="421"/>
        <v>0</v>
      </c>
      <c r="DC309" s="172">
        <f t="shared" ref="DC309:DE324" si="453">IF(DC308+$DB309&lt;0,0,IF(DC308+$DB309&gt;$F$405,$F$405,DC308+$DB309))</f>
        <v>0</v>
      </c>
      <c r="DD309" s="172">
        <f t="shared" si="453"/>
        <v>0</v>
      </c>
      <c r="DE309" s="172">
        <f t="shared" si="453"/>
        <v>0</v>
      </c>
      <c r="DF309" s="172">
        <f t="shared" si="423"/>
        <v>0</v>
      </c>
      <c r="DG309" s="136"/>
      <c r="DH309" s="136"/>
      <c r="DI309" s="3"/>
      <c r="DJ309" s="8"/>
      <c r="DK309" s="8"/>
      <c r="DL309" s="8"/>
      <c r="DM309" s="8"/>
      <c r="DN309" s="8"/>
      <c r="DO309" s="8"/>
      <c r="DP309" s="8"/>
      <c r="DQ309" s="3"/>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row>
    <row r="310" spans="1:155" s="566" customFormat="1" ht="14.25" customHeight="1">
      <c r="A310" s="422"/>
      <c r="B310" s="27"/>
      <c r="C310" s="27"/>
      <c r="D310" s="27"/>
      <c r="E310" s="27"/>
      <c r="F310" s="27"/>
      <c r="G310" s="27"/>
      <c r="H310" s="27"/>
      <c r="I310" s="27"/>
      <c r="J310" s="404"/>
      <c r="K310" s="307"/>
      <c r="L310" s="27"/>
      <c r="M310" s="307"/>
      <c r="N310" s="14" t="s">
        <v>541</v>
      </c>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293"/>
      <c r="AW310" s="14"/>
      <c r="AX310" s="14"/>
      <c r="AY310" s="14"/>
      <c r="AZ310" s="14"/>
      <c r="BA310" s="14"/>
      <c r="BB310" s="14"/>
      <c r="BC310" s="14"/>
      <c r="BD310" s="70"/>
      <c r="BE310" s="165" t="s">
        <v>20</v>
      </c>
      <c r="BF310" s="23">
        <v>21</v>
      </c>
      <c r="BG310" s="23">
        <v>18</v>
      </c>
      <c r="BH310" s="23">
        <v>1</v>
      </c>
      <c r="BI310" s="90" t="b">
        <f t="shared" si="419"/>
        <v>1</v>
      </c>
      <c r="BJ310" s="46" t="b">
        <f t="shared" si="426"/>
        <v>1</v>
      </c>
      <c r="BK310" s="166">
        <f t="shared" si="427"/>
        <v>7.2</v>
      </c>
      <c r="BL310" s="175">
        <f>IF(SUM(BL$293:BL309,BK310)&gt;$BS$4,0,BK310)</f>
        <v>7.2</v>
      </c>
      <c r="BM310" s="23">
        <f t="shared" si="404"/>
        <v>0</v>
      </c>
      <c r="BN310" s="90">
        <f t="shared" si="405"/>
        <v>0</v>
      </c>
      <c r="BO310" s="24">
        <f t="shared" si="424"/>
        <v>0</v>
      </c>
      <c r="BP310" s="349">
        <f t="shared" si="428"/>
        <v>0</v>
      </c>
      <c r="BQ310" s="171">
        <f t="shared" si="429"/>
        <v>0</v>
      </c>
      <c r="BR310" s="170">
        <f t="shared" si="406"/>
        <v>0</v>
      </c>
      <c r="BS310" s="168">
        <f t="shared" si="430"/>
        <v>0</v>
      </c>
      <c r="BT310" s="171">
        <f t="shared" si="431"/>
        <v>0</v>
      </c>
      <c r="BU310" s="170">
        <f t="shared" si="407"/>
        <v>0</v>
      </c>
      <c r="BV310" s="168">
        <f t="shared" si="432"/>
        <v>0</v>
      </c>
      <c r="BW310" s="171">
        <f t="shared" si="433"/>
        <v>0</v>
      </c>
      <c r="BX310" s="170">
        <f t="shared" si="408"/>
        <v>0</v>
      </c>
      <c r="BY310" s="168">
        <f t="shared" si="434"/>
        <v>0</v>
      </c>
      <c r="BZ310" s="171">
        <f t="shared" si="435"/>
        <v>0</v>
      </c>
      <c r="CA310" s="170">
        <f t="shared" si="409"/>
        <v>0</v>
      </c>
      <c r="CB310" s="90">
        <f t="shared" si="436"/>
        <v>0</v>
      </c>
      <c r="CC310" s="171">
        <f t="shared" si="437"/>
        <v>0</v>
      </c>
      <c r="CD310" s="170">
        <f t="shared" si="410"/>
        <v>0</v>
      </c>
      <c r="CE310" s="90">
        <f t="shared" si="438"/>
        <v>0</v>
      </c>
      <c r="CF310" s="171">
        <f t="shared" si="439"/>
        <v>0</v>
      </c>
      <c r="CG310" s="170">
        <f t="shared" si="411"/>
        <v>0</v>
      </c>
      <c r="CH310" s="90">
        <f t="shared" si="440"/>
        <v>0</v>
      </c>
      <c r="CI310" s="171">
        <f t="shared" si="441"/>
        <v>0</v>
      </c>
      <c r="CJ310" s="170">
        <f t="shared" si="412"/>
        <v>0</v>
      </c>
      <c r="CK310" s="90">
        <f t="shared" si="442"/>
        <v>0</v>
      </c>
      <c r="CL310" s="171">
        <f t="shared" si="443"/>
        <v>0</v>
      </c>
      <c r="CM310" s="170">
        <f t="shared" si="413"/>
        <v>0</v>
      </c>
      <c r="CN310" s="90">
        <f t="shared" si="444"/>
        <v>0</v>
      </c>
      <c r="CO310" s="171">
        <f t="shared" si="445"/>
        <v>0</v>
      </c>
      <c r="CP310" s="170">
        <f t="shared" si="414"/>
        <v>0</v>
      </c>
      <c r="CQ310" s="90">
        <f t="shared" si="446"/>
        <v>0</v>
      </c>
      <c r="CR310" s="171">
        <f t="shared" si="447"/>
        <v>0</v>
      </c>
      <c r="CS310" s="170">
        <f t="shared" si="415"/>
        <v>0</v>
      </c>
      <c r="CT310" s="90">
        <f t="shared" si="448"/>
        <v>0</v>
      </c>
      <c r="CU310" s="171">
        <f t="shared" si="449"/>
        <v>0</v>
      </c>
      <c r="CV310" s="170">
        <f t="shared" si="416"/>
        <v>0</v>
      </c>
      <c r="CW310" s="90">
        <f t="shared" si="450"/>
        <v>0</v>
      </c>
      <c r="CX310" s="171">
        <f t="shared" si="451"/>
        <v>0</v>
      </c>
      <c r="CY310" s="170">
        <f t="shared" si="417"/>
        <v>0</v>
      </c>
      <c r="CZ310" s="168">
        <f t="shared" si="418"/>
        <v>0</v>
      </c>
      <c r="DA310" s="172">
        <f t="shared" si="420"/>
        <v>0</v>
      </c>
      <c r="DB310" s="173">
        <f t="shared" si="421"/>
        <v>0</v>
      </c>
      <c r="DC310" s="172">
        <f t="shared" si="453"/>
        <v>0</v>
      </c>
      <c r="DD310" s="172">
        <f t="shared" si="453"/>
        <v>0</v>
      </c>
      <c r="DE310" s="172">
        <f t="shared" si="453"/>
        <v>0</v>
      </c>
      <c r="DF310" s="172">
        <f t="shared" si="423"/>
        <v>0</v>
      </c>
      <c r="DG310" s="136"/>
      <c r="DH310" s="136"/>
      <c r="DI310" s="3"/>
      <c r="DJ310" s="8"/>
      <c r="DK310" s="8"/>
      <c r="DL310" s="8"/>
      <c r="DM310" s="8"/>
      <c r="DN310" s="8"/>
      <c r="DO310" s="8"/>
      <c r="DP310" s="8"/>
      <c r="DQ310" s="3"/>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row>
    <row r="311" spans="1:155" s="566" customFormat="1" ht="15" customHeight="1">
      <c r="A311" s="422"/>
      <c r="B311" s="27"/>
      <c r="C311" s="657" t="s">
        <v>542</v>
      </c>
      <c r="D311" s="658"/>
      <c r="E311" s="27"/>
      <c r="F311" s="27"/>
      <c r="G311" s="657" t="s">
        <v>543</v>
      </c>
      <c r="H311" s="659"/>
      <c r="I311" s="27"/>
      <c r="J311" s="27"/>
      <c r="K311" s="657" t="s">
        <v>544</v>
      </c>
      <c r="L311" s="658"/>
      <c r="M311" s="307"/>
      <c r="N311" s="14" t="s">
        <v>545</v>
      </c>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293"/>
      <c r="AW311" s="14"/>
      <c r="AX311" s="14"/>
      <c r="AY311" s="14"/>
      <c r="AZ311" s="14"/>
      <c r="BA311" s="14"/>
      <c r="BB311" s="14"/>
      <c r="BC311" s="14"/>
      <c r="BD311" s="70"/>
      <c r="BE311" s="165" t="s">
        <v>20</v>
      </c>
      <c r="BF311" s="23">
        <v>21</v>
      </c>
      <c r="BG311" s="23">
        <v>19</v>
      </c>
      <c r="BH311" s="23">
        <v>2</v>
      </c>
      <c r="BI311" s="90" t="b">
        <f t="shared" si="419"/>
        <v>1</v>
      </c>
      <c r="BJ311" s="46" t="b">
        <f t="shared" si="426"/>
        <v>0</v>
      </c>
      <c r="BK311" s="166">
        <f t="shared" si="427"/>
        <v>0</v>
      </c>
      <c r="BL311" s="175">
        <f>IF(SUM(BL$293:BL310,BK311)&gt;$BS$4,0,BK311)</f>
        <v>0</v>
      </c>
      <c r="BM311" s="23">
        <f t="shared" si="404"/>
        <v>0</v>
      </c>
      <c r="BN311" s="90">
        <f t="shared" si="405"/>
        <v>0</v>
      </c>
      <c r="BO311" s="24">
        <f t="shared" si="424"/>
        <v>0</v>
      </c>
      <c r="BP311" s="349">
        <f t="shared" si="428"/>
        <v>0</v>
      </c>
      <c r="BQ311" s="171">
        <f t="shared" si="429"/>
        <v>0</v>
      </c>
      <c r="BR311" s="170">
        <f t="shared" si="406"/>
        <v>0</v>
      </c>
      <c r="BS311" s="168">
        <f t="shared" si="430"/>
        <v>0</v>
      </c>
      <c r="BT311" s="171">
        <f t="shared" si="431"/>
        <v>0</v>
      </c>
      <c r="BU311" s="170">
        <f t="shared" si="407"/>
        <v>0</v>
      </c>
      <c r="BV311" s="168">
        <f t="shared" si="432"/>
        <v>0</v>
      </c>
      <c r="BW311" s="171">
        <f t="shared" si="433"/>
        <v>0</v>
      </c>
      <c r="BX311" s="170">
        <f t="shared" si="408"/>
        <v>0</v>
      </c>
      <c r="BY311" s="168">
        <f t="shared" si="434"/>
        <v>0</v>
      </c>
      <c r="BZ311" s="171">
        <f t="shared" si="435"/>
        <v>0</v>
      </c>
      <c r="CA311" s="170">
        <f t="shared" si="409"/>
        <v>0</v>
      </c>
      <c r="CB311" s="90">
        <f t="shared" si="436"/>
        <v>0</v>
      </c>
      <c r="CC311" s="171">
        <f t="shared" si="437"/>
        <v>0</v>
      </c>
      <c r="CD311" s="170">
        <f t="shared" si="410"/>
        <v>0</v>
      </c>
      <c r="CE311" s="90">
        <f t="shared" si="438"/>
        <v>0</v>
      </c>
      <c r="CF311" s="171">
        <f t="shared" si="439"/>
        <v>0</v>
      </c>
      <c r="CG311" s="170">
        <f t="shared" si="411"/>
        <v>0</v>
      </c>
      <c r="CH311" s="90">
        <f t="shared" si="440"/>
        <v>0</v>
      </c>
      <c r="CI311" s="171">
        <f t="shared" si="441"/>
        <v>0</v>
      </c>
      <c r="CJ311" s="170">
        <f t="shared" si="412"/>
        <v>0</v>
      </c>
      <c r="CK311" s="90">
        <f t="shared" si="442"/>
        <v>0</v>
      </c>
      <c r="CL311" s="171">
        <f t="shared" si="443"/>
        <v>0</v>
      </c>
      <c r="CM311" s="170">
        <f t="shared" si="413"/>
        <v>0</v>
      </c>
      <c r="CN311" s="90">
        <f t="shared" si="444"/>
        <v>0</v>
      </c>
      <c r="CO311" s="171">
        <f t="shared" si="445"/>
        <v>0</v>
      </c>
      <c r="CP311" s="170">
        <f t="shared" si="414"/>
        <v>0</v>
      </c>
      <c r="CQ311" s="90">
        <f t="shared" si="446"/>
        <v>0</v>
      </c>
      <c r="CR311" s="171">
        <f t="shared" si="447"/>
        <v>0</v>
      </c>
      <c r="CS311" s="170">
        <f t="shared" si="415"/>
        <v>0</v>
      </c>
      <c r="CT311" s="90">
        <f t="shared" si="448"/>
        <v>0</v>
      </c>
      <c r="CU311" s="171">
        <f t="shared" si="449"/>
        <v>0</v>
      </c>
      <c r="CV311" s="170">
        <f t="shared" si="416"/>
        <v>0</v>
      </c>
      <c r="CW311" s="90">
        <f t="shared" si="450"/>
        <v>0</v>
      </c>
      <c r="CX311" s="171">
        <f t="shared" si="451"/>
        <v>0</v>
      </c>
      <c r="CY311" s="170">
        <f t="shared" si="417"/>
        <v>0</v>
      </c>
      <c r="CZ311" s="168">
        <f t="shared" si="418"/>
        <v>0</v>
      </c>
      <c r="DA311" s="172">
        <f t="shared" si="420"/>
        <v>0</v>
      </c>
      <c r="DB311" s="173">
        <f t="shared" si="421"/>
        <v>0</v>
      </c>
      <c r="DC311" s="172">
        <f t="shared" si="453"/>
        <v>0</v>
      </c>
      <c r="DD311" s="172">
        <f t="shared" si="453"/>
        <v>0</v>
      </c>
      <c r="DE311" s="172">
        <f t="shared" si="453"/>
        <v>0</v>
      </c>
      <c r="DF311" s="172">
        <f t="shared" si="423"/>
        <v>0</v>
      </c>
      <c r="DG311" s="136"/>
      <c r="DH311" s="136"/>
      <c r="DI311" s="3"/>
      <c r="DJ311" s="8"/>
      <c r="DK311" s="8"/>
      <c r="DL311" s="8"/>
      <c r="DM311" s="8"/>
      <c r="DN311" s="8"/>
      <c r="DO311" s="8"/>
      <c r="DP311" s="8"/>
      <c r="DQ311" s="3"/>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row>
    <row r="312" spans="1:155" s="566" customFormat="1" ht="15" customHeight="1">
      <c r="A312" s="422"/>
      <c r="B312" s="70"/>
      <c r="C312" s="660" t="s">
        <v>36</v>
      </c>
      <c r="D312" s="660"/>
      <c r="E312" s="27"/>
      <c r="F312" s="27"/>
      <c r="G312" s="660" t="s">
        <v>36</v>
      </c>
      <c r="H312" s="660"/>
      <c r="I312" s="27"/>
      <c r="J312" s="27"/>
      <c r="K312" s="660" t="s">
        <v>36</v>
      </c>
      <c r="L312" s="660"/>
      <c r="M312" s="307"/>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293"/>
      <c r="AW312" s="14"/>
      <c r="AX312" s="14"/>
      <c r="AY312" s="14"/>
      <c r="AZ312" s="14"/>
      <c r="BA312" s="14"/>
      <c r="BB312" s="14"/>
      <c r="BC312" s="14"/>
      <c r="BD312" s="70"/>
      <c r="BE312" s="165" t="s">
        <v>20</v>
      </c>
      <c r="BF312" s="23">
        <v>21</v>
      </c>
      <c r="BG312" s="23">
        <v>20</v>
      </c>
      <c r="BH312" s="23">
        <v>3</v>
      </c>
      <c r="BI312" s="90" t="b">
        <f t="shared" si="419"/>
        <v>1</v>
      </c>
      <c r="BJ312" s="46" t="b">
        <f t="shared" si="426"/>
        <v>0</v>
      </c>
      <c r="BK312" s="166">
        <f t="shared" si="427"/>
        <v>0</v>
      </c>
      <c r="BL312" s="175">
        <f>IF(SUM(BL$293:BL311,BK312)&gt;$BS$4,0,BK312)</f>
        <v>0</v>
      </c>
      <c r="BM312" s="23">
        <f t="shared" si="404"/>
        <v>0</v>
      </c>
      <c r="BN312" s="90">
        <f t="shared" si="405"/>
        <v>0</v>
      </c>
      <c r="BO312" s="24">
        <f t="shared" si="424"/>
        <v>0</v>
      </c>
      <c r="BP312" s="349">
        <f t="shared" si="428"/>
        <v>0</v>
      </c>
      <c r="BQ312" s="171">
        <f t="shared" si="429"/>
        <v>0</v>
      </c>
      <c r="BR312" s="170">
        <f t="shared" si="406"/>
        <v>0</v>
      </c>
      <c r="BS312" s="168">
        <f t="shared" si="430"/>
        <v>0</v>
      </c>
      <c r="BT312" s="171">
        <f t="shared" si="431"/>
        <v>0</v>
      </c>
      <c r="BU312" s="170">
        <f t="shared" si="407"/>
        <v>0</v>
      </c>
      <c r="BV312" s="168">
        <f t="shared" si="432"/>
        <v>0</v>
      </c>
      <c r="BW312" s="171">
        <f t="shared" si="433"/>
        <v>0</v>
      </c>
      <c r="BX312" s="170">
        <f t="shared" si="408"/>
        <v>0</v>
      </c>
      <c r="BY312" s="168">
        <f t="shared" si="434"/>
        <v>0</v>
      </c>
      <c r="BZ312" s="171">
        <f t="shared" si="435"/>
        <v>0</v>
      </c>
      <c r="CA312" s="170">
        <f t="shared" si="409"/>
        <v>0</v>
      </c>
      <c r="CB312" s="90">
        <f t="shared" si="436"/>
        <v>0</v>
      </c>
      <c r="CC312" s="171">
        <f t="shared" si="437"/>
        <v>0</v>
      </c>
      <c r="CD312" s="170">
        <f t="shared" si="410"/>
        <v>0</v>
      </c>
      <c r="CE312" s="90">
        <f t="shared" si="438"/>
        <v>0</v>
      </c>
      <c r="CF312" s="171">
        <f t="shared" si="439"/>
        <v>0</v>
      </c>
      <c r="CG312" s="170">
        <f t="shared" si="411"/>
        <v>0</v>
      </c>
      <c r="CH312" s="90">
        <f t="shared" si="440"/>
        <v>0</v>
      </c>
      <c r="CI312" s="171">
        <f t="shared" si="441"/>
        <v>0</v>
      </c>
      <c r="CJ312" s="170">
        <f t="shared" si="412"/>
        <v>0</v>
      </c>
      <c r="CK312" s="90">
        <f t="shared" si="442"/>
        <v>0</v>
      </c>
      <c r="CL312" s="171">
        <f t="shared" si="443"/>
        <v>0</v>
      </c>
      <c r="CM312" s="170">
        <f t="shared" si="413"/>
        <v>0</v>
      </c>
      <c r="CN312" s="90">
        <f t="shared" si="444"/>
        <v>0</v>
      </c>
      <c r="CO312" s="171">
        <f t="shared" si="445"/>
        <v>0</v>
      </c>
      <c r="CP312" s="170">
        <f t="shared" si="414"/>
        <v>0</v>
      </c>
      <c r="CQ312" s="90">
        <f t="shared" si="446"/>
        <v>0</v>
      </c>
      <c r="CR312" s="171">
        <f t="shared" si="447"/>
        <v>0</v>
      </c>
      <c r="CS312" s="170">
        <f t="shared" si="415"/>
        <v>0</v>
      </c>
      <c r="CT312" s="90">
        <f t="shared" si="448"/>
        <v>0</v>
      </c>
      <c r="CU312" s="171">
        <f t="shared" si="449"/>
        <v>0</v>
      </c>
      <c r="CV312" s="170">
        <f t="shared" si="416"/>
        <v>0</v>
      </c>
      <c r="CW312" s="90">
        <f t="shared" si="450"/>
        <v>0</v>
      </c>
      <c r="CX312" s="171">
        <f t="shared" si="451"/>
        <v>0</v>
      </c>
      <c r="CY312" s="170">
        <f t="shared" si="417"/>
        <v>0</v>
      </c>
      <c r="CZ312" s="168">
        <f t="shared" si="418"/>
        <v>0</v>
      </c>
      <c r="DA312" s="172">
        <f t="shared" si="420"/>
        <v>0</v>
      </c>
      <c r="DB312" s="173">
        <f t="shared" si="421"/>
        <v>0</v>
      </c>
      <c r="DC312" s="172">
        <f t="shared" si="453"/>
        <v>0</v>
      </c>
      <c r="DD312" s="172">
        <f t="shared" si="453"/>
        <v>0</v>
      </c>
      <c r="DE312" s="172">
        <f t="shared" si="453"/>
        <v>0</v>
      </c>
      <c r="DF312" s="172">
        <f t="shared" si="423"/>
        <v>0</v>
      </c>
      <c r="DG312" s="136"/>
      <c r="DH312" s="136"/>
      <c r="DI312" s="3"/>
      <c r="DJ312" s="8"/>
      <c r="DK312" s="8"/>
      <c r="DL312" s="8"/>
      <c r="DM312" s="8"/>
      <c r="DN312" s="8"/>
      <c r="DO312" s="8"/>
      <c r="DP312" s="8"/>
      <c r="DQ312" s="3"/>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row>
    <row r="313" spans="1:155" s="566" customFormat="1" ht="15" customHeight="1">
      <c r="A313" s="422"/>
      <c r="B313" s="70"/>
      <c r="C313" s="654" t="s">
        <v>546</v>
      </c>
      <c r="D313" s="654"/>
      <c r="E313" s="27"/>
      <c r="F313" s="27"/>
      <c r="G313" s="654" t="s">
        <v>546</v>
      </c>
      <c r="H313" s="654"/>
      <c r="I313" s="27"/>
      <c r="J313" s="27"/>
      <c r="K313" s="654" t="s">
        <v>546</v>
      </c>
      <c r="L313" s="654"/>
      <c r="M313" s="307"/>
      <c r="N313" s="14" t="s">
        <v>547</v>
      </c>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293"/>
      <c r="AW313" s="14"/>
      <c r="AX313" s="14"/>
      <c r="AY313" s="14"/>
      <c r="AZ313" s="14"/>
      <c r="BA313" s="14"/>
      <c r="BB313" s="14"/>
      <c r="BC313" s="14"/>
      <c r="BD313" s="70"/>
      <c r="BE313" s="165" t="s">
        <v>20</v>
      </c>
      <c r="BF313" s="23">
        <v>21</v>
      </c>
      <c r="BG313" s="23">
        <v>21</v>
      </c>
      <c r="BH313" s="23">
        <v>4</v>
      </c>
      <c r="BI313" s="90" t="b">
        <f t="shared" si="419"/>
        <v>1</v>
      </c>
      <c r="BJ313" s="46" t="b">
        <f t="shared" si="426"/>
        <v>1</v>
      </c>
      <c r="BK313" s="166">
        <f t="shared" si="427"/>
        <v>7.2</v>
      </c>
      <c r="BL313" s="175">
        <f>IF(SUM(BL$293:BL312,BK313)&gt;$BS$4,0,BK313)</f>
        <v>7.2</v>
      </c>
      <c r="BM313" s="23">
        <f t="shared" si="404"/>
        <v>0</v>
      </c>
      <c r="BN313" s="90">
        <f t="shared" si="405"/>
        <v>0</v>
      </c>
      <c r="BO313" s="24">
        <f t="shared" si="424"/>
        <v>0</v>
      </c>
      <c r="BP313" s="349">
        <f t="shared" si="428"/>
        <v>0</v>
      </c>
      <c r="BQ313" s="171">
        <f t="shared" si="429"/>
        <v>0</v>
      </c>
      <c r="BR313" s="170">
        <f t="shared" si="406"/>
        <v>0</v>
      </c>
      <c r="BS313" s="168">
        <f t="shared" si="430"/>
        <v>0</v>
      </c>
      <c r="BT313" s="171">
        <f t="shared" si="431"/>
        <v>0</v>
      </c>
      <c r="BU313" s="170">
        <f t="shared" si="407"/>
        <v>0</v>
      </c>
      <c r="BV313" s="168">
        <f t="shared" si="432"/>
        <v>0</v>
      </c>
      <c r="BW313" s="171">
        <f t="shared" si="433"/>
        <v>0</v>
      </c>
      <c r="BX313" s="170">
        <f t="shared" si="408"/>
        <v>0</v>
      </c>
      <c r="BY313" s="168">
        <f t="shared" si="434"/>
        <v>0</v>
      </c>
      <c r="BZ313" s="171">
        <f t="shared" si="435"/>
        <v>0</v>
      </c>
      <c r="CA313" s="170">
        <f t="shared" si="409"/>
        <v>0</v>
      </c>
      <c r="CB313" s="90">
        <f t="shared" si="436"/>
        <v>0</v>
      </c>
      <c r="CC313" s="171">
        <f t="shared" si="437"/>
        <v>0</v>
      </c>
      <c r="CD313" s="170">
        <f t="shared" si="410"/>
        <v>0</v>
      </c>
      <c r="CE313" s="90">
        <f t="shared" si="438"/>
        <v>0</v>
      </c>
      <c r="CF313" s="171">
        <f t="shared" si="439"/>
        <v>0</v>
      </c>
      <c r="CG313" s="170">
        <f t="shared" si="411"/>
        <v>0</v>
      </c>
      <c r="CH313" s="90">
        <f t="shared" si="440"/>
        <v>0</v>
      </c>
      <c r="CI313" s="171">
        <f t="shared" si="441"/>
        <v>0</v>
      </c>
      <c r="CJ313" s="170">
        <f t="shared" si="412"/>
        <v>0</v>
      </c>
      <c r="CK313" s="90">
        <f t="shared" si="442"/>
        <v>0</v>
      </c>
      <c r="CL313" s="171">
        <f t="shared" si="443"/>
        <v>0</v>
      </c>
      <c r="CM313" s="170">
        <f t="shared" si="413"/>
        <v>0</v>
      </c>
      <c r="CN313" s="90">
        <f t="shared" si="444"/>
        <v>0</v>
      </c>
      <c r="CO313" s="171">
        <f t="shared" si="445"/>
        <v>0</v>
      </c>
      <c r="CP313" s="170">
        <f t="shared" si="414"/>
        <v>0</v>
      </c>
      <c r="CQ313" s="90">
        <f t="shared" si="446"/>
        <v>0</v>
      </c>
      <c r="CR313" s="171">
        <f t="shared" si="447"/>
        <v>0</v>
      </c>
      <c r="CS313" s="170">
        <f t="shared" si="415"/>
        <v>0</v>
      </c>
      <c r="CT313" s="90">
        <f t="shared" si="448"/>
        <v>0</v>
      </c>
      <c r="CU313" s="171">
        <f t="shared" si="449"/>
        <v>0</v>
      </c>
      <c r="CV313" s="170">
        <f t="shared" si="416"/>
        <v>0</v>
      </c>
      <c r="CW313" s="90">
        <f t="shared" si="450"/>
        <v>0</v>
      </c>
      <c r="CX313" s="171">
        <f t="shared" si="451"/>
        <v>0</v>
      </c>
      <c r="CY313" s="170">
        <f t="shared" si="417"/>
        <v>0</v>
      </c>
      <c r="CZ313" s="168">
        <f t="shared" si="418"/>
        <v>0</v>
      </c>
      <c r="DA313" s="172">
        <f t="shared" si="420"/>
        <v>0</v>
      </c>
      <c r="DB313" s="173">
        <f t="shared" si="421"/>
        <v>0</v>
      </c>
      <c r="DC313" s="172">
        <f t="shared" si="453"/>
        <v>0</v>
      </c>
      <c r="DD313" s="172">
        <f t="shared" si="453"/>
        <v>0</v>
      </c>
      <c r="DE313" s="172">
        <f t="shared" si="453"/>
        <v>0</v>
      </c>
      <c r="DF313" s="172">
        <f t="shared" si="423"/>
        <v>0</v>
      </c>
      <c r="DG313" s="136"/>
      <c r="DH313" s="136"/>
      <c r="DI313" s="3"/>
      <c r="DJ313" s="8"/>
      <c r="DK313" s="8"/>
      <c r="DL313" s="8"/>
      <c r="DM313" s="8"/>
      <c r="DN313" s="8"/>
      <c r="DO313" s="8"/>
      <c r="DP313" s="8"/>
      <c r="DQ313" s="3"/>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row>
    <row r="314" spans="1:155" s="566" customFormat="1" ht="15" customHeight="1">
      <c r="A314" s="422"/>
      <c r="B314" s="194" t="s">
        <v>168</v>
      </c>
      <c r="C314" s="649">
        <v>10</v>
      </c>
      <c r="D314" s="650"/>
      <c r="E314" s="27"/>
      <c r="F314" s="27"/>
      <c r="G314" s="649"/>
      <c r="H314" s="650"/>
      <c r="I314" s="27"/>
      <c r="J314" s="27"/>
      <c r="K314" s="649"/>
      <c r="L314" s="650"/>
      <c r="M314" s="307"/>
      <c r="N314" s="14" t="str">
        <f>C311</f>
        <v>{Other Water Use 1}</v>
      </c>
      <c r="O314" s="14"/>
      <c r="P314" s="14" t="b">
        <f>AND(D330&gt;N306,O304)</f>
        <v>0</v>
      </c>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293"/>
      <c r="AW314" s="14"/>
      <c r="AX314" s="14"/>
      <c r="AY314" s="14"/>
      <c r="AZ314" s="14"/>
      <c r="BA314" s="14"/>
      <c r="BB314" s="14"/>
      <c r="BC314" s="14"/>
      <c r="BD314" s="70"/>
      <c r="BE314" s="165" t="s">
        <v>20</v>
      </c>
      <c r="BF314" s="23">
        <v>21</v>
      </c>
      <c r="BG314" s="23">
        <v>22</v>
      </c>
      <c r="BH314" s="23">
        <v>5</v>
      </c>
      <c r="BI314" s="90" t="b">
        <f t="shared" si="419"/>
        <v>1</v>
      </c>
      <c r="BJ314" s="46" t="b">
        <f t="shared" si="426"/>
        <v>0</v>
      </c>
      <c r="BK314" s="166">
        <f t="shared" si="427"/>
        <v>0</v>
      </c>
      <c r="BL314" s="175">
        <f>IF(SUM(BL$293:BL313,BK314)&gt;$BS$4,0,BK314)</f>
        <v>0</v>
      </c>
      <c r="BM314" s="23">
        <f t="shared" si="404"/>
        <v>0</v>
      </c>
      <c r="BN314" s="90">
        <f t="shared" si="405"/>
        <v>0</v>
      </c>
      <c r="BO314" s="24">
        <f t="shared" si="424"/>
        <v>0</v>
      </c>
      <c r="BP314" s="349">
        <f t="shared" si="428"/>
        <v>0</v>
      </c>
      <c r="BQ314" s="171">
        <f t="shared" si="429"/>
        <v>0</v>
      </c>
      <c r="BR314" s="170">
        <f t="shared" si="406"/>
        <v>0</v>
      </c>
      <c r="BS314" s="168">
        <f t="shared" si="430"/>
        <v>0</v>
      </c>
      <c r="BT314" s="171">
        <f t="shared" si="431"/>
        <v>0</v>
      </c>
      <c r="BU314" s="170">
        <f t="shared" si="407"/>
        <v>0</v>
      </c>
      <c r="BV314" s="168">
        <f t="shared" si="432"/>
        <v>0</v>
      </c>
      <c r="BW314" s="171">
        <f t="shared" si="433"/>
        <v>0</v>
      </c>
      <c r="BX314" s="170">
        <f t="shared" si="408"/>
        <v>0</v>
      </c>
      <c r="BY314" s="168">
        <f t="shared" si="434"/>
        <v>0</v>
      </c>
      <c r="BZ314" s="171">
        <f t="shared" si="435"/>
        <v>0</v>
      </c>
      <c r="CA314" s="170">
        <f t="shared" si="409"/>
        <v>0</v>
      </c>
      <c r="CB314" s="90">
        <f t="shared" si="436"/>
        <v>0</v>
      </c>
      <c r="CC314" s="171">
        <f t="shared" si="437"/>
        <v>0</v>
      </c>
      <c r="CD314" s="170">
        <f t="shared" si="410"/>
        <v>0</v>
      </c>
      <c r="CE314" s="90">
        <f t="shared" si="438"/>
        <v>0</v>
      </c>
      <c r="CF314" s="171">
        <f t="shared" si="439"/>
        <v>0</v>
      </c>
      <c r="CG314" s="170">
        <f t="shared" si="411"/>
        <v>0</v>
      </c>
      <c r="CH314" s="90">
        <f t="shared" si="440"/>
        <v>0</v>
      </c>
      <c r="CI314" s="171">
        <f t="shared" si="441"/>
        <v>0</v>
      </c>
      <c r="CJ314" s="170">
        <f t="shared" si="412"/>
        <v>0</v>
      </c>
      <c r="CK314" s="90">
        <f t="shared" si="442"/>
        <v>0</v>
      </c>
      <c r="CL314" s="171">
        <f t="shared" si="443"/>
        <v>0</v>
      </c>
      <c r="CM314" s="170">
        <f t="shared" si="413"/>
        <v>0</v>
      </c>
      <c r="CN314" s="90">
        <f t="shared" si="444"/>
        <v>0</v>
      </c>
      <c r="CO314" s="171">
        <f t="shared" si="445"/>
        <v>0</v>
      </c>
      <c r="CP314" s="170">
        <f t="shared" si="414"/>
        <v>0</v>
      </c>
      <c r="CQ314" s="90">
        <f t="shared" si="446"/>
        <v>0</v>
      </c>
      <c r="CR314" s="171">
        <f t="shared" si="447"/>
        <v>0</v>
      </c>
      <c r="CS314" s="170">
        <f t="shared" si="415"/>
        <v>0</v>
      </c>
      <c r="CT314" s="90">
        <f t="shared" si="448"/>
        <v>0</v>
      </c>
      <c r="CU314" s="171">
        <f t="shared" si="449"/>
        <v>0</v>
      </c>
      <c r="CV314" s="170">
        <f t="shared" si="416"/>
        <v>0</v>
      </c>
      <c r="CW314" s="90">
        <f t="shared" si="450"/>
        <v>0</v>
      </c>
      <c r="CX314" s="171">
        <f t="shared" si="451"/>
        <v>0</v>
      </c>
      <c r="CY314" s="170">
        <f t="shared" si="417"/>
        <v>0</v>
      </c>
      <c r="CZ314" s="168">
        <f t="shared" si="418"/>
        <v>0</v>
      </c>
      <c r="DA314" s="172">
        <f t="shared" si="420"/>
        <v>0</v>
      </c>
      <c r="DB314" s="173">
        <f t="shared" si="421"/>
        <v>0</v>
      </c>
      <c r="DC314" s="172">
        <f t="shared" si="453"/>
        <v>0</v>
      </c>
      <c r="DD314" s="172">
        <f t="shared" si="453"/>
        <v>0</v>
      </c>
      <c r="DE314" s="172">
        <f t="shared" si="453"/>
        <v>0</v>
      </c>
      <c r="DF314" s="172">
        <f t="shared" si="423"/>
        <v>0</v>
      </c>
      <c r="DG314" s="136"/>
      <c r="DH314" s="136"/>
      <c r="DI314" s="3"/>
      <c r="DJ314" s="8"/>
      <c r="DK314" s="8"/>
      <c r="DL314" s="8"/>
      <c r="DM314" s="8"/>
      <c r="DN314" s="8"/>
      <c r="DO314" s="8"/>
      <c r="DP314" s="8"/>
      <c r="DQ314" s="3"/>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row>
    <row r="315" spans="1:155" s="566" customFormat="1" ht="15" customHeight="1">
      <c r="A315" s="422"/>
      <c r="B315" s="194" t="s">
        <v>172</v>
      </c>
      <c r="C315" s="649">
        <v>10</v>
      </c>
      <c r="D315" s="650"/>
      <c r="E315" s="27"/>
      <c r="F315" s="27"/>
      <c r="G315" s="649"/>
      <c r="H315" s="650"/>
      <c r="I315" s="27"/>
      <c r="J315" s="27"/>
      <c r="K315" s="649"/>
      <c r="L315" s="650"/>
      <c r="M315" s="307"/>
      <c r="N315" s="14" t="str">
        <f>G311</f>
        <v>{Other Water Use 2}</v>
      </c>
      <c r="O315" s="14"/>
      <c r="P315" s="14" t="b">
        <f>AND(H330&gt;N306,O304)</f>
        <v>0</v>
      </c>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293"/>
      <c r="AW315" s="14"/>
      <c r="AX315" s="14"/>
      <c r="AY315" s="14"/>
      <c r="AZ315" s="14"/>
      <c r="BA315" s="14"/>
      <c r="BB315" s="14"/>
      <c r="BC315" s="14"/>
      <c r="BD315" s="70"/>
      <c r="BE315" s="165" t="s">
        <v>20</v>
      </c>
      <c r="BF315" s="23">
        <v>21</v>
      </c>
      <c r="BG315" s="23">
        <v>23</v>
      </c>
      <c r="BH315" s="23">
        <v>6</v>
      </c>
      <c r="BI315" s="90" t="b">
        <f t="shared" si="419"/>
        <v>0</v>
      </c>
      <c r="BJ315" s="46" t="b">
        <f t="shared" si="426"/>
        <v>0</v>
      </c>
      <c r="BK315" s="166">
        <f t="shared" si="427"/>
        <v>0</v>
      </c>
      <c r="BL315" s="175">
        <f>IF(SUM(BL$293:BL314,BK315)&gt;$BS$4,0,BK315)</f>
        <v>0</v>
      </c>
      <c r="BM315" s="23">
        <f t="shared" si="404"/>
        <v>0</v>
      </c>
      <c r="BN315" s="90">
        <f t="shared" si="405"/>
        <v>0</v>
      </c>
      <c r="BO315" s="24">
        <f t="shared" si="424"/>
        <v>0</v>
      </c>
      <c r="BP315" s="349">
        <f t="shared" si="428"/>
        <v>0</v>
      </c>
      <c r="BQ315" s="171">
        <f t="shared" si="429"/>
        <v>0</v>
      </c>
      <c r="BR315" s="170">
        <f t="shared" si="406"/>
        <v>0</v>
      </c>
      <c r="BS315" s="168">
        <f t="shared" si="430"/>
        <v>0</v>
      </c>
      <c r="BT315" s="171">
        <f t="shared" si="431"/>
        <v>0</v>
      </c>
      <c r="BU315" s="170">
        <f t="shared" si="407"/>
        <v>0</v>
      </c>
      <c r="BV315" s="168">
        <f t="shared" si="432"/>
        <v>0</v>
      </c>
      <c r="BW315" s="171">
        <f t="shared" si="433"/>
        <v>0</v>
      </c>
      <c r="BX315" s="170">
        <f t="shared" si="408"/>
        <v>0</v>
      </c>
      <c r="BY315" s="168">
        <f t="shared" si="434"/>
        <v>0</v>
      </c>
      <c r="BZ315" s="171">
        <f t="shared" si="435"/>
        <v>0</v>
      </c>
      <c r="CA315" s="170">
        <f t="shared" si="409"/>
        <v>0</v>
      </c>
      <c r="CB315" s="90">
        <f t="shared" si="436"/>
        <v>0</v>
      </c>
      <c r="CC315" s="171">
        <f t="shared" si="437"/>
        <v>0</v>
      </c>
      <c r="CD315" s="170">
        <f t="shared" si="410"/>
        <v>0</v>
      </c>
      <c r="CE315" s="90">
        <f t="shared" si="438"/>
        <v>0</v>
      </c>
      <c r="CF315" s="171">
        <f t="shared" si="439"/>
        <v>0</v>
      </c>
      <c r="CG315" s="170">
        <f t="shared" si="411"/>
        <v>0</v>
      </c>
      <c r="CH315" s="90">
        <f t="shared" si="440"/>
        <v>0</v>
      </c>
      <c r="CI315" s="171">
        <f t="shared" si="441"/>
        <v>0</v>
      </c>
      <c r="CJ315" s="170">
        <f t="shared" si="412"/>
        <v>0</v>
      </c>
      <c r="CK315" s="90">
        <f t="shared" si="442"/>
        <v>0</v>
      </c>
      <c r="CL315" s="171">
        <f t="shared" si="443"/>
        <v>0</v>
      </c>
      <c r="CM315" s="170">
        <f t="shared" si="413"/>
        <v>0</v>
      </c>
      <c r="CN315" s="90">
        <f t="shared" si="444"/>
        <v>0</v>
      </c>
      <c r="CO315" s="171">
        <f t="shared" si="445"/>
        <v>0</v>
      </c>
      <c r="CP315" s="170">
        <f t="shared" si="414"/>
        <v>0</v>
      </c>
      <c r="CQ315" s="90">
        <f t="shared" si="446"/>
        <v>0</v>
      </c>
      <c r="CR315" s="171">
        <f t="shared" si="447"/>
        <v>0</v>
      </c>
      <c r="CS315" s="170">
        <f t="shared" si="415"/>
        <v>0</v>
      </c>
      <c r="CT315" s="90">
        <f t="shared" si="448"/>
        <v>0</v>
      </c>
      <c r="CU315" s="171">
        <f t="shared" si="449"/>
        <v>0</v>
      </c>
      <c r="CV315" s="170">
        <f t="shared" si="416"/>
        <v>0</v>
      </c>
      <c r="CW315" s="90">
        <f t="shared" si="450"/>
        <v>0</v>
      </c>
      <c r="CX315" s="171">
        <f t="shared" si="451"/>
        <v>0</v>
      </c>
      <c r="CY315" s="170">
        <f t="shared" si="417"/>
        <v>0</v>
      </c>
      <c r="CZ315" s="168">
        <f t="shared" si="418"/>
        <v>0</v>
      </c>
      <c r="DA315" s="172">
        <f t="shared" si="420"/>
        <v>0</v>
      </c>
      <c r="DB315" s="173">
        <f t="shared" si="421"/>
        <v>0</v>
      </c>
      <c r="DC315" s="172">
        <f t="shared" si="453"/>
        <v>0</v>
      </c>
      <c r="DD315" s="172">
        <f t="shared" si="453"/>
        <v>0</v>
      </c>
      <c r="DE315" s="172">
        <f t="shared" si="453"/>
        <v>0</v>
      </c>
      <c r="DF315" s="172">
        <f t="shared" si="423"/>
        <v>0</v>
      </c>
      <c r="DG315" s="136"/>
      <c r="DH315" s="136"/>
      <c r="DI315" s="3"/>
      <c r="DJ315" s="8"/>
      <c r="DK315" s="8"/>
      <c r="DL315" s="8"/>
      <c r="DM315" s="8"/>
      <c r="DN315" s="8"/>
      <c r="DO315" s="8"/>
      <c r="DP315" s="8"/>
      <c r="DQ315" s="3"/>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row>
    <row r="316" spans="1:155" s="566" customFormat="1" ht="15" customHeight="1">
      <c r="A316" s="422"/>
      <c r="B316" s="194" t="s">
        <v>177</v>
      </c>
      <c r="C316" s="649">
        <v>11</v>
      </c>
      <c r="D316" s="650"/>
      <c r="E316" s="27"/>
      <c r="F316" s="27"/>
      <c r="G316" s="649"/>
      <c r="H316" s="650"/>
      <c r="I316" s="27"/>
      <c r="J316" s="27"/>
      <c r="K316" s="649"/>
      <c r="L316" s="650"/>
      <c r="M316" s="307"/>
      <c r="N316" s="14" t="str">
        <f>K311</f>
        <v>{Other Water Use 3}</v>
      </c>
      <c r="O316" s="14"/>
      <c r="P316" s="14" t="b">
        <f>AND(L330&gt;N306,O304)</f>
        <v>0</v>
      </c>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293"/>
      <c r="AW316" s="14"/>
      <c r="AX316" s="14"/>
      <c r="AY316" s="14"/>
      <c r="AZ316" s="14"/>
      <c r="BA316" s="14"/>
      <c r="BB316" s="14"/>
      <c r="BC316" s="14"/>
      <c r="BD316" s="70"/>
      <c r="BE316" s="165" t="s">
        <v>20</v>
      </c>
      <c r="BF316" s="23">
        <v>21</v>
      </c>
      <c r="BG316" s="23">
        <v>24</v>
      </c>
      <c r="BH316" s="23">
        <v>7</v>
      </c>
      <c r="BI316" s="90" t="b">
        <f t="shared" si="419"/>
        <v>0</v>
      </c>
      <c r="BJ316" s="46" t="b">
        <f t="shared" si="426"/>
        <v>1</v>
      </c>
      <c r="BK316" s="166">
        <f t="shared" si="427"/>
        <v>7.2</v>
      </c>
      <c r="BL316" s="175">
        <f>IF(SUM(BL$293:BL315,BK316)&gt;$BS$4,0,BK316)</f>
        <v>7.2</v>
      </c>
      <c r="BM316" s="23">
        <f t="shared" si="404"/>
        <v>0</v>
      </c>
      <c r="BN316" s="90">
        <f t="shared" si="405"/>
        <v>0</v>
      </c>
      <c r="BO316" s="24">
        <f t="shared" si="424"/>
        <v>0</v>
      </c>
      <c r="BP316" s="349">
        <f t="shared" si="428"/>
        <v>0</v>
      </c>
      <c r="BQ316" s="171">
        <f t="shared" si="429"/>
        <v>0</v>
      </c>
      <c r="BR316" s="170">
        <f t="shared" si="406"/>
        <v>0</v>
      </c>
      <c r="BS316" s="168">
        <f t="shared" si="430"/>
        <v>0</v>
      </c>
      <c r="BT316" s="171">
        <f t="shared" si="431"/>
        <v>0</v>
      </c>
      <c r="BU316" s="170">
        <f t="shared" si="407"/>
        <v>0</v>
      </c>
      <c r="BV316" s="168">
        <f t="shared" si="432"/>
        <v>0</v>
      </c>
      <c r="BW316" s="171">
        <f t="shared" si="433"/>
        <v>0</v>
      </c>
      <c r="BX316" s="170">
        <f t="shared" si="408"/>
        <v>0</v>
      </c>
      <c r="BY316" s="168">
        <f t="shared" si="434"/>
        <v>0</v>
      </c>
      <c r="BZ316" s="171">
        <f t="shared" si="435"/>
        <v>0</v>
      </c>
      <c r="CA316" s="170">
        <f t="shared" si="409"/>
        <v>0</v>
      </c>
      <c r="CB316" s="90">
        <f t="shared" si="436"/>
        <v>0</v>
      </c>
      <c r="CC316" s="171">
        <f t="shared" si="437"/>
        <v>0</v>
      </c>
      <c r="CD316" s="170">
        <f t="shared" si="410"/>
        <v>0</v>
      </c>
      <c r="CE316" s="90">
        <f t="shared" si="438"/>
        <v>0</v>
      </c>
      <c r="CF316" s="171">
        <f t="shared" si="439"/>
        <v>0</v>
      </c>
      <c r="CG316" s="170">
        <f t="shared" si="411"/>
        <v>0</v>
      </c>
      <c r="CH316" s="90">
        <f t="shared" si="440"/>
        <v>0</v>
      </c>
      <c r="CI316" s="171">
        <f t="shared" si="441"/>
        <v>0</v>
      </c>
      <c r="CJ316" s="170">
        <f t="shared" si="412"/>
        <v>0</v>
      </c>
      <c r="CK316" s="90">
        <f t="shared" si="442"/>
        <v>0</v>
      </c>
      <c r="CL316" s="171">
        <f t="shared" si="443"/>
        <v>0</v>
      </c>
      <c r="CM316" s="170">
        <f t="shared" si="413"/>
        <v>0</v>
      </c>
      <c r="CN316" s="90">
        <f t="shared" si="444"/>
        <v>0</v>
      </c>
      <c r="CO316" s="171">
        <f t="shared" si="445"/>
        <v>0</v>
      </c>
      <c r="CP316" s="170">
        <f t="shared" si="414"/>
        <v>0</v>
      </c>
      <c r="CQ316" s="90">
        <f t="shared" si="446"/>
        <v>0</v>
      </c>
      <c r="CR316" s="171">
        <f t="shared" si="447"/>
        <v>0</v>
      </c>
      <c r="CS316" s="170">
        <f t="shared" si="415"/>
        <v>0</v>
      </c>
      <c r="CT316" s="90">
        <f t="shared" si="448"/>
        <v>0</v>
      </c>
      <c r="CU316" s="171">
        <f t="shared" si="449"/>
        <v>0</v>
      </c>
      <c r="CV316" s="170">
        <f t="shared" si="416"/>
        <v>0</v>
      </c>
      <c r="CW316" s="90">
        <f t="shared" si="450"/>
        <v>0</v>
      </c>
      <c r="CX316" s="171">
        <f t="shared" si="451"/>
        <v>0</v>
      </c>
      <c r="CY316" s="170">
        <f t="shared" si="417"/>
        <v>0</v>
      </c>
      <c r="CZ316" s="168">
        <f t="shared" si="418"/>
        <v>0</v>
      </c>
      <c r="DA316" s="172">
        <f t="shared" si="420"/>
        <v>0</v>
      </c>
      <c r="DB316" s="173">
        <f t="shared" si="421"/>
        <v>0</v>
      </c>
      <c r="DC316" s="172">
        <f t="shared" si="453"/>
        <v>0</v>
      </c>
      <c r="DD316" s="172">
        <f t="shared" si="453"/>
        <v>0</v>
      </c>
      <c r="DE316" s="172">
        <f t="shared" si="453"/>
        <v>0</v>
      </c>
      <c r="DF316" s="172">
        <f>IF(DA316-(DE315+CZ316)&lt;0,0,DA316-(DE315+CZ316))</f>
        <v>0</v>
      </c>
      <c r="DG316" s="136"/>
      <c r="DH316" s="136"/>
      <c r="DI316" s="3"/>
      <c r="DJ316" s="8"/>
      <c r="DK316" s="8"/>
      <c r="DL316" s="8"/>
      <c r="DM316" s="8"/>
      <c r="DN316" s="8"/>
      <c r="DO316" s="8"/>
      <c r="DP316" s="8"/>
      <c r="DQ316" s="3"/>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row>
    <row r="317" spans="1:155" s="566" customFormat="1" ht="15" customHeight="1">
      <c r="A317" s="422"/>
      <c r="B317" s="194" t="s">
        <v>180</v>
      </c>
      <c r="C317" s="649">
        <v>12</v>
      </c>
      <c r="D317" s="650"/>
      <c r="E317" s="27"/>
      <c r="F317" s="27"/>
      <c r="G317" s="649"/>
      <c r="H317" s="650"/>
      <c r="I317" s="27"/>
      <c r="J317" s="27"/>
      <c r="K317" s="649"/>
      <c r="L317" s="650"/>
      <c r="M317" s="307"/>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293"/>
      <c r="AW317" s="14"/>
      <c r="AX317" s="14"/>
      <c r="AY317" s="14"/>
      <c r="AZ317" s="14"/>
      <c r="BA317" s="14"/>
      <c r="BB317" s="14"/>
      <c r="BC317" s="14"/>
      <c r="BD317" s="70"/>
      <c r="BE317" s="165" t="s">
        <v>20</v>
      </c>
      <c r="BF317" s="23">
        <v>21</v>
      </c>
      <c r="BG317" s="23">
        <v>25</v>
      </c>
      <c r="BH317" s="23">
        <v>1</v>
      </c>
      <c r="BI317" s="90" t="b">
        <f t="shared" si="419"/>
        <v>1</v>
      </c>
      <c r="BJ317" s="46" t="b">
        <f t="shared" si="426"/>
        <v>0</v>
      </c>
      <c r="BK317" s="166">
        <f t="shared" si="427"/>
        <v>0</v>
      </c>
      <c r="BL317" s="175">
        <f>IF(SUM(BL$293:BL316,BK317)&gt;$BS$4,0,BK317)</f>
        <v>0</v>
      </c>
      <c r="BM317" s="23">
        <f t="shared" si="404"/>
        <v>0</v>
      </c>
      <c r="BN317" s="90">
        <f t="shared" si="405"/>
        <v>0</v>
      </c>
      <c r="BO317" s="24">
        <f t="shared" si="424"/>
        <v>0</v>
      </c>
      <c r="BP317" s="349">
        <f t="shared" si="428"/>
        <v>0</v>
      </c>
      <c r="BQ317" s="171">
        <f t="shared" si="429"/>
        <v>0</v>
      </c>
      <c r="BR317" s="170">
        <f t="shared" si="406"/>
        <v>0</v>
      </c>
      <c r="BS317" s="168">
        <f t="shared" si="430"/>
        <v>0</v>
      </c>
      <c r="BT317" s="171">
        <f t="shared" si="431"/>
        <v>0</v>
      </c>
      <c r="BU317" s="170">
        <f t="shared" si="407"/>
        <v>0</v>
      </c>
      <c r="BV317" s="168">
        <f t="shared" si="432"/>
        <v>0</v>
      </c>
      <c r="BW317" s="171">
        <f t="shared" si="433"/>
        <v>0</v>
      </c>
      <c r="BX317" s="170">
        <f t="shared" si="408"/>
        <v>0</v>
      </c>
      <c r="BY317" s="168">
        <f t="shared" si="434"/>
        <v>0</v>
      </c>
      <c r="BZ317" s="171">
        <f t="shared" si="435"/>
        <v>0</v>
      </c>
      <c r="CA317" s="170">
        <f t="shared" si="409"/>
        <v>0</v>
      </c>
      <c r="CB317" s="90">
        <f t="shared" si="436"/>
        <v>0</v>
      </c>
      <c r="CC317" s="171">
        <f t="shared" si="437"/>
        <v>0</v>
      </c>
      <c r="CD317" s="170">
        <f t="shared" si="410"/>
        <v>0</v>
      </c>
      <c r="CE317" s="90">
        <f t="shared" si="438"/>
        <v>0</v>
      </c>
      <c r="CF317" s="171">
        <f t="shared" si="439"/>
        <v>0</v>
      </c>
      <c r="CG317" s="170">
        <f t="shared" si="411"/>
        <v>0</v>
      </c>
      <c r="CH317" s="90">
        <f t="shared" si="440"/>
        <v>0</v>
      </c>
      <c r="CI317" s="171">
        <f t="shared" si="441"/>
        <v>0</v>
      </c>
      <c r="CJ317" s="170">
        <f t="shared" si="412"/>
        <v>0</v>
      </c>
      <c r="CK317" s="90">
        <f t="shared" si="442"/>
        <v>0</v>
      </c>
      <c r="CL317" s="171">
        <f t="shared" si="443"/>
        <v>0</v>
      </c>
      <c r="CM317" s="170">
        <f t="shared" si="413"/>
        <v>0</v>
      </c>
      <c r="CN317" s="90">
        <f t="shared" si="444"/>
        <v>0</v>
      </c>
      <c r="CO317" s="171">
        <f t="shared" si="445"/>
        <v>0</v>
      </c>
      <c r="CP317" s="170">
        <f t="shared" si="414"/>
        <v>0</v>
      </c>
      <c r="CQ317" s="90">
        <f t="shared" si="446"/>
        <v>0</v>
      </c>
      <c r="CR317" s="171">
        <f t="shared" si="447"/>
        <v>0</v>
      </c>
      <c r="CS317" s="170">
        <f t="shared" si="415"/>
        <v>0</v>
      </c>
      <c r="CT317" s="90">
        <f t="shared" si="448"/>
        <v>0</v>
      </c>
      <c r="CU317" s="171">
        <f t="shared" si="449"/>
        <v>0</v>
      </c>
      <c r="CV317" s="170">
        <f t="shared" si="416"/>
        <v>0</v>
      </c>
      <c r="CW317" s="90">
        <f t="shared" si="450"/>
        <v>0</v>
      </c>
      <c r="CX317" s="171">
        <f t="shared" si="451"/>
        <v>0</v>
      </c>
      <c r="CY317" s="170">
        <f t="shared" si="417"/>
        <v>0</v>
      </c>
      <c r="CZ317" s="168">
        <f t="shared" si="418"/>
        <v>0</v>
      </c>
      <c r="DA317" s="172">
        <f t="shared" si="420"/>
        <v>0</v>
      </c>
      <c r="DB317" s="173">
        <f t="shared" si="421"/>
        <v>0</v>
      </c>
      <c r="DC317" s="172">
        <f t="shared" si="453"/>
        <v>0</v>
      </c>
      <c r="DD317" s="172">
        <f t="shared" si="453"/>
        <v>0</v>
      </c>
      <c r="DE317" s="172">
        <f t="shared" si="453"/>
        <v>0</v>
      </c>
      <c r="DF317" s="172">
        <f t="shared" si="423"/>
        <v>0</v>
      </c>
      <c r="DG317" s="136"/>
      <c r="DH317" s="136"/>
      <c r="DI317" s="3"/>
      <c r="DJ317" s="382" t="s">
        <v>513</v>
      </c>
      <c r="DK317" s="415"/>
      <c r="DL317" s="415"/>
      <c r="DM317" s="8"/>
      <c r="DN317" s="8"/>
      <c r="DO317" s="8"/>
      <c r="DP317" s="8"/>
      <c r="DQ317" s="3"/>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row>
    <row r="318" spans="1:155" s="566" customFormat="1" ht="15" customHeight="1">
      <c r="A318" s="422"/>
      <c r="B318" s="194" t="s">
        <v>15</v>
      </c>
      <c r="C318" s="649">
        <v>13</v>
      </c>
      <c r="D318" s="650"/>
      <c r="E318" s="27"/>
      <c r="F318" s="27"/>
      <c r="G318" s="649"/>
      <c r="H318" s="650"/>
      <c r="I318" s="27"/>
      <c r="J318" s="27"/>
      <c r="K318" s="649"/>
      <c r="L318" s="650"/>
      <c r="M318" s="307"/>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293"/>
      <c r="AW318" s="14"/>
      <c r="AX318" s="14"/>
      <c r="AY318" s="14"/>
      <c r="AZ318" s="14"/>
      <c r="BA318" s="14"/>
      <c r="BB318" s="14"/>
      <c r="BC318" s="14"/>
      <c r="BD318" s="70"/>
      <c r="BE318" s="165" t="s">
        <v>20</v>
      </c>
      <c r="BF318" s="23">
        <v>21</v>
      </c>
      <c r="BG318" s="23">
        <v>26</v>
      </c>
      <c r="BH318" s="23">
        <v>2</v>
      </c>
      <c r="BI318" s="90" t="b">
        <f t="shared" si="419"/>
        <v>1</v>
      </c>
      <c r="BJ318" s="46" t="b">
        <f t="shared" si="426"/>
        <v>0</v>
      </c>
      <c r="BK318" s="166">
        <f t="shared" si="427"/>
        <v>0</v>
      </c>
      <c r="BL318" s="175">
        <f>IF(SUM(BL$293:BL317,BK318)&gt;$BS$4,0,BK318)</f>
        <v>0</v>
      </c>
      <c r="BM318" s="23">
        <f t="shared" si="404"/>
        <v>0</v>
      </c>
      <c r="BN318" s="90">
        <f t="shared" si="405"/>
        <v>0</v>
      </c>
      <c r="BO318" s="24">
        <f t="shared" si="424"/>
        <v>0</v>
      </c>
      <c r="BP318" s="349">
        <f t="shared" si="428"/>
        <v>0</v>
      </c>
      <c r="BQ318" s="171">
        <f t="shared" si="429"/>
        <v>0</v>
      </c>
      <c r="BR318" s="170">
        <f t="shared" si="406"/>
        <v>0</v>
      </c>
      <c r="BS318" s="168">
        <f t="shared" si="430"/>
        <v>0</v>
      </c>
      <c r="BT318" s="171">
        <f t="shared" si="431"/>
        <v>0</v>
      </c>
      <c r="BU318" s="170">
        <f t="shared" si="407"/>
        <v>0</v>
      </c>
      <c r="BV318" s="168">
        <f t="shared" si="432"/>
        <v>0</v>
      </c>
      <c r="BW318" s="171">
        <f t="shared" si="433"/>
        <v>0</v>
      </c>
      <c r="BX318" s="170">
        <f t="shared" si="408"/>
        <v>0</v>
      </c>
      <c r="BY318" s="168">
        <f t="shared" si="434"/>
        <v>0</v>
      </c>
      <c r="BZ318" s="171">
        <f t="shared" si="435"/>
        <v>0</v>
      </c>
      <c r="CA318" s="170">
        <f t="shared" si="409"/>
        <v>0</v>
      </c>
      <c r="CB318" s="90">
        <f t="shared" si="436"/>
        <v>0</v>
      </c>
      <c r="CC318" s="171">
        <f t="shared" si="437"/>
        <v>0</v>
      </c>
      <c r="CD318" s="170">
        <f t="shared" si="410"/>
        <v>0</v>
      </c>
      <c r="CE318" s="90">
        <f t="shared" si="438"/>
        <v>0</v>
      </c>
      <c r="CF318" s="171">
        <f t="shared" si="439"/>
        <v>0</v>
      </c>
      <c r="CG318" s="170">
        <f t="shared" si="411"/>
        <v>0</v>
      </c>
      <c r="CH318" s="90">
        <f t="shared" si="440"/>
        <v>0</v>
      </c>
      <c r="CI318" s="171">
        <f t="shared" si="441"/>
        <v>0</v>
      </c>
      <c r="CJ318" s="170">
        <f t="shared" si="412"/>
        <v>0</v>
      </c>
      <c r="CK318" s="90">
        <f t="shared" si="442"/>
        <v>0</v>
      </c>
      <c r="CL318" s="171">
        <f t="shared" si="443"/>
        <v>0</v>
      </c>
      <c r="CM318" s="170">
        <f t="shared" si="413"/>
        <v>0</v>
      </c>
      <c r="CN318" s="90">
        <f t="shared" si="444"/>
        <v>0</v>
      </c>
      <c r="CO318" s="171">
        <f t="shared" si="445"/>
        <v>0</v>
      </c>
      <c r="CP318" s="170">
        <f t="shared" si="414"/>
        <v>0</v>
      </c>
      <c r="CQ318" s="90">
        <f t="shared" si="446"/>
        <v>0</v>
      </c>
      <c r="CR318" s="171">
        <f t="shared" si="447"/>
        <v>0</v>
      </c>
      <c r="CS318" s="170">
        <f t="shared" si="415"/>
        <v>0</v>
      </c>
      <c r="CT318" s="90">
        <f t="shared" si="448"/>
        <v>0</v>
      </c>
      <c r="CU318" s="171">
        <f t="shared" si="449"/>
        <v>0</v>
      </c>
      <c r="CV318" s="170">
        <f t="shared" si="416"/>
        <v>0</v>
      </c>
      <c r="CW318" s="90">
        <f t="shared" si="450"/>
        <v>0</v>
      </c>
      <c r="CX318" s="171">
        <f t="shared" si="451"/>
        <v>0</v>
      </c>
      <c r="CY318" s="170">
        <f t="shared" si="417"/>
        <v>0</v>
      </c>
      <c r="CZ318" s="168">
        <f t="shared" si="418"/>
        <v>0</v>
      </c>
      <c r="DA318" s="172">
        <f t="shared" si="420"/>
        <v>0</v>
      </c>
      <c r="DB318" s="173">
        <f t="shared" si="421"/>
        <v>0</v>
      </c>
      <c r="DC318" s="172">
        <f t="shared" si="453"/>
        <v>0</v>
      </c>
      <c r="DD318" s="172">
        <f t="shared" si="453"/>
        <v>0</v>
      </c>
      <c r="DE318" s="172">
        <f t="shared" si="453"/>
        <v>0</v>
      </c>
      <c r="DF318" s="172">
        <f t="shared" si="423"/>
        <v>0</v>
      </c>
      <c r="DG318" s="136"/>
      <c r="DH318" s="136"/>
      <c r="DI318" s="3"/>
      <c r="DJ318" s="449"/>
      <c r="DK318" s="652" t="s">
        <v>515</v>
      </c>
      <c r="DL318" s="653"/>
      <c r="DM318" s="382" t="s">
        <v>516</v>
      </c>
      <c r="DN318" s="382" t="s">
        <v>517</v>
      </c>
      <c r="DO318" s="8"/>
      <c r="DP318" s="8"/>
      <c r="DQ318" s="3"/>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row>
    <row r="319" spans="1:155" s="566" customFormat="1" ht="15" customHeight="1">
      <c r="A319" s="422"/>
      <c r="B319" s="194" t="s">
        <v>185</v>
      </c>
      <c r="C319" s="649">
        <v>14</v>
      </c>
      <c r="D319" s="650"/>
      <c r="E319" s="27"/>
      <c r="F319" s="27"/>
      <c r="G319" s="649"/>
      <c r="H319" s="650"/>
      <c r="I319" s="27"/>
      <c r="J319" s="27"/>
      <c r="K319" s="649"/>
      <c r="L319" s="650"/>
      <c r="M319" s="307"/>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293"/>
      <c r="AW319" s="14"/>
      <c r="AX319" s="14"/>
      <c r="AY319" s="14"/>
      <c r="AZ319" s="14"/>
      <c r="BA319" s="14"/>
      <c r="BB319" s="14"/>
      <c r="BC319" s="14"/>
      <c r="BD319" s="70"/>
      <c r="BE319" s="165" t="s">
        <v>20</v>
      </c>
      <c r="BF319" s="23">
        <v>21</v>
      </c>
      <c r="BG319" s="23">
        <v>27</v>
      </c>
      <c r="BH319" s="23">
        <v>3</v>
      </c>
      <c r="BI319" s="90" t="b">
        <f t="shared" si="419"/>
        <v>1</v>
      </c>
      <c r="BJ319" s="46" t="b">
        <f t="shared" si="426"/>
        <v>1</v>
      </c>
      <c r="BK319" s="166">
        <f>IF(BJ319,BS$8,0)</f>
        <v>7.2</v>
      </c>
      <c r="BL319" s="175">
        <f>IF(SUM(BL$293:BL318,BK319)&gt;$BS$4,0,BK319)</f>
        <v>7.2</v>
      </c>
      <c r="BM319" s="23">
        <f t="shared" si="404"/>
        <v>0</v>
      </c>
      <c r="BN319" s="90">
        <f t="shared" si="405"/>
        <v>0</v>
      </c>
      <c r="BO319" s="24">
        <f t="shared" si="424"/>
        <v>0</v>
      </c>
      <c r="BP319" s="349">
        <f t="shared" si="428"/>
        <v>0</v>
      </c>
      <c r="BQ319" s="171">
        <f t="shared" si="429"/>
        <v>0</v>
      </c>
      <c r="BR319" s="170">
        <f t="shared" si="406"/>
        <v>0</v>
      </c>
      <c r="BS319" s="168">
        <f t="shared" si="430"/>
        <v>0</v>
      </c>
      <c r="BT319" s="171">
        <f t="shared" si="431"/>
        <v>0</v>
      </c>
      <c r="BU319" s="170">
        <f t="shared" si="407"/>
        <v>0</v>
      </c>
      <c r="BV319" s="168">
        <f t="shared" si="432"/>
        <v>0</v>
      </c>
      <c r="BW319" s="171">
        <f t="shared" si="433"/>
        <v>0</v>
      </c>
      <c r="BX319" s="170">
        <f t="shared" si="408"/>
        <v>0</v>
      </c>
      <c r="BY319" s="168">
        <f t="shared" si="434"/>
        <v>0</v>
      </c>
      <c r="BZ319" s="171">
        <f t="shared" si="435"/>
        <v>0</v>
      </c>
      <c r="CA319" s="170">
        <f t="shared" si="409"/>
        <v>0</v>
      </c>
      <c r="CB319" s="90">
        <f t="shared" si="436"/>
        <v>0</v>
      </c>
      <c r="CC319" s="171">
        <f t="shared" si="437"/>
        <v>0</v>
      </c>
      <c r="CD319" s="170">
        <f t="shared" si="410"/>
        <v>0</v>
      </c>
      <c r="CE319" s="90">
        <f t="shared" si="438"/>
        <v>0</v>
      </c>
      <c r="CF319" s="171">
        <f t="shared" si="439"/>
        <v>0</v>
      </c>
      <c r="CG319" s="170">
        <f t="shared" si="411"/>
        <v>0</v>
      </c>
      <c r="CH319" s="90">
        <f t="shared" si="440"/>
        <v>0</v>
      </c>
      <c r="CI319" s="171">
        <f t="shared" si="441"/>
        <v>0</v>
      </c>
      <c r="CJ319" s="170">
        <f t="shared" si="412"/>
        <v>0</v>
      </c>
      <c r="CK319" s="90">
        <f t="shared" si="442"/>
        <v>0</v>
      </c>
      <c r="CL319" s="171">
        <f t="shared" si="443"/>
        <v>0</v>
      </c>
      <c r="CM319" s="170">
        <f t="shared" si="413"/>
        <v>0</v>
      </c>
      <c r="CN319" s="90">
        <f t="shared" si="444"/>
        <v>0</v>
      </c>
      <c r="CO319" s="171">
        <f t="shared" si="445"/>
        <v>0</v>
      </c>
      <c r="CP319" s="170">
        <f t="shared" si="414"/>
        <v>0</v>
      </c>
      <c r="CQ319" s="90">
        <f t="shared" si="446"/>
        <v>0</v>
      </c>
      <c r="CR319" s="171">
        <f t="shared" si="447"/>
        <v>0</v>
      </c>
      <c r="CS319" s="170">
        <f t="shared" si="415"/>
        <v>0</v>
      </c>
      <c r="CT319" s="90">
        <f t="shared" si="448"/>
        <v>0</v>
      </c>
      <c r="CU319" s="171">
        <f t="shared" si="449"/>
        <v>0</v>
      </c>
      <c r="CV319" s="170">
        <f t="shared" si="416"/>
        <v>0</v>
      </c>
      <c r="CW319" s="90">
        <f t="shared" si="450"/>
        <v>0</v>
      </c>
      <c r="CX319" s="171">
        <f t="shared" si="451"/>
        <v>0</v>
      </c>
      <c r="CY319" s="170">
        <f t="shared" si="417"/>
        <v>0</v>
      </c>
      <c r="CZ319" s="168">
        <f t="shared" si="418"/>
        <v>0</v>
      </c>
      <c r="DA319" s="172">
        <f t="shared" si="420"/>
        <v>0</v>
      </c>
      <c r="DB319" s="173">
        <f t="shared" si="421"/>
        <v>0</v>
      </c>
      <c r="DC319" s="172">
        <f t="shared" si="453"/>
        <v>0</v>
      </c>
      <c r="DD319" s="172">
        <f t="shared" si="453"/>
        <v>0</v>
      </c>
      <c r="DE319" s="172">
        <f t="shared" si="453"/>
        <v>0</v>
      </c>
      <c r="DF319" s="172">
        <f>IF(DA319-(DE318+CZ319)&lt;0,0,DA319-(DE318+CZ319))</f>
        <v>0</v>
      </c>
      <c r="DG319" s="136"/>
      <c r="DH319" s="136"/>
      <c r="DI319" s="3"/>
      <c r="DJ319" s="451" t="s">
        <v>236</v>
      </c>
      <c r="DK319" s="452">
        <v>13</v>
      </c>
      <c r="DL319" s="452" t="s">
        <v>522</v>
      </c>
      <c r="DM319" s="452" t="s">
        <v>523</v>
      </c>
      <c r="DN319" s="452">
        <f>DK319/10</f>
        <v>1.3</v>
      </c>
      <c r="DO319" s="8"/>
      <c r="DP319" s="8"/>
      <c r="DQ319" s="3"/>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row>
    <row r="320" spans="1:155" s="566" customFormat="1" ht="15" customHeight="1">
      <c r="A320" s="422"/>
      <c r="B320" s="194" t="s">
        <v>186</v>
      </c>
      <c r="C320" s="649">
        <v>15</v>
      </c>
      <c r="D320" s="650"/>
      <c r="E320" s="27"/>
      <c r="F320" s="27"/>
      <c r="G320" s="649"/>
      <c r="H320" s="650"/>
      <c r="I320" s="27"/>
      <c r="J320" s="27"/>
      <c r="K320" s="649"/>
      <c r="L320" s="650"/>
      <c r="M320" s="307"/>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293"/>
      <c r="AW320" s="14"/>
      <c r="AX320" s="14"/>
      <c r="AY320" s="14"/>
      <c r="AZ320" s="14"/>
      <c r="BA320" s="14"/>
      <c r="BB320" s="14"/>
      <c r="BC320" s="14"/>
      <c r="BD320" s="70"/>
      <c r="BE320" s="165" t="s">
        <v>20</v>
      </c>
      <c r="BF320" s="23">
        <v>21</v>
      </c>
      <c r="BG320" s="23">
        <v>28</v>
      </c>
      <c r="BH320" s="23">
        <v>4</v>
      </c>
      <c r="BI320" s="90" t="b">
        <f t="shared" si="419"/>
        <v>1</v>
      </c>
      <c r="BJ320" s="46" t="b">
        <f t="shared" si="426"/>
        <v>0</v>
      </c>
      <c r="BK320" s="166">
        <f>IF(BJ320,BS$8,0)</f>
        <v>0</v>
      </c>
      <c r="BL320" s="175">
        <f>IF(SUM(BL$293:BL319,BK320)&gt;$BS$4,0,BK320)</f>
        <v>0</v>
      </c>
      <c r="BM320" s="23">
        <f t="shared" si="404"/>
        <v>0</v>
      </c>
      <c r="BN320" s="90">
        <f t="shared" si="405"/>
        <v>0</v>
      </c>
      <c r="BO320" s="24">
        <f t="shared" si="424"/>
        <v>0</v>
      </c>
      <c r="BP320" s="349">
        <f t="shared" si="428"/>
        <v>0</v>
      </c>
      <c r="BQ320" s="171">
        <f t="shared" si="429"/>
        <v>0</v>
      </c>
      <c r="BR320" s="170">
        <f t="shared" si="406"/>
        <v>0</v>
      </c>
      <c r="BS320" s="168">
        <f t="shared" si="430"/>
        <v>0</v>
      </c>
      <c r="BT320" s="171">
        <f t="shared" si="431"/>
        <v>0</v>
      </c>
      <c r="BU320" s="170">
        <f t="shared" si="407"/>
        <v>0</v>
      </c>
      <c r="BV320" s="168">
        <f t="shared" si="432"/>
        <v>0</v>
      </c>
      <c r="BW320" s="171">
        <f t="shared" si="433"/>
        <v>0</v>
      </c>
      <c r="BX320" s="170">
        <f t="shared" si="408"/>
        <v>0</v>
      </c>
      <c r="BY320" s="168">
        <f t="shared" si="434"/>
        <v>0</v>
      </c>
      <c r="BZ320" s="171">
        <f t="shared" si="435"/>
        <v>0</v>
      </c>
      <c r="CA320" s="170">
        <f t="shared" si="409"/>
        <v>0</v>
      </c>
      <c r="CB320" s="90">
        <f t="shared" si="436"/>
        <v>0</v>
      </c>
      <c r="CC320" s="171">
        <f t="shared" si="437"/>
        <v>0</v>
      </c>
      <c r="CD320" s="170">
        <f t="shared" si="410"/>
        <v>0</v>
      </c>
      <c r="CE320" s="90">
        <f t="shared" si="438"/>
        <v>0</v>
      </c>
      <c r="CF320" s="171">
        <f t="shared" si="439"/>
        <v>0</v>
      </c>
      <c r="CG320" s="170">
        <f t="shared" si="411"/>
        <v>0</v>
      </c>
      <c r="CH320" s="90">
        <f t="shared" si="440"/>
        <v>0</v>
      </c>
      <c r="CI320" s="171">
        <f t="shared" si="441"/>
        <v>0</v>
      </c>
      <c r="CJ320" s="170">
        <f t="shared" si="412"/>
        <v>0</v>
      </c>
      <c r="CK320" s="90">
        <f t="shared" si="442"/>
        <v>0</v>
      </c>
      <c r="CL320" s="171">
        <f t="shared" si="443"/>
        <v>0</v>
      </c>
      <c r="CM320" s="170">
        <f t="shared" si="413"/>
        <v>0</v>
      </c>
      <c r="CN320" s="90">
        <f t="shared" si="444"/>
        <v>0</v>
      </c>
      <c r="CO320" s="171">
        <f t="shared" si="445"/>
        <v>0</v>
      </c>
      <c r="CP320" s="170">
        <f t="shared" si="414"/>
        <v>0</v>
      </c>
      <c r="CQ320" s="90">
        <f t="shared" si="446"/>
        <v>0</v>
      </c>
      <c r="CR320" s="171">
        <f t="shared" si="447"/>
        <v>0</v>
      </c>
      <c r="CS320" s="170">
        <f t="shared" si="415"/>
        <v>0</v>
      </c>
      <c r="CT320" s="90">
        <f t="shared" si="448"/>
        <v>0</v>
      </c>
      <c r="CU320" s="171">
        <f t="shared" si="449"/>
        <v>0</v>
      </c>
      <c r="CV320" s="170">
        <f t="shared" si="416"/>
        <v>0</v>
      </c>
      <c r="CW320" s="90">
        <f t="shared" si="450"/>
        <v>0</v>
      </c>
      <c r="CX320" s="171">
        <f t="shared" si="451"/>
        <v>0</v>
      </c>
      <c r="CY320" s="170">
        <f t="shared" si="417"/>
        <v>0</v>
      </c>
      <c r="CZ320" s="168">
        <f t="shared" si="418"/>
        <v>0</v>
      </c>
      <c r="DA320" s="172">
        <f t="shared" si="420"/>
        <v>0</v>
      </c>
      <c r="DB320" s="173">
        <f t="shared" si="421"/>
        <v>0</v>
      </c>
      <c r="DC320" s="172">
        <f t="shared" si="453"/>
        <v>0</v>
      </c>
      <c r="DD320" s="172">
        <f t="shared" si="453"/>
        <v>0</v>
      </c>
      <c r="DE320" s="172">
        <f t="shared" si="453"/>
        <v>0</v>
      </c>
      <c r="DF320" s="172">
        <f t="shared" si="423"/>
        <v>0</v>
      </c>
      <c r="DG320" s="136"/>
      <c r="DH320" s="136"/>
      <c r="DI320" s="3"/>
      <c r="DJ320" s="451" t="s">
        <v>507</v>
      </c>
      <c r="DK320" s="452">
        <v>20</v>
      </c>
      <c r="DL320" s="452" t="s">
        <v>528</v>
      </c>
      <c r="DM320" s="452" t="s">
        <v>529</v>
      </c>
      <c r="DN320" s="452">
        <f>DK320/5</f>
        <v>4</v>
      </c>
      <c r="DO320" s="8"/>
      <c r="DP320" s="8"/>
      <c r="DQ320" s="3"/>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row>
    <row r="321" spans="1:155" s="566" customFormat="1" ht="15" customHeight="1">
      <c r="A321" s="422"/>
      <c r="B321" s="194" t="s">
        <v>187</v>
      </c>
      <c r="C321" s="649">
        <v>16</v>
      </c>
      <c r="D321" s="650"/>
      <c r="E321" s="27"/>
      <c r="F321" s="27"/>
      <c r="G321" s="649"/>
      <c r="H321" s="650"/>
      <c r="I321" s="27"/>
      <c r="J321" s="27"/>
      <c r="K321" s="649"/>
      <c r="L321" s="650"/>
      <c r="M321" s="307"/>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293"/>
      <c r="AW321" s="14"/>
      <c r="AX321" s="14"/>
      <c r="AY321" s="14"/>
      <c r="AZ321" s="14"/>
      <c r="BA321" s="14"/>
      <c r="BB321" s="14"/>
      <c r="BC321" s="14"/>
      <c r="BD321" s="70"/>
      <c r="BE321" s="165" t="s">
        <v>20</v>
      </c>
      <c r="BF321" s="23">
        <v>21</v>
      </c>
      <c r="BG321" s="23">
        <v>29</v>
      </c>
      <c r="BH321" s="23">
        <v>5</v>
      </c>
      <c r="BI321" s="90" t="b">
        <f t="shared" si="419"/>
        <v>1</v>
      </c>
      <c r="BJ321" s="46" t="b">
        <f t="shared" si="426"/>
        <v>0</v>
      </c>
      <c r="BK321" s="166">
        <f>IF(BJ321,BS$8,0)</f>
        <v>0</v>
      </c>
      <c r="BL321" s="175">
        <f>IF(SUM(BL$293:BL320,BK321)&gt;$BS$4,0,BK321)</f>
        <v>0</v>
      </c>
      <c r="BM321" s="23">
        <f t="shared" si="404"/>
        <v>0</v>
      </c>
      <c r="BN321" s="90">
        <f t="shared" si="405"/>
        <v>0</v>
      </c>
      <c r="BO321" s="24">
        <f t="shared" si="424"/>
        <v>0</v>
      </c>
      <c r="BP321" s="349">
        <f t="shared" si="428"/>
        <v>0</v>
      </c>
      <c r="BQ321" s="171">
        <f t="shared" si="429"/>
        <v>0</v>
      </c>
      <c r="BR321" s="170">
        <f t="shared" si="406"/>
        <v>0</v>
      </c>
      <c r="BS321" s="168">
        <f t="shared" si="430"/>
        <v>0</v>
      </c>
      <c r="BT321" s="171">
        <f t="shared" si="431"/>
        <v>0</v>
      </c>
      <c r="BU321" s="170">
        <f t="shared" si="407"/>
        <v>0</v>
      </c>
      <c r="BV321" s="168">
        <f t="shared" si="432"/>
        <v>0</v>
      </c>
      <c r="BW321" s="171">
        <f t="shared" si="433"/>
        <v>0</v>
      </c>
      <c r="BX321" s="170">
        <f t="shared" si="408"/>
        <v>0</v>
      </c>
      <c r="BY321" s="168">
        <f t="shared" si="434"/>
        <v>0</v>
      </c>
      <c r="BZ321" s="171">
        <f t="shared" si="435"/>
        <v>0</v>
      </c>
      <c r="CA321" s="170">
        <f t="shared" si="409"/>
        <v>0</v>
      </c>
      <c r="CB321" s="90">
        <f t="shared" si="436"/>
        <v>0</v>
      </c>
      <c r="CC321" s="171">
        <f t="shared" si="437"/>
        <v>0</v>
      </c>
      <c r="CD321" s="170">
        <f t="shared" si="410"/>
        <v>0</v>
      </c>
      <c r="CE321" s="90">
        <f t="shared" si="438"/>
        <v>0</v>
      </c>
      <c r="CF321" s="171">
        <f t="shared" si="439"/>
        <v>0</v>
      </c>
      <c r="CG321" s="170">
        <f t="shared" si="411"/>
        <v>0</v>
      </c>
      <c r="CH321" s="90">
        <f t="shared" si="440"/>
        <v>0</v>
      </c>
      <c r="CI321" s="171">
        <f t="shared" si="441"/>
        <v>0</v>
      </c>
      <c r="CJ321" s="170">
        <f t="shared" si="412"/>
        <v>0</v>
      </c>
      <c r="CK321" s="90">
        <f t="shared" si="442"/>
        <v>0</v>
      </c>
      <c r="CL321" s="171">
        <f t="shared" si="443"/>
        <v>0</v>
      </c>
      <c r="CM321" s="170">
        <f t="shared" si="413"/>
        <v>0</v>
      </c>
      <c r="CN321" s="90">
        <f t="shared" si="444"/>
        <v>0</v>
      </c>
      <c r="CO321" s="171">
        <f t="shared" si="445"/>
        <v>0</v>
      </c>
      <c r="CP321" s="170">
        <f t="shared" si="414"/>
        <v>0</v>
      </c>
      <c r="CQ321" s="90">
        <f t="shared" si="446"/>
        <v>0</v>
      </c>
      <c r="CR321" s="171">
        <f t="shared" si="447"/>
        <v>0</v>
      </c>
      <c r="CS321" s="170">
        <f t="shared" si="415"/>
        <v>0</v>
      </c>
      <c r="CT321" s="90">
        <f t="shared" si="448"/>
        <v>0</v>
      </c>
      <c r="CU321" s="171">
        <f t="shared" si="449"/>
        <v>0</v>
      </c>
      <c r="CV321" s="170">
        <f t="shared" si="416"/>
        <v>0</v>
      </c>
      <c r="CW321" s="90">
        <f t="shared" si="450"/>
        <v>0</v>
      </c>
      <c r="CX321" s="171">
        <f t="shared" si="451"/>
        <v>0</v>
      </c>
      <c r="CY321" s="170">
        <f t="shared" si="417"/>
        <v>0</v>
      </c>
      <c r="CZ321" s="168">
        <f t="shared" si="418"/>
        <v>0</v>
      </c>
      <c r="DA321" s="172">
        <f t="shared" si="420"/>
        <v>0</v>
      </c>
      <c r="DB321" s="173">
        <f t="shared" si="421"/>
        <v>0</v>
      </c>
      <c r="DC321" s="172">
        <f t="shared" si="453"/>
        <v>0</v>
      </c>
      <c r="DD321" s="172">
        <f t="shared" si="453"/>
        <v>0</v>
      </c>
      <c r="DE321" s="172">
        <f t="shared" si="453"/>
        <v>0</v>
      </c>
      <c r="DF321" s="172">
        <f t="shared" si="423"/>
        <v>0</v>
      </c>
      <c r="DG321" s="136"/>
      <c r="DH321" s="136"/>
      <c r="DI321" s="3"/>
      <c r="DJ321" s="451" t="s">
        <v>530</v>
      </c>
      <c r="DK321" s="452">
        <v>12</v>
      </c>
      <c r="DL321" s="452" t="s">
        <v>528</v>
      </c>
      <c r="DM321" s="452" t="s">
        <v>529</v>
      </c>
      <c r="DN321" s="452">
        <f>DK321/5</f>
        <v>2.4</v>
      </c>
      <c r="DO321" s="8"/>
      <c r="DP321" s="8"/>
      <c r="DQ321" s="3"/>
      <c r="DR321" s="8"/>
      <c r="DS321" s="8"/>
      <c r="DT321" s="8"/>
      <c r="DU321" s="8"/>
      <c r="DV321" s="8"/>
      <c r="DW321" s="8"/>
      <c r="DX321" s="8"/>
      <c r="DY321" s="8"/>
      <c r="DZ321" s="8"/>
      <c r="EA321" s="8"/>
      <c r="EB321" s="8"/>
      <c r="EC321" s="8"/>
      <c r="ED321" s="8"/>
      <c r="EE321" s="8"/>
      <c r="EF321" s="8"/>
      <c r="EG321" s="8"/>
      <c r="EH321" s="8"/>
      <c r="EI321" s="8"/>
      <c r="EJ321" s="8"/>
      <c r="EK321" s="8"/>
      <c r="EL321" s="8"/>
      <c r="EM321" s="8"/>
      <c r="EN321" s="8"/>
      <c r="EO321" s="8"/>
      <c r="EP321" s="8"/>
      <c r="EQ321" s="8"/>
      <c r="ER321" s="8"/>
      <c r="ES321" s="8"/>
      <c r="ET321" s="8"/>
      <c r="EU321" s="8"/>
      <c r="EV321" s="8"/>
      <c r="EW321" s="8"/>
      <c r="EX321" s="8"/>
      <c r="EY321" s="8"/>
    </row>
    <row r="322" spans="1:155" s="566" customFormat="1" ht="15" customHeight="1">
      <c r="A322" s="422"/>
      <c r="B322" s="194" t="s">
        <v>188</v>
      </c>
      <c r="C322" s="649">
        <v>17</v>
      </c>
      <c r="D322" s="650"/>
      <c r="E322" s="27"/>
      <c r="F322" s="27"/>
      <c r="G322" s="649"/>
      <c r="H322" s="650"/>
      <c r="I322" s="27"/>
      <c r="J322" s="27"/>
      <c r="K322" s="649"/>
      <c r="L322" s="650"/>
      <c r="M322" s="307"/>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293"/>
      <c r="AW322" s="14"/>
      <c r="AX322" s="14"/>
      <c r="AY322" s="14"/>
      <c r="AZ322" s="14"/>
      <c r="BA322" s="14"/>
      <c r="BB322" s="14"/>
      <c r="BC322" s="14"/>
      <c r="BD322" s="70"/>
      <c r="BE322" s="165" t="s">
        <v>20</v>
      </c>
      <c r="BF322" s="23">
        <v>21</v>
      </c>
      <c r="BG322" s="23">
        <v>30</v>
      </c>
      <c r="BH322" s="23">
        <v>6</v>
      </c>
      <c r="BI322" s="90" t="b">
        <f t="shared" si="419"/>
        <v>0</v>
      </c>
      <c r="BJ322" s="46" t="b">
        <f t="shared" si="426"/>
        <v>1</v>
      </c>
      <c r="BK322" s="166">
        <f>IF(BJ322,BS$8,0)</f>
        <v>7.2</v>
      </c>
      <c r="BL322" s="175">
        <f>IF(SUM(BL$293:BL321,BK322)&gt;$BS$4,0,BK322)</f>
        <v>7.2</v>
      </c>
      <c r="BM322" s="23">
        <f t="shared" si="404"/>
        <v>0</v>
      </c>
      <c r="BN322" s="90">
        <f t="shared" si="405"/>
        <v>0</v>
      </c>
      <c r="BO322" s="24">
        <f t="shared" si="424"/>
        <v>0</v>
      </c>
      <c r="BP322" s="349">
        <f t="shared" si="428"/>
        <v>0</v>
      </c>
      <c r="BQ322" s="171">
        <f t="shared" si="429"/>
        <v>0</v>
      </c>
      <c r="BR322" s="170">
        <f t="shared" si="406"/>
        <v>0</v>
      </c>
      <c r="BS322" s="168">
        <f t="shared" si="430"/>
        <v>0</v>
      </c>
      <c r="BT322" s="171">
        <f t="shared" si="431"/>
        <v>0</v>
      </c>
      <c r="BU322" s="170">
        <f t="shared" si="407"/>
        <v>0</v>
      </c>
      <c r="BV322" s="168">
        <f t="shared" si="432"/>
        <v>0</v>
      </c>
      <c r="BW322" s="171">
        <f t="shared" si="433"/>
        <v>0</v>
      </c>
      <c r="BX322" s="170">
        <f t="shared" si="408"/>
        <v>0</v>
      </c>
      <c r="BY322" s="168">
        <f t="shared" si="434"/>
        <v>0</v>
      </c>
      <c r="BZ322" s="171">
        <f t="shared" si="435"/>
        <v>0</v>
      </c>
      <c r="CA322" s="170">
        <f t="shared" si="409"/>
        <v>0</v>
      </c>
      <c r="CB322" s="90">
        <f t="shared" si="436"/>
        <v>0</v>
      </c>
      <c r="CC322" s="171">
        <f t="shared" si="437"/>
        <v>0</v>
      </c>
      <c r="CD322" s="170">
        <f t="shared" si="410"/>
        <v>0</v>
      </c>
      <c r="CE322" s="90">
        <f t="shared" si="438"/>
        <v>0</v>
      </c>
      <c r="CF322" s="171">
        <f t="shared" si="439"/>
        <v>0</v>
      </c>
      <c r="CG322" s="170">
        <f t="shared" si="411"/>
        <v>0</v>
      </c>
      <c r="CH322" s="90">
        <f t="shared" si="440"/>
        <v>0</v>
      </c>
      <c r="CI322" s="171">
        <f t="shared" si="441"/>
        <v>0</v>
      </c>
      <c r="CJ322" s="170">
        <f t="shared" si="412"/>
        <v>0</v>
      </c>
      <c r="CK322" s="90">
        <f t="shared" si="442"/>
        <v>0</v>
      </c>
      <c r="CL322" s="171">
        <f t="shared" si="443"/>
        <v>0</v>
      </c>
      <c r="CM322" s="170">
        <f t="shared" si="413"/>
        <v>0</v>
      </c>
      <c r="CN322" s="90">
        <f t="shared" si="444"/>
        <v>0</v>
      </c>
      <c r="CO322" s="171">
        <f t="shared" si="445"/>
        <v>0</v>
      </c>
      <c r="CP322" s="170">
        <f t="shared" si="414"/>
        <v>0</v>
      </c>
      <c r="CQ322" s="90">
        <f t="shared" si="446"/>
        <v>0</v>
      </c>
      <c r="CR322" s="171">
        <f t="shared" si="447"/>
        <v>0</v>
      </c>
      <c r="CS322" s="170">
        <f t="shared" si="415"/>
        <v>0</v>
      </c>
      <c r="CT322" s="90">
        <f t="shared" si="448"/>
        <v>0</v>
      </c>
      <c r="CU322" s="171">
        <f t="shared" si="449"/>
        <v>0</v>
      </c>
      <c r="CV322" s="170">
        <f t="shared" si="416"/>
        <v>0</v>
      </c>
      <c r="CW322" s="90">
        <f t="shared" si="450"/>
        <v>0</v>
      </c>
      <c r="CX322" s="171">
        <f t="shared" si="451"/>
        <v>0</v>
      </c>
      <c r="CY322" s="170">
        <f t="shared" si="417"/>
        <v>0</v>
      </c>
      <c r="CZ322" s="168">
        <f t="shared" si="418"/>
        <v>0</v>
      </c>
      <c r="DA322" s="172">
        <f t="shared" si="420"/>
        <v>0</v>
      </c>
      <c r="DB322" s="173">
        <f t="shared" si="421"/>
        <v>0</v>
      </c>
      <c r="DC322" s="172">
        <f t="shared" si="453"/>
        <v>0</v>
      </c>
      <c r="DD322" s="172">
        <f t="shared" si="453"/>
        <v>0</v>
      </c>
      <c r="DE322" s="172">
        <f t="shared" si="453"/>
        <v>0</v>
      </c>
      <c r="DF322" s="172">
        <f t="shared" si="423"/>
        <v>0</v>
      </c>
      <c r="DG322" s="136"/>
      <c r="DH322" s="136"/>
      <c r="DI322" s="3"/>
      <c r="DJ322" s="451" t="s">
        <v>510</v>
      </c>
      <c r="DK322" s="452">
        <v>57</v>
      </c>
      <c r="DL322" s="452" t="s">
        <v>531</v>
      </c>
      <c r="DM322" s="452" t="s">
        <v>532</v>
      </c>
      <c r="DN322" s="452">
        <f>DK322/25</f>
        <v>2.2799999999999998</v>
      </c>
      <c r="DO322" s="8"/>
      <c r="DP322" s="8"/>
      <c r="DQ322" s="3"/>
      <c r="DR322" s="8"/>
      <c r="DS322" s="8"/>
      <c r="DT322" s="8"/>
      <c r="DU322" s="8"/>
      <c r="DV322" s="8"/>
      <c r="DW322" s="8"/>
      <c r="DX322" s="8"/>
      <c r="DY322" s="8"/>
      <c r="DZ322" s="8"/>
      <c r="EA322" s="8"/>
      <c r="EB322" s="8"/>
      <c r="EC322" s="8"/>
      <c r="ED322" s="8"/>
      <c r="EE322" s="8"/>
      <c r="EF322" s="8"/>
      <c r="EG322" s="8"/>
      <c r="EH322" s="8"/>
      <c r="EI322" s="8"/>
      <c r="EJ322" s="8"/>
      <c r="EK322" s="8"/>
      <c r="EL322" s="8"/>
      <c r="EM322" s="8"/>
      <c r="EN322" s="8"/>
      <c r="EO322" s="8"/>
      <c r="EP322" s="8"/>
      <c r="EQ322" s="8"/>
      <c r="ER322" s="8"/>
      <c r="ES322" s="8"/>
      <c r="ET322" s="8"/>
      <c r="EU322" s="8"/>
      <c r="EV322" s="8"/>
      <c r="EW322" s="8"/>
      <c r="EX322" s="8"/>
      <c r="EY322" s="8"/>
    </row>
    <row r="323" spans="1:155" s="566" customFormat="1" ht="15" customHeight="1">
      <c r="A323" s="422"/>
      <c r="B323" s="194" t="s">
        <v>189</v>
      </c>
      <c r="C323" s="649">
        <v>18</v>
      </c>
      <c r="D323" s="650"/>
      <c r="E323" s="27"/>
      <c r="F323" s="27"/>
      <c r="G323" s="649"/>
      <c r="H323" s="650"/>
      <c r="I323" s="27"/>
      <c r="J323" s="27"/>
      <c r="K323" s="649"/>
      <c r="L323" s="650"/>
      <c r="M323" s="307"/>
      <c r="N323" s="43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293"/>
      <c r="AW323" s="14"/>
      <c r="AX323" s="14"/>
      <c r="AY323" s="14"/>
      <c r="AZ323" s="14"/>
      <c r="BA323" s="14"/>
      <c r="BB323" s="14"/>
      <c r="BC323" s="14"/>
      <c r="BD323" s="70"/>
      <c r="BE323" s="165" t="s">
        <v>20</v>
      </c>
      <c r="BF323" s="23">
        <v>21</v>
      </c>
      <c r="BG323" s="23">
        <v>31</v>
      </c>
      <c r="BH323" s="23">
        <v>7</v>
      </c>
      <c r="BI323" s="90" t="b">
        <f t="shared" si="419"/>
        <v>0</v>
      </c>
      <c r="BJ323" s="46" t="b">
        <f t="shared" si="426"/>
        <v>0</v>
      </c>
      <c r="BK323" s="166">
        <f>IF(BJ323,BS$8,0)</f>
        <v>0</v>
      </c>
      <c r="BL323" s="167">
        <f>$BS$4-SUM(BL293:BL322)</f>
        <v>0</v>
      </c>
      <c r="BM323" s="23">
        <f t="shared" si="404"/>
        <v>0</v>
      </c>
      <c r="BN323" s="90">
        <f t="shared" si="405"/>
        <v>0</v>
      </c>
      <c r="BO323" s="24">
        <f t="shared" si="424"/>
        <v>0</v>
      </c>
      <c r="BP323" s="349">
        <f t="shared" si="428"/>
        <v>0</v>
      </c>
      <c r="BQ323" s="171">
        <f t="shared" si="429"/>
        <v>0</v>
      </c>
      <c r="BR323" s="170">
        <f t="shared" si="406"/>
        <v>0</v>
      </c>
      <c r="BS323" s="168">
        <f t="shared" si="430"/>
        <v>0</v>
      </c>
      <c r="BT323" s="171">
        <f t="shared" si="431"/>
        <v>0</v>
      </c>
      <c r="BU323" s="170">
        <f t="shared" si="407"/>
        <v>0</v>
      </c>
      <c r="BV323" s="168">
        <f t="shared" si="432"/>
        <v>0</v>
      </c>
      <c r="BW323" s="171">
        <f t="shared" si="433"/>
        <v>0</v>
      </c>
      <c r="BX323" s="170">
        <f t="shared" si="408"/>
        <v>0</v>
      </c>
      <c r="BY323" s="168">
        <f t="shared" si="434"/>
        <v>0</v>
      </c>
      <c r="BZ323" s="171">
        <f t="shared" si="435"/>
        <v>0</v>
      </c>
      <c r="CA323" s="170">
        <f t="shared" si="409"/>
        <v>0</v>
      </c>
      <c r="CB323" s="90">
        <f t="shared" si="436"/>
        <v>0</v>
      </c>
      <c r="CC323" s="171">
        <f t="shared" si="437"/>
        <v>0</v>
      </c>
      <c r="CD323" s="170">
        <f t="shared" si="410"/>
        <v>0</v>
      </c>
      <c r="CE323" s="90">
        <f t="shared" si="438"/>
        <v>0</v>
      </c>
      <c r="CF323" s="171">
        <f t="shared" si="439"/>
        <v>0</v>
      </c>
      <c r="CG323" s="170">
        <f t="shared" si="411"/>
        <v>0</v>
      </c>
      <c r="CH323" s="90">
        <f t="shared" si="440"/>
        <v>0</v>
      </c>
      <c r="CI323" s="171">
        <f t="shared" si="441"/>
        <v>0</v>
      </c>
      <c r="CJ323" s="170">
        <f t="shared" si="412"/>
        <v>0</v>
      </c>
      <c r="CK323" s="90">
        <f t="shared" si="442"/>
        <v>0</v>
      </c>
      <c r="CL323" s="171">
        <f t="shared" si="443"/>
        <v>0</v>
      </c>
      <c r="CM323" s="170">
        <f t="shared" si="413"/>
        <v>0</v>
      </c>
      <c r="CN323" s="90">
        <f t="shared" si="444"/>
        <v>0</v>
      </c>
      <c r="CO323" s="171">
        <f t="shared" si="445"/>
        <v>0</v>
      </c>
      <c r="CP323" s="170">
        <f t="shared" si="414"/>
        <v>0</v>
      </c>
      <c r="CQ323" s="90">
        <f t="shared" si="446"/>
        <v>0</v>
      </c>
      <c r="CR323" s="171">
        <f t="shared" si="447"/>
        <v>0</v>
      </c>
      <c r="CS323" s="170">
        <f t="shared" si="415"/>
        <v>0</v>
      </c>
      <c r="CT323" s="90">
        <f t="shared" si="448"/>
        <v>0</v>
      </c>
      <c r="CU323" s="171">
        <f t="shared" si="449"/>
        <v>0</v>
      </c>
      <c r="CV323" s="170">
        <f t="shared" si="416"/>
        <v>0</v>
      </c>
      <c r="CW323" s="90">
        <f t="shared" si="450"/>
        <v>0</v>
      </c>
      <c r="CX323" s="171">
        <f t="shared" si="451"/>
        <v>0</v>
      </c>
      <c r="CY323" s="170">
        <f t="shared" si="417"/>
        <v>0</v>
      </c>
      <c r="CZ323" s="168">
        <f t="shared" si="418"/>
        <v>0</v>
      </c>
      <c r="DA323" s="172">
        <f t="shared" si="420"/>
        <v>0</v>
      </c>
      <c r="DB323" s="173">
        <f t="shared" si="421"/>
        <v>0</v>
      </c>
      <c r="DC323" s="172">
        <f t="shared" si="453"/>
        <v>0</v>
      </c>
      <c r="DD323" s="172">
        <f t="shared" si="453"/>
        <v>0</v>
      </c>
      <c r="DE323" s="172">
        <f t="shared" si="453"/>
        <v>0</v>
      </c>
      <c r="DF323" s="172">
        <f t="shared" si="423"/>
        <v>0</v>
      </c>
      <c r="DG323" s="136"/>
      <c r="DH323" s="136"/>
      <c r="DI323" s="3"/>
      <c r="DJ323" s="8"/>
      <c r="DK323" s="8"/>
      <c r="DL323" s="8"/>
      <c r="DM323" s="8"/>
      <c r="DN323" s="8"/>
      <c r="DO323" s="8"/>
      <c r="DP323" s="8"/>
      <c r="DQ323" s="3"/>
      <c r="DR323" s="8"/>
      <c r="DS323" s="8"/>
      <c r="DT323" s="8"/>
      <c r="DU323" s="8"/>
      <c r="DV323" s="8"/>
      <c r="DW323" s="8"/>
      <c r="DX323" s="8"/>
      <c r="DY323" s="8"/>
      <c r="DZ323" s="8"/>
      <c r="EA323" s="8"/>
      <c r="EB323" s="8"/>
      <c r="EC323" s="8"/>
      <c r="ED323" s="8"/>
      <c r="EE323" s="8"/>
      <c r="EF323" s="8"/>
      <c r="EG323" s="8"/>
      <c r="EH323" s="8"/>
      <c r="EI323" s="8"/>
      <c r="EJ323" s="8"/>
      <c r="EK323" s="8"/>
      <c r="EL323" s="8"/>
      <c r="EM323" s="8"/>
      <c r="EN323" s="8"/>
      <c r="EO323" s="8"/>
      <c r="EP323" s="8"/>
      <c r="EQ323" s="8"/>
      <c r="ER323" s="8"/>
      <c r="ES323" s="8"/>
      <c r="ET323" s="8"/>
      <c r="EU323" s="8"/>
      <c r="EV323" s="8"/>
      <c r="EW323" s="8"/>
      <c r="EX323" s="8"/>
      <c r="EY323" s="8"/>
    </row>
    <row r="324" spans="1:155" s="566" customFormat="1" ht="15" customHeight="1">
      <c r="A324" s="422"/>
      <c r="B324" s="194" t="s">
        <v>190</v>
      </c>
      <c r="C324" s="649">
        <v>19</v>
      </c>
      <c r="D324" s="650"/>
      <c r="E324" s="27"/>
      <c r="F324" s="27"/>
      <c r="G324" s="649"/>
      <c r="H324" s="650"/>
      <c r="I324" s="27"/>
      <c r="J324" s="27"/>
      <c r="K324" s="649"/>
      <c r="L324" s="650"/>
      <c r="M324" s="307"/>
      <c r="N324" s="43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293"/>
      <c r="AW324" s="14"/>
      <c r="AX324" s="14"/>
      <c r="AY324" s="14"/>
      <c r="AZ324" s="14"/>
      <c r="BA324" s="14"/>
      <c r="BB324" s="14"/>
      <c r="BC324" s="14"/>
      <c r="BD324" s="70"/>
      <c r="BE324" s="165" t="s">
        <v>21</v>
      </c>
      <c r="BF324" s="23">
        <v>22</v>
      </c>
      <c r="BG324" s="23">
        <v>1</v>
      </c>
      <c r="BH324" s="23">
        <v>1</v>
      </c>
      <c r="BI324" s="90" t="b">
        <f t="shared" si="419"/>
        <v>1</v>
      </c>
      <c r="BJ324" s="46" t="b">
        <f t="shared" ref="BJ324:BJ352" si="454">MOD(BG324,$BT$7)=0</f>
        <v>0</v>
      </c>
      <c r="BK324" s="166">
        <f>IF(BJ324,BT$8,0)</f>
        <v>0</v>
      </c>
      <c r="BL324" s="167">
        <f>BK324</f>
        <v>0</v>
      </c>
      <c r="BM324" s="23">
        <f t="shared" si="404"/>
        <v>0</v>
      </c>
      <c r="BN324" s="90">
        <f t="shared" si="405"/>
        <v>0</v>
      </c>
      <c r="BO324" s="24">
        <f t="shared" si="424"/>
        <v>0</v>
      </c>
      <c r="BP324" s="349">
        <f t="shared" ref="BP324:BP353" si="455">$Q$344/$BF$324*BR$16*$BI324</f>
        <v>0</v>
      </c>
      <c r="BQ324" s="171">
        <f t="shared" ref="BQ324:BQ353" si="456">AQ$379/$BF324*$BI324</f>
        <v>0</v>
      </c>
      <c r="BR324" s="170">
        <f t="shared" si="406"/>
        <v>0</v>
      </c>
      <c r="BS324" s="168">
        <f t="shared" ref="BS324:BS353" si="457">$R$344/$BF324*BU$16*$BI324</f>
        <v>0</v>
      </c>
      <c r="BT324" s="171">
        <f t="shared" ref="BT324:BT353" si="458">AR$379/$BF324*$BI324</f>
        <v>0</v>
      </c>
      <c r="BU324" s="170">
        <f t="shared" si="407"/>
        <v>0</v>
      </c>
      <c r="BV324" s="168">
        <f t="shared" ref="BV324:BV353" si="459">$S$344/$BF324*BX$16*$BI324</f>
        <v>0</v>
      </c>
      <c r="BW324" s="171">
        <f t="shared" ref="BW324:BW353" si="460">AS$379/$BF324*$BI324</f>
        <v>0</v>
      </c>
      <c r="BX324" s="170">
        <f t="shared" si="408"/>
        <v>0</v>
      </c>
      <c r="BY324" s="168">
        <f t="shared" ref="BY324:BY353" si="461">$T$344/$BF324*CA$16*$BI324</f>
        <v>0</v>
      </c>
      <c r="BZ324" s="171">
        <f t="shared" ref="BZ324:BZ353" si="462">AT$379/$BF324*$BI324</f>
        <v>0</v>
      </c>
      <c r="CA324" s="170">
        <f t="shared" si="409"/>
        <v>0</v>
      </c>
      <c r="CB324" s="90">
        <f t="shared" ref="CB324:CB353" si="463">$W$344/BF324*BI324*$C$419</f>
        <v>0</v>
      </c>
      <c r="CC324" s="171">
        <f t="shared" ref="CC324:CC353" si="464">AU$379/$BF324*$BI324</f>
        <v>0</v>
      </c>
      <c r="CD324" s="170">
        <f t="shared" si="410"/>
        <v>0</v>
      </c>
      <c r="CE324" s="90">
        <f t="shared" ref="CE324:CE353" si="465">$X$344/BF324*BI324*$C$420</f>
        <v>0</v>
      </c>
      <c r="CF324" s="171">
        <f t="shared" ref="CF324:CF353" si="466">AV$379/$BF324*$BI324</f>
        <v>0</v>
      </c>
      <c r="CG324" s="170">
        <f t="shared" si="411"/>
        <v>0</v>
      </c>
      <c r="CH324" s="90">
        <f t="shared" ref="CH324:CH353" si="467">$Y$344/BF324*BI324*$C$421</f>
        <v>0</v>
      </c>
      <c r="CI324" s="171">
        <f t="shared" ref="CI324:CI353" si="468">AW$379/$BF324*$BI324</f>
        <v>0</v>
      </c>
      <c r="CJ324" s="170">
        <f t="shared" si="412"/>
        <v>0</v>
      </c>
      <c r="CK324" s="90">
        <f t="shared" ref="CK324:CK353" si="469">$Z$344/BF324*BI324*$CM$16</f>
        <v>0</v>
      </c>
      <c r="CL324" s="171">
        <f t="shared" ref="CL324:CL353" si="470">AX$379/$BF324*$BI324</f>
        <v>0</v>
      </c>
      <c r="CM324" s="170">
        <f t="shared" si="413"/>
        <v>0</v>
      </c>
      <c r="CN324" s="90">
        <f t="shared" ref="CN324:CN353" si="471">$AA$344/BF324*BI324*$CP$16</f>
        <v>0</v>
      </c>
      <c r="CO324" s="171">
        <f t="shared" ref="CO324:CO353" si="472">$AY$379/$BF324*$BI324</f>
        <v>0</v>
      </c>
      <c r="CP324" s="170">
        <f t="shared" si="414"/>
        <v>0</v>
      </c>
      <c r="CQ324" s="90">
        <f t="shared" ref="CQ324:CQ353" si="473">$AB$344/BF324*BI324*$CS$16</f>
        <v>0</v>
      </c>
      <c r="CR324" s="171">
        <f t="shared" ref="CR324:CR353" si="474">AZ$379/$BF324*$BI324</f>
        <v>0</v>
      </c>
      <c r="CS324" s="170">
        <f t="shared" si="415"/>
        <v>0</v>
      </c>
      <c r="CT324" s="90">
        <f t="shared" ref="CT324:CT353" si="475">$AC$344/BF324*BI324*$CV$16</f>
        <v>0</v>
      </c>
      <c r="CU324" s="171">
        <f t="shared" ref="CU324:CU353" si="476">BA$379/$BF324*$BI324</f>
        <v>0</v>
      </c>
      <c r="CV324" s="170">
        <f t="shared" si="416"/>
        <v>0</v>
      </c>
      <c r="CW324" s="90">
        <f t="shared" ref="CW324:CW353" si="477">$AD$344/BF324*BI324*$CY$16</f>
        <v>0</v>
      </c>
      <c r="CX324" s="171">
        <f t="shared" ref="CX324:CX353" si="478">BB$379/$BF324*$BI324</f>
        <v>0</v>
      </c>
      <c r="CY324" s="170">
        <f t="shared" si="417"/>
        <v>0</v>
      </c>
      <c r="CZ324" s="168">
        <f t="shared" si="418"/>
        <v>0</v>
      </c>
      <c r="DA324" s="172">
        <f t="shared" si="420"/>
        <v>0</v>
      </c>
      <c r="DB324" s="173">
        <f t="shared" si="421"/>
        <v>0</v>
      </c>
      <c r="DC324" s="172">
        <f t="shared" si="453"/>
        <v>0</v>
      </c>
      <c r="DD324" s="172">
        <f t="shared" si="453"/>
        <v>0</v>
      </c>
      <c r="DE324" s="172">
        <f t="shared" si="453"/>
        <v>0</v>
      </c>
      <c r="DF324" s="172">
        <f>IF(DA324-(DE323+CZ324)&lt;0,0,DA324-(DE323+CZ324))</f>
        <v>0</v>
      </c>
      <c r="DG324" s="136"/>
      <c r="DH324" s="136"/>
      <c r="DI324" s="3"/>
      <c r="DJ324" s="8"/>
      <c r="DK324" s="8"/>
      <c r="DL324" s="8"/>
      <c r="DM324" s="8"/>
      <c r="DN324" s="8"/>
      <c r="DO324" s="8"/>
      <c r="DP324" s="8"/>
      <c r="DQ324" s="3"/>
      <c r="DR324" s="8"/>
      <c r="DS324" s="8"/>
      <c r="DT324" s="8"/>
      <c r="DU324" s="8"/>
      <c r="DV324" s="8"/>
      <c r="DW324" s="8"/>
      <c r="DX324" s="8"/>
      <c r="DY324" s="8"/>
      <c r="DZ324" s="8"/>
      <c r="EA324" s="8"/>
      <c r="EB324" s="8"/>
      <c r="EC324" s="8"/>
      <c r="ED324" s="8"/>
      <c r="EE324" s="8"/>
      <c r="EF324" s="8"/>
      <c r="EG324" s="8"/>
      <c r="EH324" s="8"/>
      <c r="EI324" s="8"/>
      <c r="EJ324" s="8"/>
      <c r="EK324" s="8"/>
      <c r="EL324" s="8"/>
      <c r="EM324" s="8"/>
      <c r="EN324" s="8"/>
      <c r="EO324" s="8"/>
      <c r="EP324" s="8"/>
      <c r="EQ324" s="8"/>
      <c r="ER324" s="8"/>
      <c r="ES324" s="8"/>
      <c r="ET324" s="8"/>
      <c r="EU324" s="8"/>
      <c r="EV324" s="8"/>
      <c r="EW324" s="8"/>
      <c r="EX324" s="8"/>
      <c r="EY324" s="8"/>
    </row>
    <row r="325" spans="1:155" s="566" customFormat="1" ht="15" customHeight="1">
      <c r="A325" s="422"/>
      <c r="B325" s="194" t="s">
        <v>191</v>
      </c>
      <c r="C325" s="649">
        <v>20</v>
      </c>
      <c r="D325" s="650"/>
      <c r="E325" s="27"/>
      <c r="F325" s="27"/>
      <c r="G325" s="649"/>
      <c r="H325" s="650"/>
      <c r="I325" s="27"/>
      <c r="J325" s="27"/>
      <c r="K325" s="649"/>
      <c r="L325" s="650"/>
      <c r="M325" s="307"/>
      <c r="N325" s="43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293"/>
      <c r="AW325" s="14"/>
      <c r="AX325" s="14"/>
      <c r="AY325" s="14"/>
      <c r="AZ325" s="14"/>
      <c r="BA325" s="14"/>
      <c r="BB325" s="14"/>
      <c r="BC325" s="14"/>
      <c r="BD325" s="70"/>
      <c r="BE325" s="165" t="s">
        <v>21</v>
      </c>
      <c r="BF325" s="23">
        <v>22</v>
      </c>
      <c r="BG325" s="23">
        <v>2</v>
      </c>
      <c r="BH325" s="23">
        <v>2</v>
      </c>
      <c r="BI325" s="90" t="b">
        <f t="shared" si="419"/>
        <v>1</v>
      </c>
      <c r="BJ325" s="46" t="b">
        <f t="shared" si="454"/>
        <v>1</v>
      </c>
      <c r="BK325" s="166">
        <f>IF(BJ325,BT$8,0)</f>
        <v>7.8</v>
      </c>
      <c r="BL325" s="175">
        <f>IF(SUM(BL$324:BL324,BK325)&gt;$BT$4,0,BK325)</f>
        <v>7.8</v>
      </c>
      <c r="BM325" s="23">
        <f t="shared" si="404"/>
        <v>0</v>
      </c>
      <c r="BN325" s="90">
        <f t="shared" si="405"/>
        <v>0</v>
      </c>
      <c r="BO325" s="24">
        <f t="shared" si="424"/>
        <v>0</v>
      </c>
      <c r="BP325" s="349">
        <f t="shared" si="455"/>
        <v>0</v>
      </c>
      <c r="BQ325" s="171">
        <f t="shared" si="456"/>
        <v>0</v>
      </c>
      <c r="BR325" s="170">
        <f t="shared" si="406"/>
        <v>0</v>
      </c>
      <c r="BS325" s="168">
        <f t="shared" si="457"/>
        <v>0</v>
      </c>
      <c r="BT325" s="171">
        <f t="shared" si="458"/>
        <v>0</v>
      </c>
      <c r="BU325" s="170">
        <f t="shared" si="407"/>
        <v>0</v>
      </c>
      <c r="BV325" s="168">
        <f t="shared" si="459"/>
        <v>0</v>
      </c>
      <c r="BW325" s="171">
        <f t="shared" si="460"/>
        <v>0</v>
      </c>
      <c r="BX325" s="170">
        <f t="shared" si="408"/>
        <v>0</v>
      </c>
      <c r="BY325" s="168">
        <f t="shared" si="461"/>
        <v>0</v>
      </c>
      <c r="BZ325" s="171">
        <f t="shared" si="462"/>
        <v>0</v>
      </c>
      <c r="CA325" s="170">
        <f t="shared" si="409"/>
        <v>0</v>
      </c>
      <c r="CB325" s="90">
        <f t="shared" si="463"/>
        <v>0</v>
      </c>
      <c r="CC325" s="171">
        <f t="shared" si="464"/>
        <v>0</v>
      </c>
      <c r="CD325" s="170">
        <f t="shared" si="410"/>
        <v>0</v>
      </c>
      <c r="CE325" s="90">
        <f t="shared" si="465"/>
        <v>0</v>
      </c>
      <c r="CF325" s="171">
        <f t="shared" si="466"/>
        <v>0</v>
      </c>
      <c r="CG325" s="170">
        <f t="shared" si="411"/>
        <v>0</v>
      </c>
      <c r="CH325" s="90">
        <f t="shared" si="467"/>
        <v>0</v>
      </c>
      <c r="CI325" s="171">
        <f t="shared" si="468"/>
        <v>0</v>
      </c>
      <c r="CJ325" s="170">
        <f t="shared" si="412"/>
        <v>0</v>
      </c>
      <c r="CK325" s="90">
        <f t="shared" si="469"/>
        <v>0</v>
      </c>
      <c r="CL325" s="171">
        <f t="shared" si="470"/>
        <v>0</v>
      </c>
      <c r="CM325" s="170">
        <f t="shared" si="413"/>
        <v>0</v>
      </c>
      <c r="CN325" s="90">
        <f t="shared" si="471"/>
        <v>0</v>
      </c>
      <c r="CO325" s="171">
        <f t="shared" si="472"/>
        <v>0</v>
      </c>
      <c r="CP325" s="170">
        <f t="shared" si="414"/>
        <v>0</v>
      </c>
      <c r="CQ325" s="90">
        <f t="shared" si="473"/>
        <v>0</v>
      </c>
      <c r="CR325" s="171">
        <f t="shared" si="474"/>
        <v>0</v>
      </c>
      <c r="CS325" s="170">
        <f t="shared" si="415"/>
        <v>0</v>
      </c>
      <c r="CT325" s="90">
        <f t="shared" si="475"/>
        <v>0</v>
      </c>
      <c r="CU325" s="171">
        <f t="shared" si="476"/>
        <v>0</v>
      </c>
      <c r="CV325" s="170">
        <f t="shared" si="416"/>
        <v>0</v>
      </c>
      <c r="CW325" s="90">
        <f t="shared" si="477"/>
        <v>0</v>
      </c>
      <c r="CX325" s="171">
        <f t="shared" si="478"/>
        <v>0</v>
      </c>
      <c r="CY325" s="170">
        <f t="shared" si="417"/>
        <v>0</v>
      </c>
      <c r="CZ325" s="168">
        <f t="shared" si="418"/>
        <v>0</v>
      </c>
      <c r="DA325" s="172">
        <f t="shared" si="420"/>
        <v>0</v>
      </c>
      <c r="DB325" s="173">
        <f t="shared" si="421"/>
        <v>0</v>
      </c>
      <c r="DC325" s="172">
        <f t="shared" ref="DC325:DE340" si="479">IF(DC324+$DB325&lt;0,0,IF(DC324+$DB325&gt;$F$405,$F$405,DC324+$DB325))</f>
        <v>0</v>
      </c>
      <c r="DD325" s="172">
        <f t="shared" si="479"/>
        <v>0</v>
      </c>
      <c r="DE325" s="172">
        <f t="shared" si="479"/>
        <v>0</v>
      </c>
      <c r="DF325" s="172">
        <f>IF(DA325-(DE324+CZ325)&lt;0,0,DA325-(DE324+CZ325))</f>
        <v>0</v>
      </c>
      <c r="DG325" s="136"/>
      <c r="DH325" s="136"/>
      <c r="DI325" s="3"/>
      <c r="DJ325" s="8"/>
      <c r="DK325" s="8"/>
      <c r="DL325" s="8"/>
      <c r="DM325" s="8"/>
      <c r="DN325" s="8"/>
      <c r="DO325" s="8"/>
      <c r="DP325" s="8"/>
      <c r="DQ325" s="3"/>
      <c r="DR325" s="8"/>
      <c r="DS325" s="8"/>
      <c r="DT325" s="8"/>
      <c r="DU325" s="8"/>
      <c r="DV325" s="8"/>
      <c r="DW325" s="8"/>
      <c r="DX325" s="8"/>
      <c r="DY325" s="8"/>
      <c r="DZ325" s="8"/>
      <c r="EA325" s="8"/>
      <c r="EB325" s="8"/>
      <c r="EC325" s="8"/>
      <c r="ED325" s="8"/>
      <c r="EE325" s="8"/>
      <c r="EF325" s="8"/>
      <c r="EG325" s="8"/>
      <c r="EH325" s="8"/>
      <c r="EI325" s="8"/>
      <c r="EJ325" s="8"/>
      <c r="EK325" s="8"/>
      <c r="EL325" s="8"/>
      <c r="EM325" s="8"/>
      <c r="EN325" s="8"/>
      <c r="EO325" s="8"/>
      <c r="EP325" s="8"/>
      <c r="EQ325" s="8"/>
      <c r="ER325" s="8"/>
      <c r="ES325" s="8"/>
      <c r="ET325" s="8"/>
      <c r="EU325" s="8"/>
      <c r="EV325" s="8"/>
      <c r="EW325" s="8"/>
      <c r="EX325" s="8"/>
      <c r="EY325" s="8"/>
    </row>
    <row r="326" spans="1:155" s="566" customFormat="1" ht="15" customHeight="1">
      <c r="A326" s="422"/>
      <c r="B326" s="351" t="s">
        <v>548</v>
      </c>
      <c r="C326" s="651">
        <f>SUM(C314:C325)</f>
        <v>175</v>
      </c>
      <c r="D326" s="651"/>
      <c r="E326" s="27"/>
      <c r="F326" s="27"/>
      <c r="G326" s="651">
        <f>SUM(G314:G325)</f>
        <v>0</v>
      </c>
      <c r="H326" s="651"/>
      <c r="I326" s="27"/>
      <c r="J326" s="27"/>
      <c r="K326" s="651">
        <f>SUM(K314:K325)</f>
        <v>0</v>
      </c>
      <c r="L326" s="651"/>
      <c r="M326" s="307"/>
      <c r="N326" s="43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293"/>
      <c r="AW326" s="14"/>
      <c r="AX326" s="14"/>
      <c r="AY326" s="14"/>
      <c r="AZ326" s="14"/>
      <c r="BA326" s="14"/>
      <c r="BB326" s="14"/>
      <c r="BC326" s="14"/>
      <c r="BD326" s="70"/>
      <c r="BE326" s="165" t="s">
        <v>21</v>
      </c>
      <c r="BF326" s="23">
        <v>22</v>
      </c>
      <c r="BG326" s="23">
        <v>3</v>
      </c>
      <c r="BH326" s="23">
        <v>3</v>
      </c>
      <c r="BI326" s="90" t="b">
        <f t="shared" si="419"/>
        <v>1</v>
      </c>
      <c r="BJ326" s="46" t="b">
        <f t="shared" si="454"/>
        <v>0</v>
      </c>
      <c r="BK326" s="166">
        <f>IF(BJ326,BT$8,0)</f>
        <v>0</v>
      </c>
      <c r="BL326" s="175">
        <f>IF(SUM(BL$324:BL325,BK326)&gt;$BT$4,0,BK326)</f>
        <v>0</v>
      </c>
      <c r="BM326" s="23">
        <f t="shared" si="404"/>
        <v>0</v>
      </c>
      <c r="BN326" s="90">
        <f t="shared" si="405"/>
        <v>0</v>
      </c>
      <c r="BO326" s="24">
        <f t="shared" si="424"/>
        <v>0</v>
      </c>
      <c r="BP326" s="349">
        <f t="shared" si="455"/>
        <v>0</v>
      </c>
      <c r="BQ326" s="171">
        <f t="shared" si="456"/>
        <v>0</v>
      </c>
      <c r="BR326" s="170">
        <f t="shared" si="406"/>
        <v>0</v>
      </c>
      <c r="BS326" s="168">
        <f t="shared" si="457"/>
        <v>0</v>
      </c>
      <c r="BT326" s="171">
        <f t="shared" si="458"/>
        <v>0</v>
      </c>
      <c r="BU326" s="170">
        <f t="shared" si="407"/>
        <v>0</v>
      </c>
      <c r="BV326" s="168">
        <f t="shared" si="459"/>
        <v>0</v>
      </c>
      <c r="BW326" s="171">
        <f t="shared" si="460"/>
        <v>0</v>
      </c>
      <c r="BX326" s="170">
        <f t="shared" si="408"/>
        <v>0</v>
      </c>
      <c r="BY326" s="168">
        <f t="shared" si="461"/>
        <v>0</v>
      </c>
      <c r="BZ326" s="171">
        <f t="shared" si="462"/>
        <v>0</v>
      </c>
      <c r="CA326" s="170">
        <f t="shared" si="409"/>
        <v>0</v>
      </c>
      <c r="CB326" s="90">
        <f t="shared" si="463"/>
        <v>0</v>
      </c>
      <c r="CC326" s="171">
        <f t="shared" si="464"/>
        <v>0</v>
      </c>
      <c r="CD326" s="170">
        <f t="shared" si="410"/>
        <v>0</v>
      </c>
      <c r="CE326" s="90">
        <f t="shared" si="465"/>
        <v>0</v>
      </c>
      <c r="CF326" s="171">
        <f t="shared" si="466"/>
        <v>0</v>
      </c>
      <c r="CG326" s="170">
        <f t="shared" si="411"/>
        <v>0</v>
      </c>
      <c r="CH326" s="90">
        <f t="shared" si="467"/>
        <v>0</v>
      </c>
      <c r="CI326" s="171">
        <f t="shared" si="468"/>
        <v>0</v>
      </c>
      <c r="CJ326" s="170">
        <f t="shared" si="412"/>
        <v>0</v>
      </c>
      <c r="CK326" s="90">
        <f t="shared" si="469"/>
        <v>0</v>
      </c>
      <c r="CL326" s="171">
        <f t="shared" si="470"/>
        <v>0</v>
      </c>
      <c r="CM326" s="170">
        <f t="shared" si="413"/>
        <v>0</v>
      </c>
      <c r="CN326" s="90">
        <f t="shared" si="471"/>
        <v>0</v>
      </c>
      <c r="CO326" s="171">
        <f t="shared" si="472"/>
        <v>0</v>
      </c>
      <c r="CP326" s="170">
        <f t="shared" si="414"/>
        <v>0</v>
      </c>
      <c r="CQ326" s="90">
        <f t="shared" si="473"/>
        <v>0</v>
      </c>
      <c r="CR326" s="171">
        <f t="shared" si="474"/>
        <v>0</v>
      </c>
      <c r="CS326" s="170">
        <f t="shared" si="415"/>
        <v>0</v>
      </c>
      <c r="CT326" s="90">
        <f t="shared" si="475"/>
        <v>0</v>
      </c>
      <c r="CU326" s="171">
        <f t="shared" si="476"/>
        <v>0</v>
      </c>
      <c r="CV326" s="170">
        <f t="shared" si="416"/>
        <v>0</v>
      </c>
      <c r="CW326" s="90">
        <f t="shared" si="477"/>
        <v>0</v>
      </c>
      <c r="CX326" s="171">
        <f t="shared" si="478"/>
        <v>0</v>
      </c>
      <c r="CY326" s="170">
        <f t="shared" si="417"/>
        <v>0</v>
      </c>
      <c r="CZ326" s="168">
        <f t="shared" si="418"/>
        <v>0</v>
      </c>
      <c r="DA326" s="172">
        <f t="shared" si="420"/>
        <v>0</v>
      </c>
      <c r="DB326" s="173">
        <f t="shared" si="421"/>
        <v>0</v>
      </c>
      <c r="DC326" s="172">
        <f t="shared" si="479"/>
        <v>0</v>
      </c>
      <c r="DD326" s="172">
        <f t="shared" si="479"/>
        <v>0</v>
      </c>
      <c r="DE326" s="172">
        <f t="shared" si="479"/>
        <v>0</v>
      </c>
      <c r="DF326" s="172">
        <f t="shared" si="423"/>
        <v>0</v>
      </c>
      <c r="DG326" s="136"/>
      <c r="DH326" s="136"/>
      <c r="DI326" s="3"/>
      <c r="DJ326" s="8"/>
      <c r="DK326" s="8"/>
      <c r="DL326" s="8"/>
      <c r="DM326" s="8"/>
      <c r="DN326" s="8"/>
      <c r="DO326" s="8"/>
      <c r="DP326" s="8"/>
      <c r="DQ326" s="3"/>
      <c r="DR326" s="8"/>
      <c r="DS326" s="8"/>
      <c r="DT326" s="8"/>
      <c r="DU326" s="8"/>
      <c r="DV326" s="8"/>
      <c r="DW326" s="8"/>
      <c r="DX326" s="8"/>
      <c r="DY326" s="8"/>
      <c r="DZ326" s="8"/>
      <c r="EA326" s="8"/>
      <c r="EB326" s="8"/>
      <c r="EC326" s="8"/>
      <c r="ED326" s="8"/>
      <c r="EE326" s="8"/>
      <c r="EF326" s="8"/>
      <c r="EG326" s="8"/>
      <c r="EH326" s="8"/>
      <c r="EI326" s="8"/>
      <c r="EJ326" s="8"/>
      <c r="EK326" s="8"/>
      <c r="EL326" s="8"/>
      <c r="EM326" s="8"/>
      <c r="EN326" s="8"/>
      <c r="EO326" s="8"/>
      <c r="EP326" s="8"/>
      <c r="EQ326" s="8"/>
      <c r="ER326" s="8"/>
      <c r="ES326" s="8"/>
      <c r="ET326" s="8"/>
      <c r="EU326" s="8"/>
      <c r="EV326" s="8"/>
      <c r="EW326" s="8"/>
      <c r="EX326" s="8"/>
      <c r="EY326" s="8"/>
    </row>
    <row r="327" spans="1:155" s="566" customFormat="1" ht="15" customHeight="1">
      <c r="A327" s="422"/>
      <c r="B327" s="351"/>
      <c r="C327" s="70"/>
      <c r="D327" s="436"/>
      <c r="E327" s="351"/>
      <c r="F327" s="388"/>
      <c r="G327" s="70"/>
      <c r="H327" s="351"/>
      <c r="I327" s="388"/>
      <c r="J327" s="388"/>
      <c r="K327" s="70"/>
      <c r="L327" s="27"/>
      <c r="M327" s="307"/>
      <c r="N327" s="43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293"/>
      <c r="AW327" s="14"/>
      <c r="AX327" s="14"/>
      <c r="AY327" s="14"/>
      <c r="AZ327" s="14"/>
      <c r="BA327" s="14"/>
      <c r="BB327" s="14"/>
      <c r="BC327" s="14"/>
      <c r="BD327" s="70"/>
      <c r="BE327" s="165" t="s">
        <v>21</v>
      </c>
      <c r="BF327" s="23">
        <v>22</v>
      </c>
      <c r="BG327" s="23">
        <v>4</v>
      </c>
      <c r="BH327" s="23">
        <v>4</v>
      </c>
      <c r="BI327" s="90" t="b">
        <f t="shared" si="419"/>
        <v>1</v>
      </c>
      <c r="BJ327" s="46" t="b">
        <f t="shared" si="454"/>
        <v>1</v>
      </c>
      <c r="BK327" s="166">
        <f>IF(BJ327,BT$8,0)</f>
        <v>7.8</v>
      </c>
      <c r="BL327" s="175">
        <f>IF(SUM(BL$324:BL326,BK327)&gt;$BT$4,0,BK327)</f>
        <v>7.8</v>
      </c>
      <c r="BM327" s="23">
        <f t="shared" si="404"/>
        <v>0</v>
      </c>
      <c r="BN327" s="90">
        <f t="shared" si="405"/>
        <v>0</v>
      </c>
      <c r="BO327" s="24">
        <f t="shared" si="424"/>
        <v>0</v>
      </c>
      <c r="BP327" s="349">
        <f t="shared" si="455"/>
        <v>0</v>
      </c>
      <c r="BQ327" s="171">
        <f t="shared" si="456"/>
        <v>0</v>
      </c>
      <c r="BR327" s="170">
        <f t="shared" si="406"/>
        <v>0</v>
      </c>
      <c r="BS327" s="168">
        <f t="shared" si="457"/>
        <v>0</v>
      </c>
      <c r="BT327" s="171">
        <f t="shared" si="458"/>
        <v>0</v>
      </c>
      <c r="BU327" s="170">
        <f t="shared" si="407"/>
        <v>0</v>
      </c>
      <c r="BV327" s="168">
        <f t="shared" si="459"/>
        <v>0</v>
      </c>
      <c r="BW327" s="171">
        <f t="shared" si="460"/>
        <v>0</v>
      </c>
      <c r="BX327" s="170">
        <f t="shared" si="408"/>
        <v>0</v>
      </c>
      <c r="BY327" s="168">
        <f t="shared" si="461"/>
        <v>0</v>
      </c>
      <c r="BZ327" s="171">
        <f t="shared" si="462"/>
        <v>0</v>
      </c>
      <c r="CA327" s="170">
        <f t="shared" si="409"/>
        <v>0</v>
      </c>
      <c r="CB327" s="90">
        <f t="shared" si="463"/>
        <v>0</v>
      </c>
      <c r="CC327" s="171">
        <f t="shared" si="464"/>
        <v>0</v>
      </c>
      <c r="CD327" s="170">
        <f t="shared" si="410"/>
        <v>0</v>
      </c>
      <c r="CE327" s="90">
        <f t="shared" si="465"/>
        <v>0</v>
      </c>
      <c r="CF327" s="171">
        <f t="shared" si="466"/>
        <v>0</v>
      </c>
      <c r="CG327" s="170">
        <f t="shared" si="411"/>
        <v>0</v>
      </c>
      <c r="CH327" s="90">
        <f t="shared" si="467"/>
        <v>0</v>
      </c>
      <c r="CI327" s="171">
        <f t="shared" si="468"/>
        <v>0</v>
      </c>
      <c r="CJ327" s="170">
        <f t="shared" si="412"/>
        <v>0</v>
      </c>
      <c r="CK327" s="90">
        <f t="shared" si="469"/>
        <v>0</v>
      </c>
      <c r="CL327" s="171">
        <f t="shared" si="470"/>
        <v>0</v>
      </c>
      <c r="CM327" s="170">
        <f t="shared" si="413"/>
        <v>0</v>
      </c>
      <c r="CN327" s="90">
        <f t="shared" si="471"/>
        <v>0</v>
      </c>
      <c r="CO327" s="171">
        <f t="shared" si="472"/>
        <v>0</v>
      </c>
      <c r="CP327" s="170">
        <f t="shared" si="414"/>
        <v>0</v>
      </c>
      <c r="CQ327" s="90">
        <f t="shared" si="473"/>
        <v>0</v>
      </c>
      <c r="CR327" s="171">
        <f t="shared" si="474"/>
        <v>0</v>
      </c>
      <c r="CS327" s="170">
        <f t="shared" si="415"/>
        <v>0</v>
      </c>
      <c r="CT327" s="90">
        <f t="shared" si="475"/>
        <v>0</v>
      </c>
      <c r="CU327" s="171">
        <f t="shared" si="476"/>
        <v>0</v>
      </c>
      <c r="CV327" s="170">
        <f t="shared" si="416"/>
        <v>0</v>
      </c>
      <c r="CW327" s="90">
        <f t="shared" si="477"/>
        <v>0</v>
      </c>
      <c r="CX327" s="171">
        <f t="shared" si="478"/>
        <v>0</v>
      </c>
      <c r="CY327" s="170">
        <f t="shared" si="417"/>
        <v>0</v>
      </c>
      <c r="CZ327" s="168">
        <f t="shared" si="418"/>
        <v>0</v>
      </c>
      <c r="DA327" s="172">
        <f t="shared" si="420"/>
        <v>0</v>
      </c>
      <c r="DB327" s="173">
        <f t="shared" si="421"/>
        <v>0</v>
      </c>
      <c r="DC327" s="172">
        <f t="shared" si="479"/>
        <v>0</v>
      </c>
      <c r="DD327" s="172">
        <f t="shared" si="479"/>
        <v>0</v>
      </c>
      <c r="DE327" s="172">
        <f t="shared" si="479"/>
        <v>0</v>
      </c>
      <c r="DF327" s="172">
        <f t="shared" si="423"/>
        <v>0</v>
      </c>
      <c r="DG327" s="136"/>
      <c r="DH327" s="136"/>
      <c r="DI327" s="3"/>
      <c r="DJ327" s="8"/>
      <c r="DK327" s="8"/>
      <c r="DL327" s="8"/>
      <c r="DM327" s="8"/>
      <c r="DN327" s="8"/>
      <c r="DO327" s="8"/>
      <c r="DP327" s="8"/>
      <c r="DQ327" s="3"/>
      <c r="DR327" s="8"/>
      <c r="DS327" s="8"/>
      <c r="DT327" s="8"/>
      <c r="DU327" s="8"/>
      <c r="DV327" s="8"/>
      <c r="DW327" s="8"/>
      <c r="DX327" s="8"/>
      <c r="DY327" s="8"/>
      <c r="DZ327" s="8"/>
      <c r="EA327" s="8"/>
      <c r="EB327" s="8"/>
      <c r="EC327" s="8"/>
      <c r="ED327" s="8"/>
      <c r="EE327" s="8"/>
      <c r="EF327" s="8"/>
      <c r="EG327" s="8"/>
      <c r="EH327" s="8"/>
      <c r="EI327" s="8"/>
      <c r="EJ327" s="8"/>
      <c r="EK327" s="8"/>
      <c r="EL327" s="8"/>
      <c r="EM327" s="8"/>
      <c r="EN327" s="8"/>
      <c r="EO327" s="8"/>
      <c r="EP327" s="8"/>
      <c r="EQ327" s="8"/>
      <c r="ER327" s="8"/>
      <c r="ES327" s="8"/>
      <c r="ET327" s="8"/>
      <c r="EU327" s="8"/>
      <c r="EV327" s="8"/>
      <c r="EW327" s="8"/>
      <c r="EX327" s="8"/>
      <c r="EY327" s="8"/>
    </row>
    <row r="328" spans="1:155" s="566" customFormat="1" ht="15" customHeight="1">
      <c r="A328" s="422"/>
      <c r="B328" s="322" t="s">
        <v>36</v>
      </c>
      <c r="C328" s="322"/>
      <c r="D328" s="322"/>
      <c r="E328" s="351"/>
      <c r="F328" s="322" t="s">
        <v>36</v>
      </c>
      <c r="G328" s="322"/>
      <c r="H328" s="322"/>
      <c r="I328" s="388"/>
      <c r="J328" s="322" t="s">
        <v>36</v>
      </c>
      <c r="K328" s="322"/>
      <c r="L328" s="322"/>
      <c r="M328" s="307"/>
      <c r="N328" s="43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293"/>
      <c r="AW328" s="14"/>
      <c r="AX328" s="14"/>
      <c r="AY328" s="14"/>
      <c r="AZ328" s="14"/>
      <c r="BA328" s="14"/>
      <c r="BB328" s="14"/>
      <c r="BC328" s="14"/>
      <c r="BD328" s="70"/>
      <c r="BE328" s="165" t="s">
        <v>21</v>
      </c>
      <c r="BF328" s="23">
        <v>22</v>
      </c>
      <c r="BG328" s="23">
        <v>5</v>
      </c>
      <c r="BH328" s="23">
        <v>5</v>
      </c>
      <c r="BI328" s="90" t="b">
        <f t="shared" si="419"/>
        <v>1</v>
      </c>
      <c r="BJ328" s="46" t="b">
        <f t="shared" si="454"/>
        <v>0</v>
      </c>
      <c r="BK328" s="166">
        <f t="shared" ref="BK328:BK352" si="480">IF(BJ328,BT$8,0)</f>
        <v>0</v>
      </c>
      <c r="BL328" s="175">
        <f>IF(SUM(BL$324:BL327,BK328)&gt;$BT$4,0,BK328)</f>
        <v>0</v>
      </c>
      <c r="BM328" s="23">
        <f t="shared" si="404"/>
        <v>0</v>
      </c>
      <c r="BN328" s="90">
        <f t="shared" si="405"/>
        <v>0</v>
      </c>
      <c r="BO328" s="24">
        <f t="shared" si="424"/>
        <v>0</v>
      </c>
      <c r="BP328" s="349">
        <f t="shared" si="455"/>
        <v>0</v>
      </c>
      <c r="BQ328" s="171">
        <f t="shared" si="456"/>
        <v>0</v>
      </c>
      <c r="BR328" s="170">
        <f t="shared" si="406"/>
        <v>0</v>
      </c>
      <c r="BS328" s="168">
        <f t="shared" si="457"/>
        <v>0</v>
      </c>
      <c r="BT328" s="171">
        <f t="shared" si="458"/>
        <v>0</v>
      </c>
      <c r="BU328" s="170">
        <f t="shared" si="407"/>
        <v>0</v>
      </c>
      <c r="BV328" s="168">
        <f t="shared" si="459"/>
        <v>0</v>
      </c>
      <c r="BW328" s="171">
        <f t="shared" si="460"/>
        <v>0</v>
      </c>
      <c r="BX328" s="170">
        <f t="shared" si="408"/>
        <v>0</v>
      </c>
      <c r="BY328" s="168">
        <f t="shared" si="461"/>
        <v>0</v>
      </c>
      <c r="BZ328" s="171">
        <f t="shared" si="462"/>
        <v>0</v>
      </c>
      <c r="CA328" s="170">
        <f t="shared" si="409"/>
        <v>0</v>
      </c>
      <c r="CB328" s="90">
        <f t="shared" si="463"/>
        <v>0</v>
      </c>
      <c r="CC328" s="171">
        <f t="shared" si="464"/>
        <v>0</v>
      </c>
      <c r="CD328" s="170">
        <f t="shared" si="410"/>
        <v>0</v>
      </c>
      <c r="CE328" s="90">
        <f t="shared" si="465"/>
        <v>0</v>
      </c>
      <c r="CF328" s="171">
        <f t="shared" si="466"/>
        <v>0</v>
      </c>
      <c r="CG328" s="170">
        <f t="shared" si="411"/>
        <v>0</v>
      </c>
      <c r="CH328" s="90">
        <f t="shared" si="467"/>
        <v>0</v>
      </c>
      <c r="CI328" s="171">
        <f t="shared" si="468"/>
        <v>0</v>
      </c>
      <c r="CJ328" s="170">
        <f t="shared" si="412"/>
        <v>0</v>
      </c>
      <c r="CK328" s="90">
        <f t="shared" si="469"/>
        <v>0</v>
      </c>
      <c r="CL328" s="171">
        <f t="shared" si="470"/>
        <v>0</v>
      </c>
      <c r="CM328" s="170">
        <f t="shared" si="413"/>
        <v>0</v>
      </c>
      <c r="CN328" s="90">
        <f t="shared" si="471"/>
        <v>0</v>
      </c>
      <c r="CO328" s="171">
        <f t="shared" si="472"/>
        <v>0</v>
      </c>
      <c r="CP328" s="170">
        <f t="shared" si="414"/>
        <v>0</v>
      </c>
      <c r="CQ328" s="90">
        <f t="shared" si="473"/>
        <v>0</v>
      </c>
      <c r="CR328" s="171">
        <f t="shared" si="474"/>
        <v>0</v>
      </c>
      <c r="CS328" s="170">
        <f t="shared" si="415"/>
        <v>0</v>
      </c>
      <c r="CT328" s="90">
        <f t="shared" si="475"/>
        <v>0</v>
      </c>
      <c r="CU328" s="171">
        <f t="shared" si="476"/>
        <v>0</v>
      </c>
      <c r="CV328" s="170">
        <f t="shared" si="416"/>
        <v>0</v>
      </c>
      <c r="CW328" s="90">
        <f t="shared" si="477"/>
        <v>0</v>
      </c>
      <c r="CX328" s="171">
        <f t="shared" si="478"/>
        <v>0</v>
      </c>
      <c r="CY328" s="170">
        <f t="shared" si="417"/>
        <v>0</v>
      </c>
      <c r="CZ328" s="168">
        <f t="shared" si="418"/>
        <v>0</v>
      </c>
      <c r="DA328" s="172">
        <f t="shared" si="420"/>
        <v>0</v>
      </c>
      <c r="DB328" s="173">
        <f t="shared" si="421"/>
        <v>0</v>
      </c>
      <c r="DC328" s="172">
        <f t="shared" si="479"/>
        <v>0</v>
      </c>
      <c r="DD328" s="172">
        <f t="shared" si="479"/>
        <v>0</v>
      </c>
      <c r="DE328" s="172">
        <f t="shared" si="479"/>
        <v>0</v>
      </c>
      <c r="DF328" s="172">
        <f>IF(DA328-(DE327+CZ328)&lt;0,0,DA328-(DE327+CZ328))</f>
        <v>0</v>
      </c>
      <c r="DG328" s="136"/>
      <c r="DH328" s="136"/>
      <c r="DI328" s="3"/>
      <c r="DJ328" s="8"/>
      <c r="DK328" s="8"/>
      <c r="DL328" s="8"/>
      <c r="DM328" s="8"/>
      <c r="DN328" s="8"/>
      <c r="DO328" s="8"/>
      <c r="DP328" s="8"/>
      <c r="DQ328" s="3"/>
      <c r="DR328" s="8"/>
      <c r="DS328" s="8"/>
      <c r="DT328" s="8"/>
      <c r="DU328" s="8"/>
      <c r="DV328" s="8"/>
      <c r="DW328" s="8"/>
      <c r="DX328" s="8"/>
      <c r="DY328" s="8"/>
      <c r="DZ328" s="8"/>
      <c r="EA328" s="8"/>
      <c r="EB328" s="8"/>
      <c r="EC328" s="8"/>
      <c r="ED328" s="8"/>
      <c r="EE328" s="8"/>
      <c r="EF328" s="8"/>
      <c r="EG328" s="8"/>
      <c r="EH328" s="8"/>
      <c r="EI328" s="8"/>
      <c r="EJ328" s="8"/>
      <c r="EK328" s="8"/>
      <c r="EL328" s="8"/>
      <c r="EM328" s="8"/>
      <c r="EN328" s="8"/>
      <c r="EO328" s="8"/>
      <c r="EP328" s="8"/>
      <c r="EQ328" s="8"/>
      <c r="ER328" s="8"/>
      <c r="ES328" s="8"/>
      <c r="ET328" s="8"/>
      <c r="EU328" s="8"/>
      <c r="EV328" s="8"/>
      <c r="EW328" s="8"/>
      <c r="EX328" s="8"/>
      <c r="EY328" s="8"/>
    </row>
    <row r="329" spans="1:155" s="566" customFormat="1" ht="15" customHeight="1">
      <c r="A329" s="422"/>
      <c r="B329" s="648" t="s">
        <v>486</v>
      </c>
      <c r="C329" s="648"/>
      <c r="D329" s="195">
        <f>SUM(D337:D342)</f>
        <v>0</v>
      </c>
      <c r="E329" s="351"/>
      <c r="F329" s="648" t="s">
        <v>486</v>
      </c>
      <c r="G329" s="648"/>
      <c r="H329" s="195">
        <f>D329</f>
        <v>0</v>
      </c>
      <c r="I329" s="388"/>
      <c r="J329" s="648" t="s">
        <v>486</v>
      </c>
      <c r="K329" s="648"/>
      <c r="L329" s="195">
        <f>H329</f>
        <v>0</v>
      </c>
      <c r="M329" s="307"/>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293"/>
      <c r="AW329" s="14"/>
      <c r="AX329" s="14"/>
      <c r="AY329" s="14"/>
      <c r="AZ329" s="14"/>
      <c r="BA329" s="14"/>
      <c r="BB329" s="14"/>
      <c r="BC329" s="14"/>
      <c r="BD329" s="70"/>
      <c r="BE329" s="165" t="s">
        <v>21</v>
      </c>
      <c r="BF329" s="23">
        <v>22</v>
      </c>
      <c r="BG329" s="23">
        <v>6</v>
      </c>
      <c r="BH329" s="23">
        <v>6</v>
      </c>
      <c r="BI329" s="90" t="b">
        <f t="shared" si="419"/>
        <v>0</v>
      </c>
      <c r="BJ329" s="46" t="b">
        <f t="shared" si="454"/>
        <v>1</v>
      </c>
      <c r="BK329" s="166">
        <f t="shared" si="480"/>
        <v>7.8</v>
      </c>
      <c r="BL329" s="175">
        <f>IF(SUM(BL$324:BL328,BK329)&gt;$BT$4,0,BK329)</f>
        <v>7.8</v>
      </c>
      <c r="BM329" s="23">
        <f t="shared" si="404"/>
        <v>0</v>
      </c>
      <c r="BN329" s="90">
        <f t="shared" si="405"/>
        <v>0</v>
      </c>
      <c r="BO329" s="24">
        <f t="shared" si="424"/>
        <v>0</v>
      </c>
      <c r="BP329" s="349">
        <f t="shared" si="455"/>
        <v>0</v>
      </c>
      <c r="BQ329" s="171">
        <f t="shared" si="456"/>
        <v>0</v>
      </c>
      <c r="BR329" s="170">
        <f t="shared" si="406"/>
        <v>0</v>
      </c>
      <c r="BS329" s="168">
        <f t="shared" si="457"/>
        <v>0</v>
      </c>
      <c r="BT329" s="171">
        <f t="shared" si="458"/>
        <v>0</v>
      </c>
      <c r="BU329" s="170">
        <f t="shared" si="407"/>
        <v>0</v>
      </c>
      <c r="BV329" s="168">
        <f t="shared" si="459"/>
        <v>0</v>
      </c>
      <c r="BW329" s="171">
        <f t="shared" si="460"/>
        <v>0</v>
      </c>
      <c r="BX329" s="170">
        <f t="shared" si="408"/>
        <v>0</v>
      </c>
      <c r="BY329" s="168">
        <f t="shared" si="461"/>
        <v>0</v>
      </c>
      <c r="BZ329" s="171">
        <f t="shared" si="462"/>
        <v>0</v>
      </c>
      <c r="CA329" s="170">
        <f t="shared" si="409"/>
        <v>0</v>
      </c>
      <c r="CB329" s="90">
        <f t="shared" si="463"/>
        <v>0</v>
      </c>
      <c r="CC329" s="171">
        <f t="shared" si="464"/>
        <v>0</v>
      </c>
      <c r="CD329" s="170">
        <f t="shared" si="410"/>
        <v>0</v>
      </c>
      <c r="CE329" s="90">
        <f t="shared" si="465"/>
        <v>0</v>
      </c>
      <c r="CF329" s="171">
        <f t="shared" si="466"/>
        <v>0</v>
      </c>
      <c r="CG329" s="170">
        <f t="shared" si="411"/>
        <v>0</v>
      </c>
      <c r="CH329" s="90">
        <f t="shared" si="467"/>
        <v>0</v>
      </c>
      <c r="CI329" s="171">
        <f t="shared" si="468"/>
        <v>0</v>
      </c>
      <c r="CJ329" s="170">
        <f t="shared" si="412"/>
        <v>0</v>
      </c>
      <c r="CK329" s="90">
        <f t="shared" si="469"/>
        <v>0</v>
      </c>
      <c r="CL329" s="171">
        <f t="shared" si="470"/>
        <v>0</v>
      </c>
      <c r="CM329" s="170">
        <f t="shared" si="413"/>
        <v>0</v>
      </c>
      <c r="CN329" s="90">
        <f t="shared" si="471"/>
        <v>0</v>
      </c>
      <c r="CO329" s="171">
        <f t="shared" si="472"/>
        <v>0</v>
      </c>
      <c r="CP329" s="170">
        <f t="shared" si="414"/>
        <v>0</v>
      </c>
      <c r="CQ329" s="90">
        <f t="shared" si="473"/>
        <v>0</v>
      </c>
      <c r="CR329" s="171">
        <f t="shared" si="474"/>
        <v>0</v>
      </c>
      <c r="CS329" s="170">
        <f t="shared" si="415"/>
        <v>0</v>
      </c>
      <c r="CT329" s="90">
        <f t="shared" si="475"/>
        <v>0</v>
      </c>
      <c r="CU329" s="171">
        <f t="shared" si="476"/>
        <v>0</v>
      </c>
      <c r="CV329" s="170">
        <f t="shared" si="416"/>
        <v>0</v>
      </c>
      <c r="CW329" s="90">
        <f t="shared" si="477"/>
        <v>0</v>
      </c>
      <c r="CX329" s="171">
        <f t="shared" si="478"/>
        <v>0</v>
      </c>
      <c r="CY329" s="170">
        <f t="shared" si="417"/>
        <v>0</v>
      </c>
      <c r="CZ329" s="168">
        <f t="shared" si="418"/>
        <v>0</v>
      </c>
      <c r="DA329" s="172">
        <f t="shared" si="420"/>
        <v>0</v>
      </c>
      <c r="DB329" s="173">
        <f t="shared" si="421"/>
        <v>0</v>
      </c>
      <c r="DC329" s="172">
        <f t="shared" si="479"/>
        <v>0</v>
      </c>
      <c r="DD329" s="172">
        <f t="shared" si="479"/>
        <v>0</v>
      </c>
      <c r="DE329" s="172">
        <f t="shared" si="479"/>
        <v>0</v>
      </c>
      <c r="DF329" s="172">
        <f t="shared" si="423"/>
        <v>0</v>
      </c>
      <c r="DG329" s="136"/>
      <c r="DH329" s="136"/>
      <c r="DI329" s="3"/>
      <c r="DJ329" s="8"/>
      <c r="DK329" s="8"/>
      <c r="DL329" s="8"/>
      <c r="DM329" s="8"/>
      <c r="DN329" s="8"/>
      <c r="DO329" s="8"/>
      <c r="DP329" s="8"/>
      <c r="DQ329" s="3"/>
      <c r="DR329" s="8"/>
      <c r="DS329" s="8"/>
      <c r="DT329" s="8"/>
      <c r="DU329" s="8"/>
      <c r="DV329" s="8"/>
      <c r="DW329" s="8"/>
      <c r="DX329" s="8"/>
      <c r="DY329" s="8"/>
      <c r="DZ329" s="8"/>
      <c r="EA329" s="8"/>
      <c r="EB329" s="8"/>
      <c r="EC329" s="8"/>
      <c r="ED329" s="8"/>
      <c r="EE329" s="8"/>
      <c r="EF329" s="8"/>
      <c r="EG329" s="8"/>
      <c r="EH329" s="8"/>
      <c r="EI329" s="8"/>
      <c r="EJ329" s="8"/>
      <c r="EK329" s="8"/>
      <c r="EL329" s="8"/>
      <c r="EM329" s="8"/>
      <c r="EN329" s="8"/>
      <c r="EO329" s="8"/>
      <c r="EP329" s="8"/>
      <c r="EQ329" s="8"/>
      <c r="ER329" s="8"/>
      <c r="ES329" s="8"/>
      <c r="ET329" s="8"/>
      <c r="EU329" s="8"/>
      <c r="EV329" s="8"/>
      <c r="EW329" s="8"/>
      <c r="EX329" s="8"/>
      <c r="EY329" s="8"/>
    </row>
    <row r="330" spans="1:155" s="566" customFormat="1" ht="15" customHeight="1">
      <c r="A330" s="197"/>
      <c r="B330" s="648" t="str">
        <f>C311&amp;" demand of total"</f>
        <v>{Other Water Use 1} demand of total</v>
      </c>
      <c r="C330" s="648"/>
      <c r="D330" s="454" t="str">
        <f>IFERROR(C326/D329*O304,"-")</f>
        <v>-</v>
      </c>
      <c r="E330" s="351"/>
      <c r="F330" s="648" t="str">
        <f>G311&amp;" demand of total"</f>
        <v>{Other Water Use 2} demand of total</v>
      </c>
      <c r="G330" s="648"/>
      <c r="H330" s="454" t="str">
        <f>IFERROR(G326/H329*O304,"-")</f>
        <v>-</v>
      </c>
      <c r="I330" s="455"/>
      <c r="J330" s="648" t="str">
        <f>K311&amp;" demand of total"</f>
        <v>{Other Water Use 3} demand of total</v>
      </c>
      <c r="K330" s="648"/>
      <c r="L330" s="454" t="str">
        <f>IFERROR(K326/L329*O304,"-")</f>
        <v>-</v>
      </c>
      <c r="M330" s="307"/>
      <c r="N330" s="456" t="str">
        <f>B333</f>
        <v>Summary of Water Demands</v>
      </c>
      <c r="O330" s="218"/>
      <c r="P330" s="218"/>
      <c r="Q330" s="218"/>
      <c r="R330" s="218"/>
      <c r="S330" s="218"/>
      <c r="T330" s="218"/>
      <c r="U330" s="218"/>
      <c r="V330" s="218"/>
      <c r="W330" s="218"/>
      <c r="X330" s="218"/>
      <c r="Y330" s="218"/>
      <c r="Z330" s="218"/>
      <c r="AA330" s="218"/>
      <c r="AB330" s="218"/>
      <c r="AC330" s="218"/>
      <c r="AD330" s="218"/>
      <c r="AE330" s="218"/>
      <c r="AF330" s="218"/>
      <c r="AG330" s="218"/>
      <c r="AH330" s="218"/>
      <c r="AI330" s="218"/>
      <c r="AJ330" s="218"/>
      <c r="AK330" s="218"/>
      <c r="AL330" s="218"/>
      <c r="AM330" s="218"/>
      <c r="AN330" s="218"/>
      <c r="AO330" s="218"/>
      <c r="AP330" s="218"/>
      <c r="AQ330" s="218"/>
      <c r="AR330" s="218"/>
      <c r="AS330" s="218"/>
      <c r="AT330" s="218"/>
      <c r="AU330" s="218"/>
      <c r="AV330" s="218"/>
      <c r="AW330" s="218"/>
      <c r="AX330" s="218"/>
      <c r="AY330" s="218"/>
      <c r="AZ330" s="218"/>
      <c r="BA330" s="218"/>
      <c r="BB330" s="218"/>
      <c r="BC330" s="218"/>
      <c r="BD330" s="70"/>
      <c r="BE330" s="165" t="s">
        <v>21</v>
      </c>
      <c r="BF330" s="23">
        <v>22</v>
      </c>
      <c r="BG330" s="23">
        <v>7</v>
      </c>
      <c r="BH330" s="23">
        <v>7</v>
      </c>
      <c r="BI330" s="90" t="b">
        <f t="shared" si="419"/>
        <v>0</v>
      </c>
      <c r="BJ330" s="46" t="b">
        <f t="shared" si="454"/>
        <v>0</v>
      </c>
      <c r="BK330" s="166">
        <f t="shared" si="480"/>
        <v>0</v>
      </c>
      <c r="BL330" s="175">
        <f>IF(SUM(BL$324:BL329,BK330)&gt;$BT$4,0,BK330)</f>
        <v>0</v>
      </c>
      <c r="BM330" s="23">
        <f t="shared" si="404"/>
        <v>0</v>
      </c>
      <c r="BN330" s="90">
        <f t="shared" si="405"/>
        <v>0</v>
      </c>
      <c r="BO330" s="24">
        <f t="shared" si="424"/>
        <v>0</v>
      </c>
      <c r="BP330" s="349">
        <f t="shared" si="455"/>
        <v>0</v>
      </c>
      <c r="BQ330" s="171">
        <f t="shared" si="456"/>
        <v>0</v>
      </c>
      <c r="BR330" s="170">
        <f t="shared" si="406"/>
        <v>0</v>
      </c>
      <c r="BS330" s="168">
        <f t="shared" si="457"/>
        <v>0</v>
      </c>
      <c r="BT330" s="171">
        <f t="shared" si="458"/>
        <v>0</v>
      </c>
      <c r="BU330" s="170">
        <f t="shared" si="407"/>
        <v>0</v>
      </c>
      <c r="BV330" s="168">
        <f t="shared" si="459"/>
        <v>0</v>
      </c>
      <c r="BW330" s="171">
        <f t="shared" si="460"/>
        <v>0</v>
      </c>
      <c r="BX330" s="170">
        <f t="shared" si="408"/>
        <v>0</v>
      </c>
      <c r="BY330" s="168">
        <f t="shared" si="461"/>
        <v>0</v>
      </c>
      <c r="BZ330" s="171">
        <f t="shared" si="462"/>
        <v>0</v>
      </c>
      <c r="CA330" s="170">
        <f t="shared" si="409"/>
        <v>0</v>
      </c>
      <c r="CB330" s="90">
        <f t="shared" si="463"/>
        <v>0</v>
      </c>
      <c r="CC330" s="171">
        <f t="shared" si="464"/>
        <v>0</v>
      </c>
      <c r="CD330" s="170">
        <f t="shared" si="410"/>
        <v>0</v>
      </c>
      <c r="CE330" s="90">
        <f t="shared" si="465"/>
        <v>0</v>
      </c>
      <c r="CF330" s="171">
        <f t="shared" si="466"/>
        <v>0</v>
      </c>
      <c r="CG330" s="170">
        <f t="shared" si="411"/>
        <v>0</v>
      </c>
      <c r="CH330" s="90">
        <f t="shared" si="467"/>
        <v>0</v>
      </c>
      <c r="CI330" s="171">
        <f t="shared" si="468"/>
        <v>0</v>
      </c>
      <c r="CJ330" s="170">
        <f t="shared" si="412"/>
        <v>0</v>
      </c>
      <c r="CK330" s="90">
        <f t="shared" si="469"/>
        <v>0</v>
      </c>
      <c r="CL330" s="171">
        <f t="shared" si="470"/>
        <v>0</v>
      </c>
      <c r="CM330" s="170">
        <f t="shared" si="413"/>
        <v>0</v>
      </c>
      <c r="CN330" s="90">
        <f t="shared" si="471"/>
        <v>0</v>
      </c>
      <c r="CO330" s="171">
        <f t="shared" si="472"/>
        <v>0</v>
      </c>
      <c r="CP330" s="170">
        <f t="shared" si="414"/>
        <v>0</v>
      </c>
      <c r="CQ330" s="90">
        <f t="shared" si="473"/>
        <v>0</v>
      </c>
      <c r="CR330" s="171">
        <f t="shared" si="474"/>
        <v>0</v>
      </c>
      <c r="CS330" s="170">
        <f t="shared" si="415"/>
        <v>0</v>
      </c>
      <c r="CT330" s="90">
        <f t="shared" si="475"/>
        <v>0</v>
      </c>
      <c r="CU330" s="171">
        <f t="shared" si="476"/>
        <v>0</v>
      </c>
      <c r="CV330" s="170">
        <f t="shared" si="416"/>
        <v>0</v>
      </c>
      <c r="CW330" s="90">
        <f t="shared" si="477"/>
        <v>0</v>
      </c>
      <c r="CX330" s="171">
        <f t="shared" si="478"/>
        <v>0</v>
      </c>
      <c r="CY330" s="170">
        <f t="shared" si="417"/>
        <v>0</v>
      </c>
      <c r="CZ330" s="168">
        <f t="shared" si="418"/>
        <v>0</v>
      </c>
      <c r="DA330" s="172">
        <f t="shared" si="420"/>
        <v>0</v>
      </c>
      <c r="DB330" s="173">
        <f t="shared" si="421"/>
        <v>0</v>
      </c>
      <c r="DC330" s="172">
        <f t="shared" si="479"/>
        <v>0</v>
      </c>
      <c r="DD330" s="172">
        <f t="shared" si="479"/>
        <v>0</v>
      </c>
      <c r="DE330" s="172">
        <f t="shared" si="479"/>
        <v>0</v>
      </c>
      <c r="DF330" s="172">
        <f t="shared" si="423"/>
        <v>0</v>
      </c>
      <c r="DG330" s="136"/>
      <c r="DH330" s="136"/>
      <c r="DI330" s="3"/>
      <c r="DJ330" s="8"/>
      <c r="DK330" s="8"/>
      <c r="DL330" s="8"/>
      <c r="DM330" s="8"/>
      <c r="DN330" s="8"/>
      <c r="DO330" s="8"/>
      <c r="DP330" s="8"/>
      <c r="DQ330" s="3"/>
      <c r="DR330" s="8"/>
      <c r="DS330" s="8"/>
      <c r="DT330" s="8"/>
      <c r="DU330" s="8"/>
      <c r="DV330" s="8"/>
      <c r="DW330" s="8"/>
      <c r="DX330" s="8"/>
      <c r="DY330" s="8"/>
      <c r="DZ330" s="8"/>
      <c r="EA330" s="8"/>
      <c r="EB330" s="8"/>
      <c r="EC330" s="8"/>
      <c r="ED330" s="8"/>
      <c r="EE330" s="8"/>
      <c r="EF330" s="8"/>
      <c r="EG330" s="8"/>
      <c r="EH330" s="8"/>
      <c r="EI330" s="8"/>
      <c r="EJ330" s="8"/>
      <c r="EK330" s="8"/>
      <c r="EL330" s="8"/>
      <c r="EM330" s="8"/>
      <c r="EN330" s="8"/>
      <c r="EO330" s="8"/>
      <c r="EP330" s="8"/>
      <c r="EQ330" s="8"/>
      <c r="ER330" s="8"/>
      <c r="ES330" s="8"/>
      <c r="ET330" s="8"/>
      <c r="EU330" s="8"/>
      <c r="EV330" s="8"/>
      <c r="EW330" s="8"/>
      <c r="EX330" s="8"/>
      <c r="EY330" s="8"/>
    </row>
    <row r="331" spans="1:155" s="566" customFormat="1" ht="15" customHeight="1">
      <c r="A331" s="197"/>
      <c r="B331" s="644" t="str">
        <f>IF(D330&gt;=N306,N310,N311)</f>
        <v>Notional Building demand &gt; 3% of total.  Demand included</v>
      </c>
      <c r="C331" s="644"/>
      <c r="D331" s="644"/>
      <c r="E331" s="351"/>
      <c r="F331" s="644" t="str">
        <f>IF(H330&gt;=N306,N310,N311)</f>
        <v>Notional Building demand &gt; 3% of total.  Demand included</v>
      </c>
      <c r="G331" s="644"/>
      <c r="H331" s="644"/>
      <c r="I331" s="388"/>
      <c r="J331" s="644" t="str">
        <f>IF(L330&gt;=N306,N310,N311)</f>
        <v>Notional Building demand &gt; 3% of total.  Demand included</v>
      </c>
      <c r="K331" s="644"/>
      <c r="L331" s="644"/>
      <c r="M331" s="307"/>
      <c r="N331" s="14"/>
      <c r="O331" s="14"/>
      <c r="P331" s="14"/>
      <c r="Q331" s="645" t="str">
        <f>$Q$193</f>
        <v>Actual building</v>
      </c>
      <c r="R331" s="645"/>
      <c r="S331" s="645"/>
      <c r="T331" s="645"/>
      <c r="U331" s="645"/>
      <c r="V331" s="645"/>
      <c r="W331" s="645"/>
      <c r="X331" s="645"/>
      <c r="Y331" s="645"/>
      <c r="Z331" s="645"/>
      <c r="AA331" s="645"/>
      <c r="AB331" s="645"/>
      <c r="AC331" s="645"/>
      <c r="AD331" s="645"/>
      <c r="AE331" s="645"/>
      <c r="AF331" s="14"/>
      <c r="AG331" s="646" t="str">
        <f>$AI$193</f>
        <v>Notional building</v>
      </c>
      <c r="AH331" s="646"/>
      <c r="AI331" s="646"/>
      <c r="AJ331" s="646"/>
      <c r="AK331" s="646"/>
      <c r="AL331" s="646"/>
      <c r="AM331" s="646"/>
      <c r="AN331" s="646"/>
      <c r="AO331" s="646"/>
      <c r="AP331" s="646"/>
      <c r="AQ331" s="646"/>
      <c r="AR331" s="646"/>
      <c r="AS331" s="646"/>
      <c r="AT331" s="646"/>
      <c r="AU331" s="646"/>
      <c r="AV331" s="646"/>
      <c r="AW331" s="14"/>
      <c r="AX331" s="14"/>
      <c r="AY331" s="14"/>
      <c r="AZ331" s="14"/>
      <c r="BA331" s="14"/>
      <c r="BB331" s="14"/>
      <c r="BC331" s="14"/>
      <c r="BD331" s="70"/>
      <c r="BE331" s="165" t="s">
        <v>21</v>
      </c>
      <c r="BF331" s="23">
        <v>22</v>
      </c>
      <c r="BG331" s="23">
        <v>8</v>
      </c>
      <c r="BH331" s="23">
        <v>1</v>
      </c>
      <c r="BI331" s="90" t="b">
        <f t="shared" si="419"/>
        <v>1</v>
      </c>
      <c r="BJ331" s="46" t="b">
        <f t="shared" si="454"/>
        <v>1</v>
      </c>
      <c r="BK331" s="166">
        <f t="shared" si="480"/>
        <v>7.8</v>
      </c>
      <c r="BL331" s="175">
        <f>IF(SUM(BL$324:BL330,BK331)&gt;$BT$4,0,BK331)</f>
        <v>7.8</v>
      </c>
      <c r="BM331" s="23">
        <f t="shared" si="404"/>
        <v>0</v>
      </c>
      <c r="BN331" s="90">
        <f t="shared" si="405"/>
        <v>0</v>
      </c>
      <c r="BO331" s="24">
        <f t="shared" si="424"/>
        <v>0</v>
      </c>
      <c r="BP331" s="349">
        <f t="shared" si="455"/>
        <v>0</v>
      </c>
      <c r="BQ331" s="171">
        <f t="shared" si="456"/>
        <v>0</v>
      </c>
      <c r="BR331" s="170">
        <f t="shared" si="406"/>
        <v>0</v>
      </c>
      <c r="BS331" s="168">
        <f t="shared" si="457"/>
        <v>0</v>
      </c>
      <c r="BT331" s="171">
        <f t="shared" si="458"/>
        <v>0</v>
      </c>
      <c r="BU331" s="170">
        <f t="shared" si="407"/>
        <v>0</v>
      </c>
      <c r="BV331" s="168">
        <f t="shared" si="459"/>
        <v>0</v>
      </c>
      <c r="BW331" s="171">
        <f t="shared" si="460"/>
        <v>0</v>
      </c>
      <c r="BX331" s="170">
        <f t="shared" si="408"/>
        <v>0</v>
      </c>
      <c r="BY331" s="168">
        <f t="shared" si="461"/>
        <v>0</v>
      </c>
      <c r="BZ331" s="171">
        <f t="shared" si="462"/>
        <v>0</v>
      </c>
      <c r="CA331" s="170">
        <f t="shared" si="409"/>
        <v>0</v>
      </c>
      <c r="CB331" s="90">
        <f t="shared" si="463"/>
        <v>0</v>
      </c>
      <c r="CC331" s="171">
        <f t="shared" si="464"/>
        <v>0</v>
      </c>
      <c r="CD331" s="170">
        <f t="shared" si="410"/>
        <v>0</v>
      </c>
      <c r="CE331" s="90">
        <f t="shared" si="465"/>
        <v>0</v>
      </c>
      <c r="CF331" s="171">
        <f t="shared" si="466"/>
        <v>0</v>
      </c>
      <c r="CG331" s="170">
        <f t="shared" si="411"/>
        <v>0</v>
      </c>
      <c r="CH331" s="90">
        <f t="shared" si="467"/>
        <v>0</v>
      </c>
      <c r="CI331" s="171">
        <f t="shared" si="468"/>
        <v>0</v>
      </c>
      <c r="CJ331" s="170">
        <f t="shared" si="412"/>
        <v>0</v>
      </c>
      <c r="CK331" s="90">
        <f t="shared" si="469"/>
        <v>0</v>
      </c>
      <c r="CL331" s="171">
        <f t="shared" si="470"/>
        <v>0</v>
      </c>
      <c r="CM331" s="170">
        <f t="shared" si="413"/>
        <v>0</v>
      </c>
      <c r="CN331" s="90">
        <f t="shared" si="471"/>
        <v>0</v>
      </c>
      <c r="CO331" s="171">
        <f t="shared" si="472"/>
        <v>0</v>
      </c>
      <c r="CP331" s="170">
        <f t="shared" si="414"/>
        <v>0</v>
      </c>
      <c r="CQ331" s="90">
        <f t="shared" si="473"/>
        <v>0</v>
      </c>
      <c r="CR331" s="171">
        <f t="shared" si="474"/>
        <v>0</v>
      </c>
      <c r="CS331" s="170">
        <f t="shared" si="415"/>
        <v>0</v>
      </c>
      <c r="CT331" s="90">
        <f t="shared" si="475"/>
        <v>0</v>
      </c>
      <c r="CU331" s="171">
        <f t="shared" si="476"/>
        <v>0</v>
      </c>
      <c r="CV331" s="170">
        <f t="shared" si="416"/>
        <v>0</v>
      </c>
      <c r="CW331" s="90">
        <f t="shared" si="477"/>
        <v>0</v>
      </c>
      <c r="CX331" s="171">
        <f t="shared" si="478"/>
        <v>0</v>
      </c>
      <c r="CY331" s="170">
        <f t="shared" si="417"/>
        <v>0</v>
      </c>
      <c r="CZ331" s="168">
        <f t="shared" si="418"/>
        <v>0</v>
      </c>
      <c r="DA331" s="172">
        <f t="shared" si="420"/>
        <v>0</v>
      </c>
      <c r="DB331" s="173">
        <f t="shared" si="421"/>
        <v>0</v>
      </c>
      <c r="DC331" s="172">
        <f t="shared" si="479"/>
        <v>0</v>
      </c>
      <c r="DD331" s="172">
        <f t="shared" si="479"/>
        <v>0</v>
      </c>
      <c r="DE331" s="172">
        <f t="shared" si="479"/>
        <v>0</v>
      </c>
      <c r="DF331" s="172">
        <f t="shared" si="423"/>
        <v>0</v>
      </c>
      <c r="DG331" s="136"/>
      <c r="DH331" s="136"/>
      <c r="DI331" s="3"/>
      <c r="DJ331" s="8"/>
      <c r="DK331" s="8"/>
      <c r="DL331" s="8"/>
      <c r="DM331" s="8"/>
      <c r="DN331" s="8"/>
      <c r="DO331" s="8"/>
      <c r="DP331" s="8"/>
      <c r="DQ331" s="3"/>
      <c r="DR331" s="8"/>
      <c r="DS331" s="8"/>
      <c r="DT331" s="8"/>
      <c r="DU331" s="8"/>
      <c r="DV331" s="8"/>
      <c r="DW331" s="8"/>
      <c r="DX331" s="8"/>
      <c r="DY331" s="8"/>
      <c r="DZ331" s="8"/>
      <c r="EA331" s="8"/>
      <c r="EB331" s="8"/>
      <c r="EC331" s="8"/>
      <c r="ED331" s="8"/>
      <c r="EE331" s="8"/>
      <c r="EF331" s="8"/>
      <c r="EG331" s="8"/>
      <c r="EH331" s="8"/>
      <c r="EI331" s="8"/>
      <c r="EJ331" s="8"/>
      <c r="EK331" s="8"/>
      <c r="EL331" s="8"/>
      <c r="EM331" s="8"/>
      <c r="EN331" s="8"/>
      <c r="EO331" s="8"/>
      <c r="EP331" s="8"/>
      <c r="EQ331" s="8"/>
      <c r="ER331" s="8"/>
      <c r="ES331" s="8"/>
      <c r="ET331" s="8"/>
      <c r="EU331" s="8"/>
      <c r="EV331" s="8"/>
      <c r="EW331" s="8"/>
      <c r="EX331" s="8"/>
      <c r="EY331" s="8"/>
    </row>
    <row r="332" spans="1:155" s="566" customFormat="1" ht="15" customHeight="1">
      <c r="A332" s="197"/>
      <c r="B332" s="351" t="s">
        <v>492</v>
      </c>
      <c r="C332" s="27"/>
      <c r="D332" s="27"/>
      <c r="E332" s="27"/>
      <c r="F332" s="351" t="s">
        <v>492</v>
      </c>
      <c r="G332" s="27"/>
      <c r="H332" s="27"/>
      <c r="I332" s="27"/>
      <c r="J332" s="351" t="s">
        <v>492</v>
      </c>
      <c r="K332" s="307"/>
      <c r="L332" s="307"/>
      <c r="M332" s="307"/>
      <c r="N332" s="14"/>
      <c r="O332" s="14" t="s">
        <v>549</v>
      </c>
      <c r="P332" s="14"/>
      <c r="Q332" s="14"/>
      <c r="R332" s="14"/>
      <c r="S332" s="14"/>
      <c r="T332" s="14"/>
      <c r="U332" s="647" t="s">
        <v>109</v>
      </c>
      <c r="V332" s="647"/>
      <c r="W332" s="647"/>
      <c r="X332" s="14" t="s">
        <v>547</v>
      </c>
      <c r="Y332" s="71" t="b">
        <f>O239</f>
        <v>0</v>
      </c>
      <c r="Z332" s="71" t="b">
        <f>P258</f>
        <v>0</v>
      </c>
      <c r="AA332" s="71" t="b">
        <f>P286</f>
        <v>0</v>
      </c>
      <c r="AB332" s="14" t="b">
        <f>P314</f>
        <v>0</v>
      </c>
      <c r="AC332" s="14" t="b">
        <f>P315</f>
        <v>0</v>
      </c>
      <c r="AD332" s="14" t="b">
        <f>P316</f>
        <v>0</v>
      </c>
      <c r="AE332" s="14"/>
      <c r="AF332" s="14"/>
      <c r="AG332" s="14"/>
      <c r="AH332" s="14"/>
      <c r="AI332" s="14"/>
      <c r="AJ332" s="14"/>
      <c r="AK332" s="647" t="s">
        <v>109</v>
      </c>
      <c r="AL332" s="647"/>
      <c r="AM332" s="647"/>
      <c r="AN332" s="14" t="s">
        <v>550</v>
      </c>
      <c r="AO332" s="71" t="b">
        <f>Y332</f>
        <v>0</v>
      </c>
      <c r="AP332" s="71" t="b">
        <f>Z332</f>
        <v>0</v>
      </c>
      <c r="AQ332" s="71" t="b">
        <f t="shared" ref="AQ332:AT333" si="481">AA332</f>
        <v>0</v>
      </c>
      <c r="AR332" s="71" t="b">
        <f t="shared" si="481"/>
        <v>0</v>
      </c>
      <c r="AS332" s="71" t="b">
        <f t="shared" si="481"/>
        <v>0</v>
      </c>
      <c r="AT332" s="71" t="b">
        <f t="shared" si="481"/>
        <v>0</v>
      </c>
      <c r="AU332" s="14"/>
      <c r="AV332" s="14"/>
      <c r="AW332" s="14"/>
      <c r="AX332" s="14"/>
      <c r="AY332" s="14"/>
      <c r="AZ332" s="14"/>
      <c r="BA332" s="14"/>
      <c r="BB332" s="14"/>
      <c r="BC332" s="14"/>
      <c r="BD332" s="70"/>
      <c r="BE332" s="165" t="s">
        <v>21</v>
      </c>
      <c r="BF332" s="23">
        <v>22</v>
      </c>
      <c r="BG332" s="23">
        <v>9</v>
      </c>
      <c r="BH332" s="23">
        <v>2</v>
      </c>
      <c r="BI332" s="90" t="b">
        <f t="shared" si="419"/>
        <v>1</v>
      </c>
      <c r="BJ332" s="46" t="b">
        <f t="shared" si="454"/>
        <v>0</v>
      </c>
      <c r="BK332" s="166">
        <f t="shared" si="480"/>
        <v>0</v>
      </c>
      <c r="BL332" s="175">
        <f>IF(SUM(BL$324:BL331,BK332)&gt;$BT$4,0,BK332)</f>
        <v>0</v>
      </c>
      <c r="BM332" s="23">
        <f t="shared" si="404"/>
        <v>0</v>
      </c>
      <c r="BN332" s="90">
        <f t="shared" si="405"/>
        <v>0</v>
      </c>
      <c r="BO332" s="24">
        <f t="shared" si="424"/>
        <v>0</v>
      </c>
      <c r="BP332" s="349">
        <f t="shared" si="455"/>
        <v>0</v>
      </c>
      <c r="BQ332" s="171">
        <f t="shared" si="456"/>
        <v>0</v>
      </c>
      <c r="BR332" s="170">
        <f t="shared" si="406"/>
        <v>0</v>
      </c>
      <c r="BS332" s="168">
        <f t="shared" si="457"/>
        <v>0</v>
      </c>
      <c r="BT332" s="171">
        <f t="shared" si="458"/>
        <v>0</v>
      </c>
      <c r="BU332" s="170">
        <f t="shared" si="407"/>
        <v>0</v>
      </c>
      <c r="BV332" s="168">
        <f t="shared" si="459"/>
        <v>0</v>
      </c>
      <c r="BW332" s="171">
        <f t="shared" si="460"/>
        <v>0</v>
      </c>
      <c r="BX332" s="170">
        <f t="shared" si="408"/>
        <v>0</v>
      </c>
      <c r="BY332" s="168">
        <f t="shared" si="461"/>
        <v>0</v>
      </c>
      <c r="BZ332" s="171">
        <f t="shared" si="462"/>
        <v>0</v>
      </c>
      <c r="CA332" s="170">
        <f t="shared" si="409"/>
        <v>0</v>
      </c>
      <c r="CB332" s="90">
        <f t="shared" si="463"/>
        <v>0</v>
      </c>
      <c r="CC332" s="171">
        <f t="shared" si="464"/>
        <v>0</v>
      </c>
      <c r="CD332" s="170">
        <f t="shared" si="410"/>
        <v>0</v>
      </c>
      <c r="CE332" s="90">
        <f t="shared" si="465"/>
        <v>0</v>
      </c>
      <c r="CF332" s="171">
        <f t="shared" si="466"/>
        <v>0</v>
      </c>
      <c r="CG332" s="170">
        <f t="shared" si="411"/>
        <v>0</v>
      </c>
      <c r="CH332" s="90">
        <f t="shared" si="467"/>
        <v>0</v>
      </c>
      <c r="CI332" s="171">
        <f t="shared" si="468"/>
        <v>0</v>
      </c>
      <c r="CJ332" s="170">
        <f t="shared" si="412"/>
        <v>0</v>
      </c>
      <c r="CK332" s="90">
        <f t="shared" si="469"/>
        <v>0</v>
      </c>
      <c r="CL332" s="171">
        <f t="shared" si="470"/>
        <v>0</v>
      </c>
      <c r="CM332" s="170">
        <f t="shared" si="413"/>
        <v>0</v>
      </c>
      <c r="CN332" s="90">
        <f t="shared" si="471"/>
        <v>0</v>
      </c>
      <c r="CO332" s="171">
        <f t="shared" si="472"/>
        <v>0</v>
      </c>
      <c r="CP332" s="170">
        <f t="shared" si="414"/>
        <v>0</v>
      </c>
      <c r="CQ332" s="90">
        <f t="shared" si="473"/>
        <v>0</v>
      </c>
      <c r="CR332" s="171">
        <f t="shared" si="474"/>
        <v>0</v>
      </c>
      <c r="CS332" s="170">
        <f t="shared" si="415"/>
        <v>0</v>
      </c>
      <c r="CT332" s="90">
        <f t="shared" si="475"/>
        <v>0</v>
      </c>
      <c r="CU332" s="171">
        <f t="shared" si="476"/>
        <v>0</v>
      </c>
      <c r="CV332" s="170">
        <f t="shared" si="416"/>
        <v>0</v>
      </c>
      <c r="CW332" s="90">
        <f t="shared" si="477"/>
        <v>0</v>
      </c>
      <c r="CX332" s="171">
        <f t="shared" si="478"/>
        <v>0</v>
      </c>
      <c r="CY332" s="170">
        <f t="shared" si="417"/>
        <v>0</v>
      </c>
      <c r="CZ332" s="168">
        <f t="shared" si="418"/>
        <v>0</v>
      </c>
      <c r="DA332" s="172">
        <f t="shared" si="420"/>
        <v>0</v>
      </c>
      <c r="DB332" s="173">
        <f t="shared" si="421"/>
        <v>0</v>
      </c>
      <c r="DC332" s="172">
        <f t="shared" si="479"/>
        <v>0</v>
      </c>
      <c r="DD332" s="172">
        <f t="shared" si="479"/>
        <v>0</v>
      </c>
      <c r="DE332" s="172">
        <f t="shared" si="479"/>
        <v>0</v>
      </c>
      <c r="DF332" s="172">
        <f t="shared" si="423"/>
        <v>0</v>
      </c>
      <c r="DG332" s="136"/>
      <c r="DH332" s="136"/>
      <c r="DI332" s="3"/>
      <c r="DJ332" s="8"/>
      <c r="DK332" s="8"/>
      <c r="DL332" s="8"/>
      <c r="DM332" s="8"/>
      <c r="DN332" s="8"/>
      <c r="DO332" s="8"/>
      <c r="DP332" s="8"/>
      <c r="DQ332" s="3"/>
      <c r="DR332" s="8"/>
      <c r="DS332" s="8"/>
      <c r="DT332" s="8"/>
      <c r="DU332" s="8"/>
      <c r="DV332" s="8"/>
      <c r="DW332" s="8"/>
      <c r="DX332" s="8"/>
      <c r="DY332" s="8"/>
      <c r="DZ332" s="8"/>
      <c r="EA332" s="8"/>
      <c r="EB332" s="8"/>
      <c r="EC332" s="8"/>
      <c r="ED332" s="8"/>
      <c r="EE332" s="8"/>
      <c r="EF332" s="8"/>
      <c r="EG332" s="8"/>
      <c r="EH332" s="8"/>
      <c r="EI332" s="8"/>
      <c r="EJ332" s="8"/>
      <c r="EK332" s="8"/>
      <c r="EL332" s="8"/>
      <c r="EM332" s="8"/>
      <c r="EN332" s="8"/>
      <c r="EO332" s="8"/>
      <c r="EP332" s="8"/>
      <c r="EQ332" s="8"/>
      <c r="ER332" s="8"/>
      <c r="ES332" s="8"/>
      <c r="ET332" s="8"/>
      <c r="EU332" s="8"/>
      <c r="EV332" s="8"/>
      <c r="EW332" s="8"/>
      <c r="EX332" s="8"/>
      <c r="EY332" s="8"/>
    </row>
    <row r="333" spans="1:155" s="566" customFormat="1" ht="15" customHeight="1">
      <c r="A333" s="197"/>
      <c r="B333" s="457" t="s">
        <v>551</v>
      </c>
      <c r="C333" s="218"/>
      <c r="D333" s="218"/>
      <c r="E333" s="218"/>
      <c r="F333" s="218"/>
      <c r="G333" s="218"/>
      <c r="H333" s="218"/>
      <c r="I333" s="218"/>
      <c r="J333" s="218"/>
      <c r="K333" s="218"/>
      <c r="L333" s="218"/>
      <c r="M333" s="218"/>
      <c r="N333" s="14"/>
      <c r="O333" s="3"/>
      <c r="P333" s="13" t="s">
        <v>552</v>
      </c>
      <c r="Q333" s="13" t="s">
        <v>213</v>
      </c>
      <c r="R333" s="13" t="s">
        <v>217</v>
      </c>
      <c r="S333" s="13" t="s">
        <v>107</v>
      </c>
      <c r="T333" s="13" t="s">
        <v>108</v>
      </c>
      <c r="U333" s="13" t="s">
        <v>553</v>
      </c>
      <c r="V333" s="13" t="s">
        <v>554</v>
      </c>
      <c r="W333" s="13" t="s">
        <v>439</v>
      </c>
      <c r="X333" s="13" t="s">
        <v>76</v>
      </c>
      <c r="Y333" s="458" t="s">
        <v>110</v>
      </c>
      <c r="Z333" s="458" t="s">
        <v>555</v>
      </c>
      <c r="AA333" s="458" t="s">
        <v>556</v>
      </c>
      <c r="AB333" s="458" t="str">
        <f>B346</f>
        <v>{Other Water Use 1}</v>
      </c>
      <c r="AC333" s="458" t="str">
        <f>B347</f>
        <v>{Other Water Use 2}</v>
      </c>
      <c r="AD333" s="458" t="str">
        <f>B348</f>
        <v>{Other Water Use 3}</v>
      </c>
      <c r="AE333" s="13" t="s">
        <v>439</v>
      </c>
      <c r="AF333" s="14"/>
      <c r="AG333" s="13" t="str">
        <f>Q333</f>
        <v>Toilet</v>
      </c>
      <c r="AH333" s="13" t="str">
        <f>R333</f>
        <v>Urinal</v>
      </c>
      <c r="AI333" s="13" t="str">
        <f t="shared" ref="AI333:AR333" si="482">S333</f>
        <v>Indoor taps</v>
      </c>
      <c r="AJ333" s="13" t="str">
        <f t="shared" si="482"/>
        <v>Showers</v>
      </c>
      <c r="AK333" s="13" t="str">
        <f t="shared" si="482"/>
        <v>Evaporation &amp; Drift</v>
      </c>
      <c r="AL333" s="13" t="str">
        <f t="shared" si="482"/>
        <v>Bleed</v>
      </c>
      <c r="AM333" s="13" t="str">
        <f t="shared" si="482"/>
        <v>TOTAL</v>
      </c>
      <c r="AN333" s="13" t="str">
        <f t="shared" si="482"/>
        <v>Irrigation</v>
      </c>
      <c r="AO333" s="13" t="str">
        <f t="shared" si="482"/>
        <v>Swimming Pool</v>
      </c>
      <c r="AP333" s="13" t="str">
        <f t="shared" si="482"/>
        <v>Laundry Facilities</v>
      </c>
      <c r="AQ333" s="13" t="str">
        <f t="shared" si="482"/>
        <v>Large Kitchens</v>
      </c>
      <c r="AR333" s="13" t="str">
        <f t="shared" si="482"/>
        <v>{Other Water Use 1}</v>
      </c>
      <c r="AS333" s="13" t="str">
        <f t="shared" si="481"/>
        <v>{Other Water Use 2}</v>
      </c>
      <c r="AT333" s="13" t="str">
        <f t="shared" si="481"/>
        <v>{Other Water Use 3}</v>
      </c>
      <c r="AU333" s="13" t="s">
        <v>439</v>
      </c>
      <c r="AV333" s="14"/>
      <c r="AW333" s="14"/>
      <c r="AX333" s="14"/>
      <c r="AY333" s="14"/>
      <c r="AZ333" s="14"/>
      <c r="BA333" s="14"/>
      <c r="BB333" s="14"/>
      <c r="BC333" s="14"/>
      <c r="BD333" s="70"/>
      <c r="BE333" s="165" t="s">
        <v>21</v>
      </c>
      <c r="BF333" s="23">
        <v>22</v>
      </c>
      <c r="BG333" s="23">
        <v>10</v>
      </c>
      <c r="BH333" s="23">
        <v>3</v>
      </c>
      <c r="BI333" s="90" t="b">
        <f t="shared" si="419"/>
        <v>1</v>
      </c>
      <c r="BJ333" s="46" t="b">
        <f t="shared" si="454"/>
        <v>1</v>
      </c>
      <c r="BK333" s="166">
        <f t="shared" si="480"/>
        <v>7.8</v>
      </c>
      <c r="BL333" s="175">
        <f>IF(SUM(BL$324:BL332,BK333)&gt;$BT$4,0,BK333)</f>
        <v>7.8</v>
      </c>
      <c r="BM333" s="23">
        <f t="shared" si="404"/>
        <v>0</v>
      </c>
      <c r="BN333" s="90">
        <f t="shared" si="405"/>
        <v>0</v>
      </c>
      <c r="BO333" s="24">
        <f t="shared" si="424"/>
        <v>0</v>
      </c>
      <c r="BP333" s="349">
        <f t="shared" si="455"/>
        <v>0</v>
      </c>
      <c r="BQ333" s="171">
        <f t="shared" si="456"/>
        <v>0</v>
      </c>
      <c r="BR333" s="170">
        <f t="shared" si="406"/>
        <v>0</v>
      </c>
      <c r="BS333" s="168">
        <f t="shared" si="457"/>
        <v>0</v>
      </c>
      <c r="BT333" s="171">
        <f t="shared" si="458"/>
        <v>0</v>
      </c>
      <c r="BU333" s="170">
        <f t="shared" si="407"/>
        <v>0</v>
      </c>
      <c r="BV333" s="168">
        <f t="shared" si="459"/>
        <v>0</v>
      </c>
      <c r="BW333" s="171">
        <f t="shared" si="460"/>
        <v>0</v>
      </c>
      <c r="BX333" s="170">
        <f t="shared" si="408"/>
        <v>0</v>
      </c>
      <c r="BY333" s="168">
        <f t="shared" si="461"/>
        <v>0</v>
      </c>
      <c r="BZ333" s="171">
        <f t="shared" si="462"/>
        <v>0</v>
      </c>
      <c r="CA333" s="170">
        <f t="shared" si="409"/>
        <v>0</v>
      </c>
      <c r="CB333" s="90">
        <f t="shared" si="463"/>
        <v>0</v>
      </c>
      <c r="CC333" s="171">
        <f t="shared" si="464"/>
        <v>0</v>
      </c>
      <c r="CD333" s="170">
        <f t="shared" si="410"/>
        <v>0</v>
      </c>
      <c r="CE333" s="90">
        <f t="shared" si="465"/>
        <v>0</v>
      </c>
      <c r="CF333" s="171">
        <f t="shared" si="466"/>
        <v>0</v>
      </c>
      <c r="CG333" s="170">
        <f t="shared" si="411"/>
        <v>0</v>
      </c>
      <c r="CH333" s="90">
        <f t="shared" si="467"/>
        <v>0</v>
      </c>
      <c r="CI333" s="171">
        <f t="shared" si="468"/>
        <v>0</v>
      </c>
      <c r="CJ333" s="170">
        <f t="shared" si="412"/>
        <v>0</v>
      </c>
      <c r="CK333" s="90">
        <f t="shared" si="469"/>
        <v>0</v>
      </c>
      <c r="CL333" s="171">
        <f t="shared" si="470"/>
        <v>0</v>
      </c>
      <c r="CM333" s="170">
        <f t="shared" si="413"/>
        <v>0</v>
      </c>
      <c r="CN333" s="90">
        <f t="shared" si="471"/>
        <v>0</v>
      </c>
      <c r="CO333" s="171">
        <f t="shared" si="472"/>
        <v>0</v>
      </c>
      <c r="CP333" s="170">
        <f t="shared" si="414"/>
        <v>0</v>
      </c>
      <c r="CQ333" s="90">
        <f t="shared" si="473"/>
        <v>0</v>
      </c>
      <c r="CR333" s="171">
        <f t="shared" si="474"/>
        <v>0</v>
      </c>
      <c r="CS333" s="170">
        <f t="shared" si="415"/>
        <v>0</v>
      </c>
      <c r="CT333" s="90">
        <f t="shared" si="475"/>
        <v>0</v>
      </c>
      <c r="CU333" s="171">
        <f t="shared" si="476"/>
        <v>0</v>
      </c>
      <c r="CV333" s="170">
        <f t="shared" si="416"/>
        <v>0</v>
      </c>
      <c r="CW333" s="90">
        <f t="shared" si="477"/>
        <v>0</v>
      </c>
      <c r="CX333" s="171">
        <f t="shared" si="478"/>
        <v>0</v>
      </c>
      <c r="CY333" s="170">
        <f t="shared" si="417"/>
        <v>0</v>
      </c>
      <c r="CZ333" s="168">
        <f t="shared" si="418"/>
        <v>0</v>
      </c>
      <c r="DA333" s="172">
        <f t="shared" si="420"/>
        <v>0</v>
      </c>
      <c r="DB333" s="173">
        <f t="shared" si="421"/>
        <v>0</v>
      </c>
      <c r="DC333" s="172">
        <f t="shared" si="479"/>
        <v>0</v>
      </c>
      <c r="DD333" s="172">
        <f t="shared" si="479"/>
        <v>0</v>
      </c>
      <c r="DE333" s="172">
        <f t="shared" si="479"/>
        <v>0</v>
      </c>
      <c r="DF333" s="172">
        <f t="shared" si="423"/>
        <v>0</v>
      </c>
      <c r="DG333" s="136"/>
      <c r="DH333" s="136"/>
      <c r="DI333" s="3"/>
      <c r="DJ333" s="8"/>
      <c r="DK333" s="8"/>
      <c r="DL333" s="8"/>
      <c r="DM333" s="8"/>
      <c r="DN333" s="8"/>
      <c r="DO333" s="8"/>
      <c r="DP333" s="8"/>
      <c r="DQ333" s="3"/>
      <c r="DR333" s="8"/>
      <c r="DS333" s="8"/>
      <c r="DT333" s="8"/>
      <c r="DU333" s="8"/>
      <c r="DV333" s="8"/>
      <c r="DW333" s="8"/>
      <c r="DX333" s="8"/>
      <c r="DY333" s="8"/>
      <c r="DZ333" s="8"/>
      <c r="EA333" s="8"/>
      <c r="EB333" s="8"/>
      <c r="EC333" s="8"/>
      <c r="ED333" s="8"/>
      <c r="EE333" s="8"/>
      <c r="EF333" s="8"/>
      <c r="EG333" s="8"/>
      <c r="EH333" s="8"/>
      <c r="EI333" s="8"/>
      <c r="EJ333" s="8"/>
      <c r="EK333" s="8"/>
      <c r="EL333" s="8"/>
      <c r="EM333" s="8"/>
      <c r="EN333" s="8"/>
      <c r="EO333" s="8"/>
      <c r="EP333" s="8"/>
      <c r="EQ333" s="8"/>
      <c r="ER333" s="8"/>
      <c r="ES333" s="8"/>
      <c r="ET333" s="8"/>
      <c r="EU333" s="8"/>
      <c r="EV333" s="8"/>
      <c r="EW333" s="8"/>
      <c r="EX333" s="8"/>
      <c r="EY333" s="8"/>
    </row>
    <row r="334" spans="1:155" s="566" customFormat="1" ht="15.75" customHeight="1">
      <c r="A334" s="459"/>
      <c r="B334" s="70"/>
      <c r="C334" s="70"/>
      <c r="D334" s="70"/>
      <c r="E334" s="70"/>
      <c r="F334" s="70"/>
      <c r="G334" s="70"/>
      <c r="H334" s="70"/>
      <c r="I334" s="70"/>
      <c r="J334" s="70"/>
      <c r="K334" s="70"/>
      <c r="L334" s="70"/>
      <c r="M334" s="70"/>
      <c r="N334" s="14"/>
      <c r="O334" s="234" t="s">
        <v>168</v>
      </c>
      <c r="P334" s="23">
        <f t="shared" ref="P334:P345" si="483">P205</f>
        <v>31</v>
      </c>
      <c r="Q334" s="90">
        <f>'Potable Water Calculator'!$C$105/'Potable Water Calculator'!$P$346*'Potable Water Calculator'!$P334</f>
        <v>0</v>
      </c>
      <c r="R334" s="90">
        <f>'Potable Water Calculator'!$C$106/'Potable Water Calculator'!$P$346*'Potable Water Calculator'!$P334</f>
        <v>0</v>
      </c>
      <c r="S334" s="90">
        <f>'Potable Water Calculator'!$C$107/'Potable Water Calculator'!$P$346*'Potable Water Calculator'!$P334</f>
        <v>0</v>
      </c>
      <c r="T334" s="90">
        <f>'Potable Water Calculator'!$C$108/'Potable Water Calculator'!$P$346*'Potable Water Calculator'!$P334</f>
        <v>0</v>
      </c>
      <c r="U334" s="23">
        <f>('Potable Water Calculator'!P144+'Potable Water Calculator'!R144)/1000</f>
        <v>0</v>
      </c>
      <c r="V334" s="23">
        <f>'Potable Water Calculator'!S144/1000</f>
        <v>0</v>
      </c>
      <c r="W334" s="23">
        <f>V334+U334</f>
        <v>0</v>
      </c>
      <c r="X334" s="23">
        <f t="shared" ref="X334:X345" si="484">AH205</f>
        <v>0</v>
      </c>
      <c r="Y334" s="23">
        <f t="shared" ref="Y334:Y345" si="485">AB225+T225</f>
        <v>14.15916</v>
      </c>
      <c r="Z334" s="23">
        <f t="shared" ref="Z334:Z345" si="486">J259*Z$332</f>
        <v>0</v>
      </c>
      <c r="AA334" s="23">
        <f t="shared" ref="AA334:AA345" si="487">J287*AA$332</f>
        <v>0</v>
      </c>
      <c r="AB334" s="23">
        <f t="shared" ref="AB334:AB345" si="488">C314*AB$332</f>
        <v>0</v>
      </c>
      <c r="AC334" s="23">
        <f t="shared" ref="AC334:AC345" si="489">G314*AC$332</f>
        <v>0</v>
      </c>
      <c r="AD334" s="23">
        <f t="shared" ref="AD334:AD345" si="490">K314*AD$332</f>
        <v>0</v>
      </c>
      <c r="AE334" s="23">
        <f>SUM(Q334:T334)+SUM(W334:AD334)</f>
        <v>14.15916</v>
      </c>
      <c r="AF334" s="14"/>
      <c r="AG334" s="23">
        <f>'Potable Water Calculator'!$D$105/'Potable Water Calculator'!$P$346*'Potable Water Calculator'!$P334</f>
        <v>0</v>
      </c>
      <c r="AH334" s="23">
        <f>'Potable Water Calculator'!$D$106/'Potable Water Calculator'!$P$346*'Potable Water Calculator'!$P334</f>
        <v>0</v>
      </c>
      <c r="AI334" s="23">
        <f>'Potable Water Calculator'!$D$107/'Potable Water Calculator'!$P$346*'Potable Water Calculator'!$P334</f>
        <v>0</v>
      </c>
      <c r="AJ334" s="23">
        <f>'Potable Water Calculator'!$D$108/'Potable Water Calculator'!$P$346*'Potable Water Calculator'!$P334</f>
        <v>0</v>
      </c>
      <c r="AK334" s="23">
        <f>('Potable Water Calculator'!V144+'Potable Water Calculator'!X144)/1000</f>
        <v>0</v>
      </c>
      <c r="AL334" s="23">
        <f>'Potable Water Calculator'!Y144/1000</f>
        <v>0</v>
      </c>
      <c r="AM334" s="23">
        <f>AL334+AK334</f>
        <v>0</v>
      </c>
      <c r="AN334" s="23">
        <f t="shared" ref="AN334:AN345" si="491">AN205</f>
        <v>0</v>
      </c>
      <c r="AO334" s="23">
        <f t="shared" ref="AO334:AO345" si="492">$E$245/$P$346*P334</f>
        <v>0</v>
      </c>
      <c r="AP334" s="23">
        <f t="shared" ref="AP334:AP345" si="493">K259*$AP$332</f>
        <v>0</v>
      </c>
      <c r="AQ334" s="23">
        <f t="shared" ref="AQ334:AQ345" si="494">K287*$AQ$332</f>
        <v>0</v>
      </c>
      <c r="AR334" s="23">
        <f>C314*$AR$332</f>
        <v>0</v>
      </c>
      <c r="AS334" s="23">
        <f>G314*$AS$332</f>
        <v>0</v>
      </c>
      <c r="AT334" s="23">
        <f>K314*$AT$332</f>
        <v>0</v>
      </c>
      <c r="AU334" s="23">
        <f>SUM(AG334:AJ334)+SUM(AM334:AT334)</f>
        <v>0</v>
      </c>
      <c r="AV334" s="14"/>
      <c r="AW334" s="14"/>
      <c r="AX334" s="14"/>
      <c r="AY334" s="14"/>
      <c r="AZ334" s="14"/>
      <c r="BA334" s="14"/>
      <c r="BB334" s="14"/>
      <c r="BC334" s="14"/>
      <c r="BD334" s="70"/>
      <c r="BE334" s="165" t="s">
        <v>21</v>
      </c>
      <c r="BF334" s="23">
        <v>22</v>
      </c>
      <c r="BG334" s="23">
        <v>11</v>
      </c>
      <c r="BH334" s="23">
        <v>4</v>
      </c>
      <c r="BI334" s="90" t="b">
        <f t="shared" si="419"/>
        <v>1</v>
      </c>
      <c r="BJ334" s="46" t="b">
        <f t="shared" si="454"/>
        <v>0</v>
      </c>
      <c r="BK334" s="166">
        <f t="shared" si="480"/>
        <v>0</v>
      </c>
      <c r="BL334" s="175">
        <f>IF(SUM(BL$324:BL333,BK334)&gt;$BT$4,0,BK334)</f>
        <v>0</v>
      </c>
      <c r="BM334" s="23">
        <f t="shared" si="404"/>
        <v>0</v>
      </c>
      <c r="BN334" s="90">
        <f t="shared" si="405"/>
        <v>0</v>
      </c>
      <c r="BO334" s="24">
        <f t="shared" si="424"/>
        <v>0</v>
      </c>
      <c r="BP334" s="349">
        <f t="shared" si="455"/>
        <v>0</v>
      </c>
      <c r="BQ334" s="171">
        <f t="shared" si="456"/>
        <v>0</v>
      </c>
      <c r="BR334" s="170">
        <f t="shared" si="406"/>
        <v>0</v>
      </c>
      <c r="BS334" s="168">
        <f t="shared" si="457"/>
        <v>0</v>
      </c>
      <c r="BT334" s="171">
        <f t="shared" si="458"/>
        <v>0</v>
      </c>
      <c r="BU334" s="170">
        <f t="shared" si="407"/>
        <v>0</v>
      </c>
      <c r="BV334" s="168">
        <f t="shared" si="459"/>
        <v>0</v>
      </c>
      <c r="BW334" s="171">
        <f t="shared" si="460"/>
        <v>0</v>
      </c>
      <c r="BX334" s="170">
        <f t="shared" si="408"/>
        <v>0</v>
      </c>
      <c r="BY334" s="168">
        <f t="shared" si="461"/>
        <v>0</v>
      </c>
      <c r="BZ334" s="171">
        <f t="shared" si="462"/>
        <v>0</v>
      </c>
      <c r="CA334" s="170">
        <f t="shared" si="409"/>
        <v>0</v>
      </c>
      <c r="CB334" s="90">
        <f t="shared" si="463"/>
        <v>0</v>
      </c>
      <c r="CC334" s="171">
        <f t="shared" si="464"/>
        <v>0</v>
      </c>
      <c r="CD334" s="170">
        <f t="shared" si="410"/>
        <v>0</v>
      </c>
      <c r="CE334" s="90">
        <f t="shared" si="465"/>
        <v>0</v>
      </c>
      <c r="CF334" s="171">
        <f t="shared" si="466"/>
        <v>0</v>
      </c>
      <c r="CG334" s="170">
        <f t="shared" si="411"/>
        <v>0</v>
      </c>
      <c r="CH334" s="90">
        <f t="shared" si="467"/>
        <v>0</v>
      </c>
      <c r="CI334" s="171">
        <f t="shared" si="468"/>
        <v>0</v>
      </c>
      <c r="CJ334" s="170">
        <f t="shared" si="412"/>
        <v>0</v>
      </c>
      <c r="CK334" s="90">
        <f t="shared" si="469"/>
        <v>0</v>
      </c>
      <c r="CL334" s="171">
        <f t="shared" si="470"/>
        <v>0</v>
      </c>
      <c r="CM334" s="170">
        <f t="shared" si="413"/>
        <v>0</v>
      </c>
      <c r="CN334" s="90">
        <f t="shared" si="471"/>
        <v>0</v>
      </c>
      <c r="CO334" s="171">
        <f t="shared" si="472"/>
        <v>0</v>
      </c>
      <c r="CP334" s="170">
        <f t="shared" si="414"/>
        <v>0</v>
      </c>
      <c r="CQ334" s="90">
        <f t="shared" si="473"/>
        <v>0</v>
      </c>
      <c r="CR334" s="171">
        <f t="shared" si="474"/>
        <v>0</v>
      </c>
      <c r="CS334" s="170">
        <f t="shared" si="415"/>
        <v>0</v>
      </c>
      <c r="CT334" s="90">
        <f t="shared" si="475"/>
        <v>0</v>
      </c>
      <c r="CU334" s="171">
        <f t="shared" si="476"/>
        <v>0</v>
      </c>
      <c r="CV334" s="170">
        <f t="shared" si="416"/>
        <v>0</v>
      </c>
      <c r="CW334" s="90">
        <f t="shared" si="477"/>
        <v>0</v>
      </c>
      <c r="CX334" s="171">
        <f t="shared" si="478"/>
        <v>0</v>
      </c>
      <c r="CY334" s="170">
        <f t="shared" si="417"/>
        <v>0</v>
      </c>
      <c r="CZ334" s="168">
        <f t="shared" si="418"/>
        <v>0</v>
      </c>
      <c r="DA334" s="172">
        <f t="shared" si="420"/>
        <v>0</v>
      </c>
      <c r="DB334" s="173">
        <f t="shared" si="421"/>
        <v>0</v>
      </c>
      <c r="DC334" s="172">
        <f t="shared" si="479"/>
        <v>0</v>
      </c>
      <c r="DD334" s="172">
        <f t="shared" si="479"/>
        <v>0</v>
      </c>
      <c r="DE334" s="172">
        <f t="shared" si="479"/>
        <v>0</v>
      </c>
      <c r="DF334" s="172">
        <f t="shared" si="423"/>
        <v>0</v>
      </c>
      <c r="DG334" s="136"/>
      <c r="DH334" s="136"/>
      <c r="DI334" s="3"/>
      <c r="DJ334" s="8"/>
      <c r="DK334" s="8"/>
      <c r="DL334" s="8"/>
      <c r="DM334" s="8"/>
      <c r="DN334" s="8"/>
      <c r="DO334" s="8"/>
      <c r="DP334" s="8"/>
      <c r="DQ334" s="3"/>
      <c r="DR334" s="8"/>
      <c r="DS334" s="8"/>
      <c r="DT334" s="8"/>
      <c r="DU334" s="8"/>
      <c r="DV334" s="8"/>
      <c r="DW334" s="8"/>
      <c r="DX334" s="8"/>
      <c r="DY334" s="8"/>
      <c r="DZ334" s="8"/>
      <c r="EA334" s="8"/>
      <c r="EB334" s="8"/>
      <c r="EC334" s="8"/>
      <c r="ED334" s="8"/>
      <c r="EE334" s="8"/>
      <c r="EF334" s="8"/>
      <c r="EG334" s="8"/>
      <c r="EH334" s="8"/>
      <c r="EI334" s="8"/>
      <c r="EJ334" s="8"/>
      <c r="EK334" s="8"/>
      <c r="EL334" s="8"/>
      <c r="EM334" s="8"/>
      <c r="EN334" s="8"/>
      <c r="EO334" s="8"/>
      <c r="EP334" s="8"/>
      <c r="EQ334" s="8"/>
      <c r="ER334" s="8"/>
      <c r="ES334" s="8"/>
      <c r="ET334" s="8"/>
      <c r="EU334" s="8"/>
      <c r="EV334" s="8"/>
      <c r="EW334" s="8"/>
      <c r="EX334" s="8"/>
      <c r="EY334" s="8"/>
    </row>
    <row r="335" spans="1:155" s="566" customFormat="1" ht="15.75" customHeight="1">
      <c r="A335" s="181"/>
      <c r="B335" s="70"/>
      <c r="C335" s="70"/>
      <c r="D335" s="70"/>
      <c r="E335" s="70"/>
      <c r="F335" s="70"/>
      <c r="G335" s="70"/>
      <c r="H335" s="70"/>
      <c r="I335" s="70"/>
      <c r="J335" s="70"/>
      <c r="K335" s="70"/>
      <c r="L335" s="70"/>
      <c r="M335" s="70"/>
      <c r="N335" s="14"/>
      <c r="O335" s="234" t="s">
        <v>172</v>
      </c>
      <c r="P335" s="23">
        <f t="shared" si="483"/>
        <v>28</v>
      </c>
      <c r="Q335" s="90">
        <f>'Potable Water Calculator'!$C$105/'Potable Water Calculator'!$P$346*'Potable Water Calculator'!$P335</f>
        <v>0</v>
      </c>
      <c r="R335" s="90">
        <f>'Potable Water Calculator'!$C$106/'Potable Water Calculator'!$P$346*'Potable Water Calculator'!$P335</f>
        <v>0</v>
      </c>
      <c r="S335" s="90">
        <f>'Potable Water Calculator'!$C$107/'Potable Water Calculator'!$P$346*'Potable Water Calculator'!$P335</f>
        <v>0</v>
      </c>
      <c r="T335" s="90">
        <f>'Potable Water Calculator'!$C$108/'Potable Water Calculator'!$P$346*'Potable Water Calculator'!$P335</f>
        <v>0</v>
      </c>
      <c r="U335" s="23">
        <f>('Potable Water Calculator'!P145+'Potable Water Calculator'!R145)/1000</f>
        <v>0</v>
      </c>
      <c r="V335" s="23">
        <f>'Potable Water Calculator'!S145/1000</f>
        <v>0</v>
      </c>
      <c r="W335" s="23">
        <f t="shared" ref="W335:W340" si="495">V335+U335</f>
        <v>0</v>
      </c>
      <c r="X335" s="23">
        <f t="shared" si="484"/>
        <v>0</v>
      </c>
      <c r="Y335" s="23">
        <f t="shared" si="485"/>
        <v>11.446318248175182</v>
      </c>
      <c r="Z335" s="23">
        <f t="shared" si="486"/>
        <v>0</v>
      </c>
      <c r="AA335" s="23">
        <f t="shared" si="487"/>
        <v>0</v>
      </c>
      <c r="AB335" s="23">
        <f t="shared" si="488"/>
        <v>0</v>
      </c>
      <c r="AC335" s="23">
        <f t="shared" si="489"/>
        <v>0</v>
      </c>
      <c r="AD335" s="23">
        <f t="shared" si="490"/>
        <v>0</v>
      </c>
      <c r="AE335" s="23">
        <f t="shared" ref="AE335:AE345" si="496">SUM(Q335:T335)+SUM(W335:AD335)</f>
        <v>11.446318248175182</v>
      </c>
      <c r="AF335" s="14"/>
      <c r="AG335" s="23">
        <f>'Potable Water Calculator'!$D$105/'Potable Water Calculator'!$P$346*'Potable Water Calculator'!$P335</f>
        <v>0</v>
      </c>
      <c r="AH335" s="23">
        <f>'Potable Water Calculator'!$D$106/'Potable Water Calculator'!$P$346*'Potable Water Calculator'!$P335</f>
        <v>0</v>
      </c>
      <c r="AI335" s="23">
        <f>'Potable Water Calculator'!$D$107/'Potable Water Calculator'!$P$346*'Potable Water Calculator'!$P335</f>
        <v>0</v>
      </c>
      <c r="AJ335" s="23">
        <f>'Potable Water Calculator'!$D$108/'Potable Water Calculator'!$P$346*'Potable Water Calculator'!$P335</f>
        <v>0</v>
      </c>
      <c r="AK335" s="23">
        <f>('Potable Water Calculator'!V145+'Potable Water Calculator'!X145)/1000</f>
        <v>0</v>
      </c>
      <c r="AL335" s="23">
        <f>'Potable Water Calculator'!Y145/1000</f>
        <v>0</v>
      </c>
      <c r="AM335" s="23">
        <f t="shared" ref="AM335:AM340" si="497">AL335+AK335</f>
        <v>0</v>
      </c>
      <c r="AN335" s="23">
        <f t="shared" si="491"/>
        <v>0</v>
      </c>
      <c r="AO335" s="23">
        <f t="shared" si="492"/>
        <v>0</v>
      </c>
      <c r="AP335" s="23">
        <f t="shared" si="493"/>
        <v>0</v>
      </c>
      <c r="AQ335" s="23">
        <f t="shared" si="494"/>
        <v>0</v>
      </c>
      <c r="AR335" s="23">
        <f t="shared" ref="AR335:AR345" si="498">C315*$AR$332</f>
        <v>0</v>
      </c>
      <c r="AS335" s="23">
        <f t="shared" ref="AS335:AS345" si="499">G315*$AS$332</f>
        <v>0</v>
      </c>
      <c r="AT335" s="23">
        <f t="shared" ref="AT335:AT345" si="500">K315*$AT$332</f>
        <v>0</v>
      </c>
      <c r="AU335" s="23">
        <f t="shared" ref="AU335:AU345" si="501">SUM(AG335:AJ335)+SUM(AM335:AT335)</f>
        <v>0</v>
      </c>
      <c r="AV335" s="14"/>
      <c r="AW335" s="14"/>
      <c r="AX335" s="14"/>
      <c r="AY335" s="14"/>
      <c r="AZ335" s="14"/>
      <c r="BA335" s="14"/>
      <c r="BB335" s="14"/>
      <c r="BC335" s="14"/>
      <c r="BD335" s="70"/>
      <c r="BE335" s="165" t="s">
        <v>21</v>
      </c>
      <c r="BF335" s="23">
        <v>22</v>
      </c>
      <c r="BG335" s="23">
        <v>12</v>
      </c>
      <c r="BH335" s="23">
        <v>5</v>
      </c>
      <c r="BI335" s="90" t="b">
        <f t="shared" si="419"/>
        <v>1</v>
      </c>
      <c r="BJ335" s="46" t="b">
        <f t="shared" si="454"/>
        <v>1</v>
      </c>
      <c r="BK335" s="166">
        <f t="shared" si="480"/>
        <v>7.8</v>
      </c>
      <c r="BL335" s="175">
        <f>IF(SUM(BL$324:BL334,BK335)&gt;$BT$4,0,BK335)</f>
        <v>7.8</v>
      </c>
      <c r="BM335" s="23">
        <f t="shared" si="404"/>
        <v>0</v>
      </c>
      <c r="BN335" s="90">
        <f t="shared" si="405"/>
        <v>0</v>
      </c>
      <c r="BO335" s="24">
        <f t="shared" si="424"/>
        <v>0</v>
      </c>
      <c r="BP335" s="349">
        <f t="shared" si="455"/>
        <v>0</v>
      </c>
      <c r="BQ335" s="171">
        <f t="shared" si="456"/>
        <v>0</v>
      </c>
      <c r="BR335" s="170">
        <f t="shared" si="406"/>
        <v>0</v>
      </c>
      <c r="BS335" s="168">
        <f t="shared" si="457"/>
        <v>0</v>
      </c>
      <c r="BT335" s="171">
        <f t="shared" si="458"/>
        <v>0</v>
      </c>
      <c r="BU335" s="170">
        <f t="shared" si="407"/>
        <v>0</v>
      </c>
      <c r="BV335" s="168">
        <f t="shared" si="459"/>
        <v>0</v>
      </c>
      <c r="BW335" s="171">
        <f t="shared" si="460"/>
        <v>0</v>
      </c>
      <c r="BX335" s="170">
        <f t="shared" si="408"/>
        <v>0</v>
      </c>
      <c r="BY335" s="168">
        <f t="shared" si="461"/>
        <v>0</v>
      </c>
      <c r="BZ335" s="171">
        <f t="shared" si="462"/>
        <v>0</v>
      </c>
      <c r="CA335" s="170">
        <f t="shared" si="409"/>
        <v>0</v>
      </c>
      <c r="CB335" s="90">
        <f t="shared" si="463"/>
        <v>0</v>
      </c>
      <c r="CC335" s="171">
        <f t="shared" si="464"/>
        <v>0</v>
      </c>
      <c r="CD335" s="170">
        <f t="shared" si="410"/>
        <v>0</v>
      </c>
      <c r="CE335" s="90">
        <f t="shared" si="465"/>
        <v>0</v>
      </c>
      <c r="CF335" s="171">
        <f t="shared" si="466"/>
        <v>0</v>
      </c>
      <c r="CG335" s="170">
        <f t="shared" si="411"/>
        <v>0</v>
      </c>
      <c r="CH335" s="90">
        <f t="shared" si="467"/>
        <v>0</v>
      </c>
      <c r="CI335" s="171">
        <f t="shared" si="468"/>
        <v>0</v>
      </c>
      <c r="CJ335" s="170">
        <f t="shared" si="412"/>
        <v>0</v>
      </c>
      <c r="CK335" s="90">
        <f t="shared" si="469"/>
        <v>0</v>
      </c>
      <c r="CL335" s="171">
        <f t="shared" si="470"/>
        <v>0</v>
      </c>
      <c r="CM335" s="170">
        <f t="shared" si="413"/>
        <v>0</v>
      </c>
      <c r="CN335" s="90">
        <f t="shared" si="471"/>
        <v>0</v>
      </c>
      <c r="CO335" s="171">
        <f t="shared" si="472"/>
        <v>0</v>
      </c>
      <c r="CP335" s="170">
        <f t="shared" si="414"/>
        <v>0</v>
      </c>
      <c r="CQ335" s="90">
        <f t="shared" si="473"/>
        <v>0</v>
      </c>
      <c r="CR335" s="171">
        <f t="shared" si="474"/>
        <v>0</v>
      </c>
      <c r="CS335" s="170">
        <f t="shared" si="415"/>
        <v>0</v>
      </c>
      <c r="CT335" s="90">
        <f t="shared" si="475"/>
        <v>0</v>
      </c>
      <c r="CU335" s="171">
        <f t="shared" si="476"/>
        <v>0</v>
      </c>
      <c r="CV335" s="170">
        <f t="shared" si="416"/>
        <v>0</v>
      </c>
      <c r="CW335" s="90">
        <f t="shared" si="477"/>
        <v>0</v>
      </c>
      <c r="CX335" s="171">
        <f t="shared" si="478"/>
        <v>0</v>
      </c>
      <c r="CY335" s="170">
        <f t="shared" si="417"/>
        <v>0</v>
      </c>
      <c r="CZ335" s="168">
        <f t="shared" si="418"/>
        <v>0</v>
      </c>
      <c r="DA335" s="172">
        <f t="shared" si="420"/>
        <v>0</v>
      </c>
      <c r="DB335" s="173">
        <f t="shared" si="421"/>
        <v>0</v>
      </c>
      <c r="DC335" s="172">
        <f t="shared" si="479"/>
        <v>0</v>
      </c>
      <c r="DD335" s="172">
        <f t="shared" si="479"/>
        <v>0</v>
      </c>
      <c r="DE335" s="172">
        <f t="shared" si="479"/>
        <v>0</v>
      </c>
      <c r="DF335" s="172">
        <f t="shared" si="423"/>
        <v>0</v>
      </c>
      <c r="DG335" s="136"/>
      <c r="DH335" s="136"/>
      <c r="DI335" s="3"/>
      <c r="DJ335" s="8"/>
      <c r="DK335" s="8"/>
      <c r="DL335" s="8"/>
      <c r="DM335" s="8"/>
      <c r="DN335" s="8"/>
      <c r="DO335" s="8"/>
      <c r="DP335" s="8"/>
      <c r="DQ335" s="3"/>
      <c r="DR335" s="8"/>
      <c r="DS335" s="8"/>
      <c r="DT335" s="8"/>
      <c r="DU335" s="8"/>
      <c r="DV335" s="8"/>
      <c r="DW335" s="8"/>
      <c r="DX335" s="8"/>
      <c r="DY335" s="8"/>
      <c r="DZ335" s="8"/>
      <c r="EA335" s="8"/>
      <c r="EB335" s="8"/>
      <c r="EC335" s="8"/>
      <c r="ED335" s="8"/>
      <c r="EE335" s="8"/>
      <c r="EF335" s="8"/>
      <c r="EG335" s="8"/>
      <c r="EH335" s="8"/>
      <c r="EI335" s="8"/>
      <c r="EJ335" s="8"/>
      <c r="EK335" s="8"/>
      <c r="EL335" s="8"/>
      <c r="EM335" s="8"/>
      <c r="EN335" s="8"/>
      <c r="EO335" s="8"/>
      <c r="EP335" s="8"/>
      <c r="EQ335" s="8"/>
      <c r="ER335" s="8"/>
      <c r="ES335" s="8"/>
      <c r="ET335" s="8"/>
      <c r="EU335" s="8"/>
      <c r="EV335" s="8"/>
      <c r="EW335" s="8"/>
      <c r="EX335" s="8"/>
      <c r="EY335" s="8"/>
    </row>
    <row r="336" spans="1:155" s="566" customFormat="1" ht="15.75" customHeight="1">
      <c r="A336" s="181"/>
      <c r="B336" s="70"/>
      <c r="C336" s="70"/>
      <c r="D336" s="273" t="str">
        <f>$AI$193</f>
        <v>Notional building</v>
      </c>
      <c r="E336" s="70"/>
      <c r="F336" s="70"/>
      <c r="G336" s="70"/>
      <c r="H336" s="70"/>
      <c r="I336" s="70"/>
      <c r="J336" s="70"/>
      <c r="K336" s="27"/>
      <c r="L336" s="3"/>
      <c r="M336" s="3"/>
      <c r="N336" s="14"/>
      <c r="O336" s="234" t="s">
        <v>177</v>
      </c>
      <c r="P336" s="23">
        <f t="shared" si="483"/>
        <v>31</v>
      </c>
      <c r="Q336" s="90">
        <f>'Potable Water Calculator'!$C$105/'Potable Water Calculator'!$P$346*'Potable Water Calculator'!$P336</f>
        <v>0</v>
      </c>
      <c r="R336" s="90">
        <f>'Potable Water Calculator'!$C$106/'Potable Water Calculator'!$P$346*'Potable Water Calculator'!$P336</f>
        <v>0</v>
      </c>
      <c r="S336" s="90">
        <f>'Potable Water Calculator'!$C$107/'Potable Water Calculator'!$P$346*'Potable Water Calculator'!$P336</f>
        <v>0</v>
      </c>
      <c r="T336" s="90">
        <f>'Potable Water Calculator'!$C$108/'Potable Water Calculator'!$P$346*'Potable Water Calculator'!$P336</f>
        <v>0</v>
      </c>
      <c r="U336" s="23">
        <f>('Potable Water Calculator'!P146+'Potable Water Calculator'!R146)/1000</f>
        <v>0</v>
      </c>
      <c r="V336" s="23">
        <f>'Potable Water Calculator'!S146/1000</f>
        <v>0</v>
      </c>
      <c r="W336" s="23">
        <f t="shared" si="495"/>
        <v>0</v>
      </c>
      <c r="X336" s="23">
        <f t="shared" si="484"/>
        <v>0</v>
      </c>
      <c r="Y336" s="23">
        <f t="shared" si="485"/>
        <v>11.125555555555557</v>
      </c>
      <c r="Z336" s="23">
        <f t="shared" si="486"/>
        <v>0</v>
      </c>
      <c r="AA336" s="23">
        <f t="shared" si="487"/>
        <v>0</v>
      </c>
      <c r="AB336" s="23">
        <f t="shared" si="488"/>
        <v>0</v>
      </c>
      <c r="AC336" s="23">
        <f t="shared" si="489"/>
        <v>0</v>
      </c>
      <c r="AD336" s="23">
        <f t="shared" si="490"/>
        <v>0</v>
      </c>
      <c r="AE336" s="23">
        <f t="shared" si="496"/>
        <v>11.125555555555557</v>
      </c>
      <c r="AF336" s="14"/>
      <c r="AG336" s="23">
        <f>'Potable Water Calculator'!$D$105/'Potable Water Calculator'!$P$346*'Potable Water Calculator'!$P336</f>
        <v>0</v>
      </c>
      <c r="AH336" s="23">
        <f>'Potable Water Calculator'!$D$106/'Potable Water Calculator'!$P$346*'Potable Water Calculator'!$P336</f>
        <v>0</v>
      </c>
      <c r="AI336" s="23">
        <f>'Potable Water Calculator'!$D$107/'Potable Water Calculator'!$P$346*'Potable Water Calculator'!$P336</f>
        <v>0</v>
      </c>
      <c r="AJ336" s="23">
        <f>'Potable Water Calculator'!$D$108/'Potable Water Calculator'!$P$346*'Potable Water Calculator'!$P336</f>
        <v>0</v>
      </c>
      <c r="AK336" s="23">
        <f>('Potable Water Calculator'!V146+'Potable Water Calculator'!X146)/1000</f>
        <v>0</v>
      </c>
      <c r="AL336" s="23">
        <f>'Potable Water Calculator'!Y146/1000</f>
        <v>0</v>
      </c>
      <c r="AM336" s="23">
        <f t="shared" si="497"/>
        <v>0</v>
      </c>
      <c r="AN336" s="23">
        <f t="shared" si="491"/>
        <v>0</v>
      </c>
      <c r="AO336" s="23">
        <f t="shared" si="492"/>
        <v>0</v>
      </c>
      <c r="AP336" s="23">
        <f t="shared" si="493"/>
        <v>0</v>
      </c>
      <c r="AQ336" s="23">
        <f t="shared" si="494"/>
        <v>0</v>
      </c>
      <c r="AR336" s="23">
        <f t="shared" si="498"/>
        <v>0</v>
      </c>
      <c r="AS336" s="23">
        <f t="shared" si="499"/>
        <v>0</v>
      </c>
      <c r="AT336" s="23">
        <f t="shared" si="500"/>
        <v>0</v>
      </c>
      <c r="AU336" s="23">
        <f t="shared" si="501"/>
        <v>0</v>
      </c>
      <c r="AV336" s="14"/>
      <c r="AW336" s="14"/>
      <c r="AX336" s="14"/>
      <c r="AY336" s="14"/>
      <c r="AZ336" s="14"/>
      <c r="BA336" s="14"/>
      <c r="BB336" s="14"/>
      <c r="BC336" s="14"/>
      <c r="BD336" s="70"/>
      <c r="BE336" s="165" t="s">
        <v>21</v>
      </c>
      <c r="BF336" s="23">
        <v>22</v>
      </c>
      <c r="BG336" s="23">
        <v>13</v>
      </c>
      <c r="BH336" s="23">
        <v>6</v>
      </c>
      <c r="BI336" s="90" t="b">
        <f t="shared" si="419"/>
        <v>0</v>
      </c>
      <c r="BJ336" s="46" t="b">
        <f t="shared" si="454"/>
        <v>0</v>
      </c>
      <c r="BK336" s="166">
        <f t="shared" si="480"/>
        <v>0</v>
      </c>
      <c r="BL336" s="175">
        <f>IF(SUM(BL$324:BL335,BK336)&gt;$BT$4,0,BK336)</f>
        <v>0</v>
      </c>
      <c r="BM336" s="23">
        <f t="shared" si="404"/>
        <v>0</v>
      </c>
      <c r="BN336" s="90">
        <f t="shared" si="405"/>
        <v>0</v>
      </c>
      <c r="BO336" s="24">
        <f t="shared" si="424"/>
        <v>0</v>
      </c>
      <c r="BP336" s="349">
        <f t="shared" si="455"/>
        <v>0</v>
      </c>
      <c r="BQ336" s="171">
        <f t="shared" si="456"/>
        <v>0</v>
      </c>
      <c r="BR336" s="170">
        <f t="shared" si="406"/>
        <v>0</v>
      </c>
      <c r="BS336" s="168">
        <f t="shared" si="457"/>
        <v>0</v>
      </c>
      <c r="BT336" s="171">
        <f t="shared" si="458"/>
        <v>0</v>
      </c>
      <c r="BU336" s="170">
        <f t="shared" si="407"/>
        <v>0</v>
      </c>
      <c r="BV336" s="168">
        <f t="shared" si="459"/>
        <v>0</v>
      </c>
      <c r="BW336" s="171">
        <f t="shared" si="460"/>
        <v>0</v>
      </c>
      <c r="BX336" s="170">
        <f t="shared" si="408"/>
        <v>0</v>
      </c>
      <c r="BY336" s="168">
        <f t="shared" si="461"/>
        <v>0</v>
      </c>
      <c r="BZ336" s="171">
        <f t="shared" si="462"/>
        <v>0</v>
      </c>
      <c r="CA336" s="170">
        <f t="shared" si="409"/>
        <v>0</v>
      </c>
      <c r="CB336" s="90">
        <f t="shared" si="463"/>
        <v>0</v>
      </c>
      <c r="CC336" s="171">
        <f t="shared" si="464"/>
        <v>0</v>
      </c>
      <c r="CD336" s="170">
        <f t="shared" si="410"/>
        <v>0</v>
      </c>
      <c r="CE336" s="90">
        <f t="shared" si="465"/>
        <v>0</v>
      </c>
      <c r="CF336" s="171">
        <f t="shared" si="466"/>
        <v>0</v>
      </c>
      <c r="CG336" s="170">
        <f t="shared" si="411"/>
        <v>0</v>
      </c>
      <c r="CH336" s="90">
        <f t="shared" si="467"/>
        <v>0</v>
      </c>
      <c r="CI336" s="171">
        <f t="shared" si="468"/>
        <v>0</v>
      </c>
      <c r="CJ336" s="170">
        <f t="shared" si="412"/>
        <v>0</v>
      </c>
      <c r="CK336" s="90">
        <f t="shared" si="469"/>
        <v>0</v>
      </c>
      <c r="CL336" s="171">
        <f t="shared" si="470"/>
        <v>0</v>
      </c>
      <c r="CM336" s="170">
        <f t="shared" si="413"/>
        <v>0</v>
      </c>
      <c r="CN336" s="90">
        <f t="shared" si="471"/>
        <v>0</v>
      </c>
      <c r="CO336" s="171">
        <f t="shared" si="472"/>
        <v>0</v>
      </c>
      <c r="CP336" s="170">
        <f t="shared" si="414"/>
        <v>0</v>
      </c>
      <c r="CQ336" s="90">
        <f t="shared" si="473"/>
        <v>0</v>
      </c>
      <c r="CR336" s="171">
        <f t="shared" si="474"/>
        <v>0</v>
      </c>
      <c r="CS336" s="170">
        <f t="shared" si="415"/>
        <v>0</v>
      </c>
      <c r="CT336" s="90">
        <f t="shared" si="475"/>
        <v>0</v>
      </c>
      <c r="CU336" s="171">
        <f t="shared" si="476"/>
        <v>0</v>
      </c>
      <c r="CV336" s="170">
        <f t="shared" si="416"/>
        <v>0</v>
      </c>
      <c r="CW336" s="90">
        <f t="shared" si="477"/>
        <v>0</v>
      </c>
      <c r="CX336" s="171">
        <f t="shared" si="478"/>
        <v>0</v>
      </c>
      <c r="CY336" s="170">
        <f t="shared" si="417"/>
        <v>0</v>
      </c>
      <c r="CZ336" s="168">
        <f t="shared" si="418"/>
        <v>0</v>
      </c>
      <c r="DA336" s="172">
        <f t="shared" si="420"/>
        <v>0</v>
      </c>
      <c r="DB336" s="173">
        <f t="shared" si="421"/>
        <v>0</v>
      </c>
      <c r="DC336" s="172">
        <f t="shared" si="479"/>
        <v>0</v>
      </c>
      <c r="DD336" s="172">
        <f t="shared" si="479"/>
        <v>0</v>
      </c>
      <c r="DE336" s="172">
        <f t="shared" si="479"/>
        <v>0</v>
      </c>
      <c r="DF336" s="172">
        <f t="shared" si="423"/>
        <v>0</v>
      </c>
      <c r="DG336" s="136"/>
      <c r="DH336" s="136"/>
      <c r="DI336" s="3"/>
      <c r="DJ336" s="8"/>
      <c r="DK336" s="8"/>
      <c r="DL336" s="8"/>
      <c r="DM336" s="8"/>
      <c r="DN336" s="8"/>
      <c r="DO336" s="8"/>
      <c r="DP336" s="8"/>
      <c r="DQ336" s="3"/>
      <c r="DR336" s="8"/>
      <c r="DS336" s="8"/>
      <c r="DT336" s="8"/>
      <c r="DU336" s="8"/>
      <c r="DV336" s="8"/>
      <c r="DW336" s="8"/>
      <c r="DX336" s="8"/>
      <c r="DY336" s="8"/>
      <c r="DZ336" s="8"/>
      <c r="EA336" s="8"/>
      <c r="EB336" s="8"/>
      <c r="EC336" s="8"/>
      <c r="ED336" s="8"/>
      <c r="EE336" s="8"/>
      <c r="EF336" s="8"/>
      <c r="EG336" s="8"/>
      <c r="EH336" s="8"/>
      <c r="EI336" s="8"/>
      <c r="EJ336" s="8"/>
      <c r="EK336" s="8"/>
      <c r="EL336" s="8"/>
      <c r="EM336" s="8"/>
      <c r="EN336" s="8"/>
      <c r="EO336" s="8"/>
      <c r="EP336" s="8"/>
      <c r="EQ336" s="8"/>
      <c r="ER336" s="8"/>
      <c r="ES336" s="8"/>
      <c r="ET336" s="8"/>
      <c r="EU336" s="8"/>
      <c r="EV336" s="8"/>
      <c r="EW336" s="8"/>
      <c r="EX336" s="8"/>
      <c r="EY336" s="8"/>
    </row>
    <row r="337" spans="1:155" s="566" customFormat="1" ht="15.75" customHeight="1">
      <c r="A337" s="181"/>
      <c r="B337" s="194" t="str">
        <f>'Potable Water Calculator'!B105</f>
        <v>WC</v>
      </c>
      <c r="C337" s="324"/>
      <c r="D337" s="324">
        <f>$AG$346</f>
        <v>0</v>
      </c>
      <c r="E337" s="70"/>
      <c r="F337" s="70"/>
      <c r="G337" s="70"/>
      <c r="H337" s="70"/>
      <c r="I337" s="70"/>
      <c r="J337" s="70"/>
      <c r="K337" s="27"/>
      <c r="L337" s="3"/>
      <c r="M337" s="3"/>
      <c r="N337" s="14"/>
      <c r="O337" s="234" t="s">
        <v>180</v>
      </c>
      <c r="P337" s="23">
        <f t="shared" si="483"/>
        <v>30</v>
      </c>
      <c r="Q337" s="90">
        <f>'Potable Water Calculator'!$C$105/'Potable Water Calculator'!$P$346*'Potable Water Calculator'!$P337</f>
        <v>0</v>
      </c>
      <c r="R337" s="90">
        <f>'Potable Water Calculator'!$C$106/'Potable Water Calculator'!$P$346*'Potable Water Calculator'!$P337</f>
        <v>0</v>
      </c>
      <c r="S337" s="90">
        <f>'Potable Water Calculator'!$C$107/'Potable Water Calculator'!$P$346*'Potable Water Calculator'!$P337</f>
        <v>0</v>
      </c>
      <c r="T337" s="90">
        <f>'Potable Water Calculator'!$C$108/'Potable Water Calculator'!$P$346*'Potable Water Calculator'!$P337</f>
        <v>0</v>
      </c>
      <c r="U337" s="23">
        <f>('Potable Water Calculator'!P147+'Potable Water Calculator'!R147)/1000</f>
        <v>0</v>
      </c>
      <c r="V337" s="23">
        <f>'Potable Water Calculator'!S147/1000</f>
        <v>0</v>
      </c>
      <c r="W337" s="23">
        <f t="shared" si="495"/>
        <v>0</v>
      </c>
      <c r="X337" s="23">
        <f t="shared" si="484"/>
        <v>0</v>
      </c>
      <c r="Y337" s="23">
        <f t="shared" si="485"/>
        <v>10.038360000000004</v>
      </c>
      <c r="Z337" s="23">
        <f t="shared" si="486"/>
        <v>0</v>
      </c>
      <c r="AA337" s="23">
        <f t="shared" si="487"/>
        <v>0</v>
      </c>
      <c r="AB337" s="23">
        <f t="shared" si="488"/>
        <v>0</v>
      </c>
      <c r="AC337" s="23">
        <f t="shared" si="489"/>
        <v>0</v>
      </c>
      <c r="AD337" s="23">
        <f t="shared" si="490"/>
        <v>0</v>
      </c>
      <c r="AE337" s="23">
        <f t="shared" si="496"/>
        <v>10.038360000000004</v>
      </c>
      <c r="AF337" s="14"/>
      <c r="AG337" s="23">
        <f>'Potable Water Calculator'!$D$105/'Potable Water Calculator'!$P$346*'Potable Water Calculator'!$P337</f>
        <v>0</v>
      </c>
      <c r="AH337" s="23">
        <f>'Potable Water Calculator'!$D$106/'Potable Water Calculator'!$P$346*'Potable Water Calculator'!$P337</f>
        <v>0</v>
      </c>
      <c r="AI337" s="23">
        <f>'Potable Water Calculator'!$D$107/'Potable Water Calculator'!$P$346*'Potable Water Calculator'!$P337</f>
        <v>0</v>
      </c>
      <c r="AJ337" s="23">
        <f>'Potable Water Calculator'!$D$108/'Potable Water Calculator'!$P$346*'Potable Water Calculator'!$P337</f>
        <v>0</v>
      </c>
      <c r="AK337" s="23">
        <f>('Potable Water Calculator'!V147+'Potable Water Calculator'!X147)/1000</f>
        <v>0</v>
      </c>
      <c r="AL337" s="23">
        <f>'Potable Water Calculator'!Y147/1000</f>
        <v>0</v>
      </c>
      <c r="AM337" s="23">
        <f t="shared" si="497"/>
        <v>0</v>
      </c>
      <c r="AN337" s="23">
        <f t="shared" si="491"/>
        <v>0</v>
      </c>
      <c r="AO337" s="23">
        <f t="shared" si="492"/>
        <v>0</v>
      </c>
      <c r="AP337" s="23">
        <f t="shared" si="493"/>
        <v>0</v>
      </c>
      <c r="AQ337" s="23">
        <f t="shared" si="494"/>
        <v>0</v>
      </c>
      <c r="AR337" s="23">
        <f t="shared" si="498"/>
        <v>0</v>
      </c>
      <c r="AS337" s="23">
        <f t="shared" si="499"/>
        <v>0</v>
      </c>
      <c r="AT337" s="23">
        <f t="shared" si="500"/>
        <v>0</v>
      </c>
      <c r="AU337" s="23">
        <f t="shared" si="501"/>
        <v>0</v>
      </c>
      <c r="AV337" s="14"/>
      <c r="AW337" s="14"/>
      <c r="AX337" s="14"/>
      <c r="AY337" s="14"/>
      <c r="AZ337" s="14"/>
      <c r="BA337" s="14"/>
      <c r="BB337" s="14"/>
      <c r="BC337" s="14"/>
      <c r="BD337" s="70"/>
      <c r="BE337" s="165" t="s">
        <v>21</v>
      </c>
      <c r="BF337" s="23">
        <v>22</v>
      </c>
      <c r="BG337" s="23">
        <v>14</v>
      </c>
      <c r="BH337" s="23">
        <v>7</v>
      </c>
      <c r="BI337" s="90" t="b">
        <f t="shared" si="419"/>
        <v>0</v>
      </c>
      <c r="BJ337" s="46" t="b">
        <f t="shared" si="454"/>
        <v>1</v>
      </c>
      <c r="BK337" s="166">
        <f t="shared" si="480"/>
        <v>7.8</v>
      </c>
      <c r="BL337" s="175">
        <f>IF(SUM(BL$324:BL336,BK337)&gt;$BT$4,0,BK337)</f>
        <v>7.8</v>
      </c>
      <c r="BM337" s="23">
        <f t="shared" si="404"/>
        <v>0</v>
      </c>
      <c r="BN337" s="90">
        <f t="shared" si="405"/>
        <v>0</v>
      </c>
      <c r="BO337" s="24">
        <f t="shared" si="424"/>
        <v>0</v>
      </c>
      <c r="BP337" s="349">
        <f t="shared" si="455"/>
        <v>0</v>
      </c>
      <c r="BQ337" s="171">
        <f t="shared" si="456"/>
        <v>0</v>
      </c>
      <c r="BR337" s="170">
        <f t="shared" si="406"/>
        <v>0</v>
      </c>
      <c r="BS337" s="168">
        <f t="shared" si="457"/>
        <v>0</v>
      </c>
      <c r="BT337" s="171">
        <f t="shared" si="458"/>
        <v>0</v>
      </c>
      <c r="BU337" s="170">
        <f t="shared" si="407"/>
        <v>0</v>
      </c>
      <c r="BV337" s="168">
        <f t="shared" si="459"/>
        <v>0</v>
      </c>
      <c r="BW337" s="171">
        <f t="shared" si="460"/>
        <v>0</v>
      </c>
      <c r="BX337" s="170">
        <f t="shared" si="408"/>
        <v>0</v>
      </c>
      <c r="BY337" s="168">
        <f t="shared" si="461"/>
        <v>0</v>
      </c>
      <c r="BZ337" s="171">
        <f t="shared" si="462"/>
        <v>0</v>
      </c>
      <c r="CA337" s="170">
        <f t="shared" si="409"/>
        <v>0</v>
      </c>
      <c r="CB337" s="90">
        <f t="shared" si="463"/>
        <v>0</v>
      </c>
      <c r="CC337" s="171">
        <f t="shared" si="464"/>
        <v>0</v>
      </c>
      <c r="CD337" s="170">
        <f t="shared" si="410"/>
        <v>0</v>
      </c>
      <c r="CE337" s="90">
        <f t="shared" si="465"/>
        <v>0</v>
      </c>
      <c r="CF337" s="171">
        <f t="shared" si="466"/>
        <v>0</v>
      </c>
      <c r="CG337" s="170">
        <f t="shared" si="411"/>
        <v>0</v>
      </c>
      <c r="CH337" s="90">
        <f t="shared" si="467"/>
        <v>0</v>
      </c>
      <c r="CI337" s="171">
        <f t="shared" si="468"/>
        <v>0</v>
      </c>
      <c r="CJ337" s="170">
        <f t="shared" si="412"/>
        <v>0</v>
      </c>
      <c r="CK337" s="90">
        <f t="shared" si="469"/>
        <v>0</v>
      </c>
      <c r="CL337" s="171">
        <f t="shared" si="470"/>
        <v>0</v>
      </c>
      <c r="CM337" s="170">
        <f t="shared" si="413"/>
        <v>0</v>
      </c>
      <c r="CN337" s="90">
        <f t="shared" si="471"/>
        <v>0</v>
      </c>
      <c r="CO337" s="171">
        <f t="shared" si="472"/>
        <v>0</v>
      </c>
      <c r="CP337" s="170">
        <f t="shared" si="414"/>
        <v>0</v>
      </c>
      <c r="CQ337" s="90">
        <f t="shared" si="473"/>
        <v>0</v>
      </c>
      <c r="CR337" s="171">
        <f t="shared" si="474"/>
        <v>0</v>
      </c>
      <c r="CS337" s="170">
        <f t="shared" si="415"/>
        <v>0</v>
      </c>
      <c r="CT337" s="90">
        <f t="shared" si="475"/>
        <v>0</v>
      </c>
      <c r="CU337" s="171">
        <f t="shared" si="476"/>
        <v>0</v>
      </c>
      <c r="CV337" s="170">
        <f t="shared" si="416"/>
        <v>0</v>
      </c>
      <c r="CW337" s="90">
        <f t="shared" si="477"/>
        <v>0</v>
      </c>
      <c r="CX337" s="171">
        <f t="shared" si="478"/>
        <v>0</v>
      </c>
      <c r="CY337" s="170">
        <f t="shared" si="417"/>
        <v>0</v>
      </c>
      <c r="CZ337" s="168">
        <f t="shared" si="418"/>
        <v>0</v>
      </c>
      <c r="DA337" s="172">
        <f t="shared" si="420"/>
        <v>0</v>
      </c>
      <c r="DB337" s="173">
        <f t="shared" si="421"/>
        <v>0</v>
      </c>
      <c r="DC337" s="172">
        <f t="shared" si="479"/>
        <v>0</v>
      </c>
      <c r="DD337" s="172">
        <f t="shared" si="479"/>
        <v>0</v>
      </c>
      <c r="DE337" s="172">
        <f t="shared" si="479"/>
        <v>0</v>
      </c>
      <c r="DF337" s="172">
        <f t="shared" si="423"/>
        <v>0</v>
      </c>
      <c r="DG337" s="136"/>
      <c r="DH337" s="136"/>
      <c r="DI337" s="3"/>
      <c r="DJ337" s="8"/>
      <c r="DK337" s="8"/>
      <c r="DL337" s="8"/>
      <c r="DM337" s="8"/>
      <c r="DN337" s="8"/>
      <c r="DO337" s="8"/>
      <c r="DP337" s="8"/>
      <c r="DQ337" s="3"/>
      <c r="DR337" s="8"/>
      <c r="DS337" s="8"/>
      <c r="DT337" s="8"/>
      <c r="DU337" s="8"/>
      <c r="DV337" s="8"/>
      <c r="DW337" s="8"/>
      <c r="DX337" s="8"/>
      <c r="DY337" s="8"/>
      <c r="DZ337" s="8"/>
      <c r="EA337" s="8"/>
      <c r="EB337" s="8"/>
      <c r="EC337" s="8"/>
      <c r="ED337" s="8"/>
      <c r="EE337" s="8"/>
      <c r="EF337" s="8"/>
      <c r="EG337" s="8"/>
      <c r="EH337" s="8"/>
      <c r="EI337" s="8"/>
      <c r="EJ337" s="8"/>
      <c r="EK337" s="8"/>
      <c r="EL337" s="8"/>
      <c r="EM337" s="8"/>
      <c r="EN337" s="8"/>
      <c r="EO337" s="8"/>
      <c r="EP337" s="8"/>
      <c r="EQ337" s="8"/>
      <c r="ER337" s="8"/>
      <c r="ES337" s="8"/>
      <c r="ET337" s="8"/>
      <c r="EU337" s="8"/>
      <c r="EV337" s="8"/>
      <c r="EW337" s="8"/>
      <c r="EX337" s="8"/>
      <c r="EY337" s="8"/>
    </row>
    <row r="338" spans="1:155" s="566" customFormat="1" ht="15.75" customHeight="1">
      <c r="A338" s="181"/>
      <c r="B338" s="194" t="str">
        <f>'Potable Water Calculator'!B106</f>
        <v>Urinals</v>
      </c>
      <c r="C338" s="324"/>
      <c r="D338" s="324">
        <f>$AH$346</f>
        <v>0</v>
      </c>
      <c r="E338" s="70"/>
      <c r="F338" s="70"/>
      <c r="G338" s="70"/>
      <c r="H338" s="70"/>
      <c r="I338" s="70"/>
      <c r="J338" s="70"/>
      <c r="K338" s="27"/>
      <c r="L338" s="3"/>
      <c r="M338" s="3"/>
      <c r="N338" s="14"/>
      <c r="O338" s="234" t="s">
        <v>15</v>
      </c>
      <c r="P338" s="23">
        <f t="shared" si="483"/>
        <v>31</v>
      </c>
      <c r="Q338" s="90">
        <f>'Potable Water Calculator'!$C$105/'Potable Water Calculator'!$P$346*'Potable Water Calculator'!$P338</f>
        <v>0</v>
      </c>
      <c r="R338" s="90">
        <f>'Potable Water Calculator'!$C$106/'Potable Water Calculator'!$P$346*'Potable Water Calculator'!$P338</f>
        <v>0</v>
      </c>
      <c r="S338" s="90">
        <f>'Potable Water Calculator'!$C$107/'Potable Water Calculator'!$P$346*'Potable Water Calculator'!$P338</f>
        <v>0</v>
      </c>
      <c r="T338" s="90">
        <f>'Potable Water Calculator'!$C$108/'Potable Water Calculator'!$P$346*'Potable Water Calculator'!$P338</f>
        <v>0</v>
      </c>
      <c r="U338" s="23">
        <f>('Potable Water Calculator'!P148+'Potable Water Calculator'!R148)/1000</f>
        <v>0</v>
      </c>
      <c r="V338" s="23">
        <f>'Potable Water Calculator'!S148/1000</f>
        <v>0</v>
      </c>
      <c r="W338" s="23">
        <f t="shared" si="495"/>
        <v>0</v>
      </c>
      <c r="X338" s="23">
        <f t="shared" si="484"/>
        <v>0</v>
      </c>
      <c r="Y338" s="23">
        <f t="shared" si="485"/>
        <v>8.9876797546012277</v>
      </c>
      <c r="Z338" s="23">
        <f t="shared" si="486"/>
        <v>0</v>
      </c>
      <c r="AA338" s="23">
        <f t="shared" si="487"/>
        <v>0</v>
      </c>
      <c r="AB338" s="23">
        <f t="shared" si="488"/>
        <v>0</v>
      </c>
      <c r="AC338" s="23">
        <f t="shared" si="489"/>
        <v>0</v>
      </c>
      <c r="AD338" s="23">
        <f t="shared" si="490"/>
        <v>0</v>
      </c>
      <c r="AE338" s="23">
        <f t="shared" si="496"/>
        <v>8.9876797546012277</v>
      </c>
      <c r="AF338" s="14"/>
      <c r="AG338" s="23">
        <f>'Potable Water Calculator'!$D$105/'Potable Water Calculator'!$P$346*'Potable Water Calculator'!$P338</f>
        <v>0</v>
      </c>
      <c r="AH338" s="23">
        <f>'Potable Water Calculator'!$D$106/'Potable Water Calculator'!$P$346*'Potable Water Calculator'!$P338</f>
        <v>0</v>
      </c>
      <c r="AI338" s="23">
        <f>'Potable Water Calculator'!$D$107/'Potable Water Calculator'!$P$346*'Potable Water Calculator'!$P338</f>
        <v>0</v>
      </c>
      <c r="AJ338" s="23">
        <f>'Potable Water Calculator'!$D$108/'Potable Water Calculator'!$P$346*'Potable Water Calculator'!$P338</f>
        <v>0</v>
      </c>
      <c r="AK338" s="23">
        <f>('Potable Water Calculator'!V148+'Potable Water Calculator'!X148)/1000</f>
        <v>0</v>
      </c>
      <c r="AL338" s="23">
        <f>'Potable Water Calculator'!Y148/1000</f>
        <v>0</v>
      </c>
      <c r="AM338" s="23">
        <f t="shared" si="497"/>
        <v>0</v>
      </c>
      <c r="AN338" s="23">
        <f t="shared" si="491"/>
        <v>0</v>
      </c>
      <c r="AO338" s="23">
        <f t="shared" si="492"/>
        <v>0</v>
      </c>
      <c r="AP338" s="23">
        <f t="shared" si="493"/>
        <v>0</v>
      </c>
      <c r="AQ338" s="23">
        <f t="shared" si="494"/>
        <v>0</v>
      </c>
      <c r="AR338" s="23">
        <f t="shared" si="498"/>
        <v>0</v>
      </c>
      <c r="AS338" s="23">
        <f t="shared" si="499"/>
        <v>0</v>
      </c>
      <c r="AT338" s="23">
        <f t="shared" si="500"/>
        <v>0</v>
      </c>
      <c r="AU338" s="23">
        <f t="shared" si="501"/>
        <v>0</v>
      </c>
      <c r="AV338" s="14"/>
      <c r="AW338" s="14"/>
      <c r="AX338" s="14"/>
      <c r="AY338" s="14"/>
      <c r="AZ338" s="14"/>
      <c r="BA338" s="14"/>
      <c r="BB338" s="14"/>
      <c r="BC338" s="14"/>
      <c r="BD338" s="70"/>
      <c r="BE338" s="165" t="s">
        <v>21</v>
      </c>
      <c r="BF338" s="23">
        <v>22</v>
      </c>
      <c r="BG338" s="23">
        <v>15</v>
      </c>
      <c r="BH338" s="23">
        <v>1</v>
      </c>
      <c r="BI338" s="90" t="b">
        <f t="shared" si="419"/>
        <v>1</v>
      </c>
      <c r="BJ338" s="46" t="b">
        <f t="shared" si="454"/>
        <v>0</v>
      </c>
      <c r="BK338" s="166">
        <f t="shared" si="480"/>
        <v>0</v>
      </c>
      <c r="BL338" s="175">
        <f>IF(SUM(BL$324:BL337,BK338)&gt;$BT$4,0,BK338)</f>
        <v>0</v>
      </c>
      <c r="BM338" s="23">
        <f t="shared" si="404"/>
        <v>0</v>
      </c>
      <c r="BN338" s="90">
        <f t="shared" si="405"/>
        <v>0</v>
      </c>
      <c r="BO338" s="24">
        <f t="shared" si="424"/>
        <v>0</v>
      </c>
      <c r="BP338" s="349">
        <f t="shared" si="455"/>
        <v>0</v>
      </c>
      <c r="BQ338" s="171">
        <f t="shared" si="456"/>
        <v>0</v>
      </c>
      <c r="BR338" s="170">
        <f t="shared" si="406"/>
        <v>0</v>
      </c>
      <c r="BS338" s="168">
        <f t="shared" si="457"/>
        <v>0</v>
      </c>
      <c r="BT338" s="171">
        <f t="shared" si="458"/>
        <v>0</v>
      </c>
      <c r="BU338" s="170">
        <f t="shared" si="407"/>
        <v>0</v>
      </c>
      <c r="BV338" s="168">
        <f t="shared" si="459"/>
        <v>0</v>
      </c>
      <c r="BW338" s="171">
        <f t="shared" si="460"/>
        <v>0</v>
      </c>
      <c r="BX338" s="170">
        <f t="shared" si="408"/>
        <v>0</v>
      </c>
      <c r="BY338" s="168">
        <f t="shared" si="461"/>
        <v>0</v>
      </c>
      <c r="BZ338" s="171">
        <f t="shared" si="462"/>
        <v>0</v>
      </c>
      <c r="CA338" s="170">
        <f t="shared" si="409"/>
        <v>0</v>
      </c>
      <c r="CB338" s="90">
        <f t="shared" si="463"/>
        <v>0</v>
      </c>
      <c r="CC338" s="171">
        <f t="shared" si="464"/>
        <v>0</v>
      </c>
      <c r="CD338" s="170">
        <f t="shared" si="410"/>
        <v>0</v>
      </c>
      <c r="CE338" s="90">
        <f t="shared" si="465"/>
        <v>0</v>
      </c>
      <c r="CF338" s="171">
        <f t="shared" si="466"/>
        <v>0</v>
      </c>
      <c r="CG338" s="170">
        <f t="shared" si="411"/>
        <v>0</v>
      </c>
      <c r="CH338" s="90">
        <f t="shared" si="467"/>
        <v>0</v>
      </c>
      <c r="CI338" s="171">
        <f t="shared" si="468"/>
        <v>0</v>
      </c>
      <c r="CJ338" s="170">
        <f t="shared" si="412"/>
        <v>0</v>
      </c>
      <c r="CK338" s="90">
        <f t="shared" si="469"/>
        <v>0</v>
      </c>
      <c r="CL338" s="171">
        <f t="shared" si="470"/>
        <v>0</v>
      </c>
      <c r="CM338" s="170">
        <f t="shared" si="413"/>
        <v>0</v>
      </c>
      <c r="CN338" s="90">
        <f t="shared" si="471"/>
        <v>0</v>
      </c>
      <c r="CO338" s="171">
        <f t="shared" si="472"/>
        <v>0</v>
      </c>
      <c r="CP338" s="170">
        <f t="shared" si="414"/>
        <v>0</v>
      </c>
      <c r="CQ338" s="90">
        <f t="shared" si="473"/>
        <v>0</v>
      </c>
      <c r="CR338" s="171">
        <f t="shared" si="474"/>
        <v>0</v>
      </c>
      <c r="CS338" s="170">
        <f t="shared" si="415"/>
        <v>0</v>
      </c>
      <c r="CT338" s="90">
        <f t="shared" si="475"/>
        <v>0</v>
      </c>
      <c r="CU338" s="171">
        <f t="shared" si="476"/>
        <v>0</v>
      </c>
      <c r="CV338" s="170">
        <f t="shared" si="416"/>
        <v>0</v>
      </c>
      <c r="CW338" s="90">
        <f t="shared" si="477"/>
        <v>0</v>
      </c>
      <c r="CX338" s="171">
        <f t="shared" si="478"/>
        <v>0</v>
      </c>
      <c r="CY338" s="170">
        <f t="shared" si="417"/>
        <v>0</v>
      </c>
      <c r="CZ338" s="168">
        <f t="shared" si="418"/>
        <v>0</v>
      </c>
      <c r="DA338" s="172">
        <f t="shared" si="420"/>
        <v>0</v>
      </c>
      <c r="DB338" s="173">
        <f t="shared" si="421"/>
        <v>0</v>
      </c>
      <c r="DC338" s="172">
        <f t="shared" si="479"/>
        <v>0</v>
      </c>
      <c r="DD338" s="172">
        <f t="shared" si="479"/>
        <v>0</v>
      </c>
      <c r="DE338" s="172">
        <f t="shared" si="479"/>
        <v>0</v>
      </c>
      <c r="DF338" s="172">
        <f t="shared" si="423"/>
        <v>0</v>
      </c>
      <c r="DG338" s="136"/>
      <c r="DH338" s="136"/>
      <c r="DI338" s="3"/>
      <c r="DJ338" s="8"/>
      <c r="DK338" s="8"/>
      <c r="DL338" s="8"/>
      <c r="DM338" s="8"/>
      <c r="DN338" s="8"/>
      <c r="DO338" s="8"/>
      <c r="DP338" s="8"/>
      <c r="DQ338" s="3"/>
      <c r="DR338" s="8"/>
      <c r="DS338" s="8"/>
      <c r="DT338" s="8"/>
      <c r="DU338" s="8"/>
      <c r="DV338" s="8"/>
      <c r="DW338" s="8"/>
      <c r="DX338" s="8"/>
      <c r="DY338" s="8"/>
      <c r="DZ338" s="8"/>
      <c r="EA338" s="8"/>
      <c r="EB338" s="8"/>
      <c r="EC338" s="8"/>
      <c r="ED338" s="8"/>
      <c r="EE338" s="8"/>
      <c r="EF338" s="8"/>
      <c r="EG338" s="8"/>
      <c r="EH338" s="8"/>
      <c r="EI338" s="8"/>
      <c r="EJ338" s="8"/>
      <c r="EK338" s="8"/>
      <c r="EL338" s="8"/>
      <c r="EM338" s="8"/>
      <c r="EN338" s="8"/>
      <c r="EO338" s="8"/>
      <c r="EP338" s="8"/>
      <c r="EQ338" s="8"/>
      <c r="ER338" s="8"/>
      <c r="ES338" s="8"/>
      <c r="ET338" s="8"/>
      <c r="EU338" s="8"/>
      <c r="EV338" s="8"/>
      <c r="EW338" s="8"/>
      <c r="EX338" s="8"/>
      <c r="EY338" s="8"/>
    </row>
    <row r="339" spans="1:155" s="566" customFormat="1" ht="15.75" customHeight="1">
      <c r="A339" s="181"/>
      <c r="B339" s="194" t="str">
        <f>'Potable Water Calculator'!B107</f>
        <v>Indoor taps</v>
      </c>
      <c r="C339" s="324"/>
      <c r="D339" s="324">
        <f>$AI$346</f>
        <v>0</v>
      </c>
      <c r="E339" s="70"/>
      <c r="F339" s="70"/>
      <c r="G339" s="70"/>
      <c r="H339" s="70"/>
      <c r="I339" s="70"/>
      <c r="J339" s="70"/>
      <c r="K339" s="27"/>
      <c r="L339" s="3"/>
      <c r="M339" s="3"/>
      <c r="N339" s="14"/>
      <c r="O339" s="234" t="s">
        <v>185</v>
      </c>
      <c r="P339" s="23">
        <f t="shared" si="483"/>
        <v>30</v>
      </c>
      <c r="Q339" s="90">
        <f>'Potable Water Calculator'!$C$105/'Potable Water Calculator'!$P$346*'Potable Water Calculator'!$P339</f>
        <v>0</v>
      </c>
      <c r="R339" s="90">
        <f>'Potable Water Calculator'!$C$106/'Potable Water Calculator'!$P$346*'Potable Water Calculator'!$P339</f>
        <v>0</v>
      </c>
      <c r="S339" s="90">
        <f>'Potable Water Calculator'!$C$107/'Potable Water Calculator'!$P$346*'Potable Water Calculator'!$P339</f>
        <v>0</v>
      </c>
      <c r="T339" s="90">
        <f>'Potable Water Calculator'!$C$108/'Potable Water Calculator'!$P$346*'Potable Water Calculator'!$P339</f>
        <v>0</v>
      </c>
      <c r="U339" s="23">
        <f>('Potable Water Calculator'!P149+'Potable Water Calculator'!R149)/1000</f>
        <v>0</v>
      </c>
      <c r="V339" s="23">
        <f>'Potable Water Calculator'!S149/1000</f>
        <v>0</v>
      </c>
      <c r="W339" s="23">
        <f t="shared" si="495"/>
        <v>0</v>
      </c>
      <c r="X339" s="23">
        <f t="shared" si="484"/>
        <v>0</v>
      </c>
      <c r="Y339" s="23">
        <f t="shared" si="485"/>
        <v>7.5614224924012134</v>
      </c>
      <c r="Z339" s="23">
        <f t="shared" si="486"/>
        <v>0</v>
      </c>
      <c r="AA339" s="23">
        <f t="shared" si="487"/>
        <v>0</v>
      </c>
      <c r="AB339" s="23">
        <f t="shared" si="488"/>
        <v>0</v>
      </c>
      <c r="AC339" s="23">
        <f t="shared" si="489"/>
        <v>0</v>
      </c>
      <c r="AD339" s="23">
        <f t="shared" si="490"/>
        <v>0</v>
      </c>
      <c r="AE339" s="23">
        <f t="shared" si="496"/>
        <v>7.5614224924012134</v>
      </c>
      <c r="AF339" s="14"/>
      <c r="AG339" s="23">
        <f>'Potable Water Calculator'!$D$105/'Potable Water Calculator'!$P$346*'Potable Water Calculator'!$P339</f>
        <v>0</v>
      </c>
      <c r="AH339" s="23">
        <f>'Potable Water Calculator'!$D$106/'Potable Water Calculator'!$P$346*'Potable Water Calculator'!$P339</f>
        <v>0</v>
      </c>
      <c r="AI339" s="23">
        <f>'Potable Water Calculator'!$D$107/'Potable Water Calculator'!$P$346*'Potable Water Calculator'!$P339</f>
        <v>0</v>
      </c>
      <c r="AJ339" s="23">
        <f>'Potable Water Calculator'!$D$108/'Potable Water Calculator'!$P$346*'Potable Water Calculator'!$P339</f>
        <v>0</v>
      </c>
      <c r="AK339" s="23">
        <f>('Potable Water Calculator'!V149+'Potable Water Calculator'!X149)/1000</f>
        <v>0</v>
      </c>
      <c r="AL339" s="23">
        <f>'Potable Water Calculator'!Y149/1000</f>
        <v>0</v>
      </c>
      <c r="AM339" s="23">
        <f t="shared" si="497"/>
        <v>0</v>
      </c>
      <c r="AN339" s="23">
        <f t="shared" si="491"/>
        <v>0</v>
      </c>
      <c r="AO339" s="23">
        <f t="shared" si="492"/>
        <v>0</v>
      </c>
      <c r="AP339" s="23">
        <f t="shared" si="493"/>
        <v>0</v>
      </c>
      <c r="AQ339" s="23">
        <f t="shared" si="494"/>
        <v>0</v>
      </c>
      <c r="AR339" s="23">
        <f t="shared" si="498"/>
        <v>0</v>
      </c>
      <c r="AS339" s="23">
        <f t="shared" si="499"/>
        <v>0</v>
      </c>
      <c r="AT339" s="23">
        <f t="shared" si="500"/>
        <v>0</v>
      </c>
      <c r="AU339" s="23">
        <f t="shared" si="501"/>
        <v>0</v>
      </c>
      <c r="AV339" s="14"/>
      <c r="AW339" s="14"/>
      <c r="AX339" s="14"/>
      <c r="AY339" s="14"/>
      <c r="AZ339" s="14"/>
      <c r="BA339" s="14"/>
      <c r="BB339" s="14"/>
      <c r="BC339" s="14"/>
      <c r="BD339" s="70"/>
      <c r="BE339" s="165" t="s">
        <v>21</v>
      </c>
      <c r="BF339" s="23">
        <v>22</v>
      </c>
      <c r="BG339" s="23">
        <v>16</v>
      </c>
      <c r="BH339" s="23">
        <v>2</v>
      </c>
      <c r="BI339" s="90" t="b">
        <f t="shared" si="419"/>
        <v>1</v>
      </c>
      <c r="BJ339" s="46" t="b">
        <f t="shared" si="454"/>
        <v>1</v>
      </c>
      <c r="BK339" s="166">
        <f t="shared" si="480"/>
        <v>7.8</v>
      </c>
      <c r="BL339" s="175">
        <f>IF(SUM(BL$324:BL338,BK339)&gt;$BT$4,0,BK339)</f>
        <v>7.8</v>
      </c>
      <c r="BM339" s="23">
        <f t="shared" si="404"/>
        <v>0</v>
      </c>
      <c r="BN339" s="90">
        <f t="shared" si="405"/>
        <v>0</v>
      </c>
      <c r="BO339" s="24">
        <f t="shared" si="424"/>
        <v>0</v>
      </c>
      <c r="BP339" s="349">
        <f t="shared" si="455"/>
        <v>0</v>
      </c>
      <c r="BQ339" s="171">
        <f t="shared" si="456"/>
        <v>0</v>
      </c>
      <c r="BR339" s="170">
        <f t="shared" si="406"/>
        <v>0</v>
      </c>
      <c r="BS339" s="168">
        <f t="shared" si="457"/>
        <v>0</v>
      </c>
      <c r="BT339" s="171">
        <f t="shared" si="458"/>
        <v>0</v>
      </c>
      <c r="BU339" s="170">
        <f t="shared" si="407"/>
        <v>0</v>
      </c>
      <c r="BV339" s="168">
        <f t="shared" si="459"/>
        <v>0</v>
      </c>
      <c r="BW339" s="171">
        <f t="shared" si="460"/>
        <v>0</v>
      </c>
      <c r="BX339" s="170">
        <f t="shared" si="408"/>
        <v>0</v>
      </c>
      <c r="BY339" s="168">
        <f t="shared" si="461"/>
        <v>0</v>
      </c>
      <c r="BZ339" s="171">
        <f t="shared" si="462"/>
        <v>0</v>
      </c>
      <c r="CA339" s="170">
        <f t="shared" si="409"/>
        <v>0</v>
      </c>
      <c r="CB339" s="90">
        <f t="shared" si="463"/>
        <v>0</v>
      </c>
      <c r="CC339" s="171">
        <f t="shared" si="464"/>
        <v>0</v>
      </c>
      <c r="CD339" s="170">
        <f t="shared" si="410"/>
        <v>0</v>
      </c>
      <c r="CE339" s="90">
        <f t="shared" si="465"/>
        <v>0</v>
      </c>
      <c r="CF339" s="171">
        <f t="shared" si="466"/>
        <v>0</v>
      </c>
      <c r="CG339" s="170">
        <f t="shared" si="411"/>
        <v>0</v>
      </c>
      <c r="CH339" s="90">
        <f t="shared" si="467"/>
        <v>0</v>
      </c>
      <c r="CI339" s="171">
        <f t="shared" si="468"/>
        <v>0</v>
      </c>
      <c r="CJ339" s="170">
        <f t="shared" si="412"/>
        <v>0</v>
      </c>
      <c r="CK339" s="90">
        <f t="shared" si="469"/>
        <v>0</v>
      </c>
      <c r="CL339" s="171">
        <f t="shared" si="470"/>
        <v>0</v>
      </c>
      <c r="CM339" s="170">
        <f t="shared" si="413"/>
        <v>0</v>
      </c>
      <c r="CN339" s="90">
        <f t="shared" si="471"/>
        <v>0</v>
      </c>
      <c r="CO339" s="171">
        <f t="shared" si="472"/>
        <v>0</v>
      </c>
      <c r="CP339" s="170">
        <f t="shared" si="414"/>
        <v>0</v>
      </c>
      <c r="CQ339" s="90">
        <f t="shared" si="473"/>
        <v>0</v>
      </c>
      <c r="CR339" s="171">
        <f t="shared" si="474"/>
        <v>0</v>
      </c>
      <c r="CS339" s="170">
        <f t="shared" si="415"/>
        <v>0</v>
      </c>
      <c r="CT339" s="90">
        <f t="shared" si="475"/>
        <v>0</v>
      </c>
      <c r="CU339" s="171">
        <f t="shared" si="476"/>
        <v>0</v>
      </c>
      <c r="CV339" s="170">
        <f t="shared" si="416"/>
        <v>0</v>
      </c>
      <c r="CW339" s="90">
        <f t="shared" si="477"/>
        <v>0</v>
      </c>
      <c r="CX339" s="171">
        <f t="shared" si="478"/>
        <v>0</v>
      </c>
      <c r="CY339" s="170">
        <f t="shared" si="417"/>
        <v>0</v>
      </c>
      <c r="CZ339" s="168">
        <f t="shared" si="418"/>
        <v>0</v>
      </c>
      <c r="DA339" s="172">
        <f t="shared" si="420"/>
        <v>0</v>
      </c>
      <c r="DB339" s="173">
        <f t="shared" si="421"/>
        <v>0</v>
      </c>
      <c r="DC339" s="172">
        <f t="shared" si="479"/>
        <v>0</v>
      </c>
      <c r="DD339" s="172">
        <f t="shared" si="479"/>
        <v>0</v>
      </c>
      <c r="DE339" s="172">
        <f t="shared" si="479"/>
        <v>0</v>
      </c>
      <c r="DF339" s="172">
        <f>IF(DA339-(DE338+CZ339)&lt;0,0,DA339-(DE338+CZ339))</f>
        <v>0</v>
      </c>
      <c r="DG339" s="136"/>
      <c r="DH339" s="136"/>
      <c r="DI339" s="3"/>
      <c r="DJ339" s="8"/>
      <c r="DK339" s="8"/>
      <c r="DL339" s="8"/>
      <c r="DM339" s="8"/>
      <c r="DN339" s="8"/>
      <c r="DO339" s="8"/>
      <c r="DP339" s="8"/>
      <c r="DQ339" s="3"/>
      <c r="DR339" s="8"/>
      <c r="DS339" s="8"/>
      <c r="DT339" s="8"/>
      <c r="DU339" s="8"/>
      <c r="DV339" s="8"/>
      <c r="DW339" s="8"/>
      <c r="DX339" s="8"/>
      <c r="DY339" s="8"/>
      <c r="DZ339" s="8"/>
      <c r="EA339" s="8"/>
      <c r="EB339" s="8"/>
      <c r="EC339" s="8"/>
      <c r="ED339" s="8"/>
      <c r="EE339" s="8"/>
      <c r="EF339" s="8"/>
      <c r="EG339" s="8"/>
      <c r="EH339" s="8"/>
      <c r="EI339" s="8"/>
      <c r="EJ339" s="8"/>
      <c r="EK339" s="8"/>
      <c r="EL339" s="8"/>
      <c r="EM339" s="8"/>
      <c r="EN339" s="8"/>
      <c r="EO339" s="8"/>
      <c r="EP339" s="8"/>
      <c r="EQ339" s="8"/>
      <c r="ER339" s="8"/>
      <c r="ES339" s="8"/>
      <c r="ET339" s="8"/>
      <c r="EU339" s="8"/>
      <c r="EV339" s="8"/>
      <c r="EW339" s="8"/>
      <c r="EX339" s="8"/>
      <c r="EY339" s="8"/>
    </row>
    <row r="340" spans="1:155" s="566" customFormat="1" ht="15.75" customHeight="1">
      <c r="A340" s="197"/>
      <c r="B340" s="194" t="str">
        <f>'Potable Water Calculator'!B108</f>
        <v>Showers</v>
      </c>
      <c r="C340" s="324"/>
      <c r="D340" s="324">
        <f>$AJ$346</f>
        <v>0</v>
      </c>
      <c r="E340" s="70"/>
      <c r="F340" s="70"/>
      <c r="G340" s="70"/>
      <c r="H340" s="70"/>
      <c r="I340" s="70"/>
      <c r="J340" s="70"/>
      <c r="K340" s="27"/>
      <c r="L340" s="3"/>
      <c r="M340" s="3"/>
      <c r="N340" s="14"/>
      <c r="O340" s="234" t="s">
        <v>186</v>
      </c>
      <c r="P340" s="23">
        <f t="shared" si="483"/>
        <v>31</v>
      </c>
      <c r="Q340" s="90">
        <f>'Potable Water Calculator'!$C$105/'Potable Water Calculator'!$P$346*'Potable Water Calculator'!$P340</f>
        <v>0</v>
      </c>
      <c r="R340" s="90">
        <f>'Potable Water Calculator'!$C$106/'Potable Water Calculator'!$P$346*'Potable Water Calculator'!$P340</f>
        <v>0</v>
      </c>
      <c r="S340" s="90">
        <f>'Potable Water Calculator'!$C$107/'Potable Water Calculator'!$P$346*'Potable Water Calculator'!$P340</f>
        <v>0</v>
      </c>
      <c r="T340" s="90">
        <f>'Potable Water Calculator'!$C$108/'Potable Water Calculator'!$P$346*'Potable Water Calculator'!$P340</f>
        <v>0</v>
      </c>
      <c r="U340" s="23">
        <f>('Potable Water Calculator'!P150+'Potable Water Calculator'!R150)/1000</f>
        <v>0</v>
      </c>
      <c r="V340" s="23">
        <f>'Potable Water Calculator'!S150/1000</f>
        <v>0</v>
      </c>
      <c r="W340" s="23">
        <f t="shared" si="495"/>
        <v>0</v>
      </c>
      <c r="X340" s="23">
        <f t="shared" si="484"/>
        <v>0</v>
      </c>
      <c r="Y340" s="23">
        <f t="shared" si="485"/>
        <v>8.409490909090902</v>
      </c>
      <c r="Z340" s="23">
        <f t="shared" si="486"/>
        <v>0</v>
      </c>
      <c r="AA340" s="23">
        <f t="shared" si="487"/>
        <v>0</v>
      </c>
      <c r="AB340" s="23">
        <f t="shared" si="488"/>
        <v>0</v>
      </c>
      <c r="AC340" s="23">
        <f t="shared" si="489"/>
        <v>0</v>
      </c>
      <c r="AD340" s="23">
        <f t="shared" si="490"/>
        <v>0</v>
      </c>
      <c r="AE340" s="23">
        <f t="shared" si="496"/>
        <v>8.409490909090902</v>
      </c>
      <c r="AF340" s="14"/>
      <c r="AG340" s="23">
        <f>'Potable Water Calculator'!$D$105/'Potable Water Calculator'!$P$346*'Potable Water Calculator'!$P340</f>
        <v>0</v>
      </c>
      <c r="AH340" s="23">
        <f>'Potable Water Calculator'!$D$106/'Potable Water Calculator'!$P$346*'Potable Water Calculator'!$P340</f>
        <v>0</v>
      </c>
      <c r="AI340" s="23">
        <f>'Potable Water Calculator'!$D$107/'Potable Water Calculator'!$P$346*'Potable Water Calculator'!$P340</f>
        <v>0</v>
      </c>
      <c r="AJ340" s="23">
        <f>'Potable Water Calculator'!$D$108/'Potable Water Calculator'!$P$346*'Potable Water Calculator'!$P340</f>
        <v>0</v>
      </c>
      <c r="AK340" s="23">
        <f>('Potable Water Calculator'!V150+'Potable Water Calculator'!X150)/1000</f>
        <v>0</v>
      </c>
      <c r="AL340" s="23">
        <f>'Potable Water Calculator'!Y150/1000</f>
        <v>0</v>
      </c>
      <c r="AM340" s="23">
        <f t="shared" si="497"/>
        <v>0</v>
      </c>
      <c r="AN340" s="23">
        <f t="shared" si="491"/>
        <v>0</v>
      </c>
      <c r="AO340" s="23">
        <f t="shared" si="492"/>
        <v>0</v>
      </c>
      <c r="AP340" s="23">
        <f t="shared" si="493"/>
        <v>0</v>
      </c>
      <c r="AQ340" s="23">
        <f t="shared" si="494"/>
        <v>0</v>
      </c>
      <c r="AR340" s="23">
        <f t="shared" si="498"/>
        <v>0</v>
      </c>
      <c r="AS340" s="23">
        <f t="shared" si="499"/>
        <v>0</v>
      </c>
      <c r="AT340" s="23">
        <f t="shared" si="500"/>
        <v>0</v>
      </c>
      <c r="AU340" s="23">
        <f t="shared" si="501"/>
        <v>0</v>
      </c>
      <c r="AV340" s="14"/>
      <c r="AW340" s="14"/>
      <c r="AX340" s="14"/>
      <c r="AY340" s="14"/>
      <c r="AZ340" s="14"/>
      <c r="BA340" s="14"/>
      <c r="BB340" s="14"/>
      <c r="BC340" s="14"/>
      <c r="BD340" s="70"/>
      <c r="BE340" s="165" t="s">
        <v>21</v>
      </c>
      <c r="BF340" s="23">
        <v>22</v>
      </c>
      <c r="BG340" s="23">
        <v>17</v>
      </c>
      <c r="BH340" s="23">
        <v>3</v>
      </c>
      <c r="BI340" s="90" t="b">
        <f t="shared" si="419"/>
        <v>1</v>
      </c>
      <c r="BJ340" s="46" t="b">
        <f t="shared" si="454"/>
        <v>0</v>
      </c>
      <c r="BK340" s="166">
        <f t="shared" si="480"/>
        <v>0</v>
      </c>
      <c r="BL340" s="175">
        <f>IF(SUM(BL$324:BL339,BK340)&gt;$BT$4,0,BK340)</f>
        <v>0</v>
      </c>
      <c r="BM340" s="23">
        <f t="shared" ref="BM340:BM365" si="502">BL340*$BJ$13</f>
        <v>0</v>
      </c>
      <c r="BN340" s="90">
        <f t="shared" ref="BN340:BN365" si="503">$BJ$14*(BL340&gt;0)</f>
        <v>0</v>
      </c>
      <c r="BO340" s="24">
        <f t="shared" si="424"/>
        <v>0</v>
      </c>
      <c r="BP340" s="349">
        <f t="shared" si="455"/>
        <v>0</v>
      </c>
      <c r="BQ340" s="171">
        <f t="shared" si="456"/>
        <v>0</v>
      </c>
      <c r="BR340" s="170">
        <f t="shared" ref="BR340:BR365" si="504">IF(BP340-(BQ340*$BR$17)&gt;0,BP340-(BQ340*$BR$17),0)</f>
        <v>0</v>
      </c>
      <c r="BS340" s="168">
        <f t="shared" si="457"/>
        <v>0</v>
      </c>
      <c r="BT340" s="171">
        <f t="shared" si="458"/>
        <v>0</v>
      </c>
      <c r="BU340" s="170">
        <f t="shared" ref="BU340:BU365" si="505">IF(BS340-(BT340*BU$17)&gt;0,BS340-(BT340*BU$17),0)</f>
        <v>0</v>
      </c>
      <c r="BV340" s="168">
        <f t="shared" si="459"/>
        <v>0</v>
      </c>
      <c r="BW340" s="171">
        <f t="shared" si="460"/>
        <v>0</v>
      </c>
      <c r="BX340" s="170">
        <f t="shared" ref="BX340:BX365" si="506">IF(BV340-(BW340*BX$17)&gt;0,BV340-(BW340*BX$17),0)</f>
        <v>0</v>
      </c>
      <c r="BY340" s="168">
        <f t="shared" si="461"/>
        <v>0</v>
      </c>
      <c r="BZ340" s="171">
        <f t="shared" si="462"/>
        <v>0</v>
      </c>
      <c r="CA340" s="170">
        <f t="shared" ref="CA340:CA365" si="507">IF(BY340-(BZ340*CA$17)&gt;0,BY340-(BZ340*CA$17),0)</f>
        <v>0</v>
      </c>
      <c r="CB340" s="90">
        <f t="shared" si="463"/>
        <v>0</v>
      </c>
      <c r="CC340" s="171">
        <f t="shared" si="464"/>
        <v>0</v>
      </c>
      <c r="CD340" s="170">
        <f t="shared" ref="CD340:CD365" si="508">IF(CB340-(CC340*CD$17)&gt;0,CB340-(CC340*CD$17),0)</f>
        <v>0</v>
      </c>
      <c r="CE340" s="90">
        <f t="shared" si="465"/>
        <v>0</v>
      </c>
      <c r="CF340" s="171">
        <f t="shared" si="466"/>
        <v>0</v>
      </c>
      <c r="CG340" s="170">
        <f t="shared" ref="CG340:CG365" si="509">IF(CE340-(CF340*CG$17)&gt;0,CE340-(CF340*CG$17),0)</f>
        <v>0</v>
      </c>
      <c r="CH340" s="90">
        <f t="shared" si="467"/>
        <v>0</v>
      </c>
      <c r="CI340" s="171">
        <f t="shared" si="468"/>
        <v>0</v>
      </c>
      <c r="CJ340" s="170">
        <f t="shared" ref="CJ340:CJ365" si="510">IF(CH340-(CI340*CJ$17)&gt;0,CH340-(CI340*CJ$17),0)</f>
        <v>0</v>
      </c>
      <c r="CK340" s="90">
        <f t="shared" si="469"/>
        <v>0</v>
      </c>
      <c r="CL340" s="171">
        <f t="shared" si="470"/>
        <v>0</v>
      </c>
      <c r="CM340" s="170">
        <f t="shared" ref="CM340:CM365" si="511">IF(CK340-(CL340*CM$17)&gt;0,CK340-(CL340*CM$17),0)</f>
        <v>0</v>
      </c>
      <c r="CN340" s="90">
        <f t="shared" si="471"/>
        <v>0</v>
      </c>
      <c r="CO340" s="171">
        <f t="shared" si="472"/>
        <v>0</v>
      </c>
      <c r="CP340" s="170">
        <f t="shared" ref="CP340:CP365" si="512">IF(CN340-(CO340*CP$17)&gt;0,CN340-(CO340*CP$17),0)</f>
        <v>0</v>
      </c>
      <c r="CQ340" s="90">
        <f t="shared" si="473"/>
        <v>0</v>
      </c>
      <c r="CR340" s="171">
        <f t="shared" si="474"/>
        <v>0</v>
      </c>
      <c r="CS340" s="170">
        <f t="shared" ref="CS340:CS365" si="513">IF(CQ340-(CR340*CS$17)&gt;0,CQ340-(CR340*CS$17),0)</f>
        <v>0</v>
      </c>
      <c r="CT340" s="90">
        <f t="shared" si="475"/>
        <v>0</v>
      </c>
      <c r="CU340" s="171">
        <f t="shared" si="476"/>
        <v>0</v>
      </c>
      <c r="CV340" s="170">
        <f t="shared" ref="CV340:CV365" si="514">IF(CT340-(CU340*CV$17)&gt;0,CT340-(CU340*CV$17),0)</f>
        <v>0</v>
      </c>
      <c r="CW340" s="90">
        <f t="shared" si="477"/>
        <v>0</v>
      </c>
      <c r="CX340" s="171">
        <f t="shared" si="478"/>
        <v>0</v>
      </c>
      <c r="CY340" s="170">
        <f t="shared" ref="CY340:CY365" si="515">IF(CW340-(CX340*CY$17)&gt;0,CW340-(CX340*CY$17),0)</f>
        <v>0</v>
      </c>
      <c r="CZ340" s="168">
        <f t="shared" ref="CZ340:CZ365" si="516">BO340</f>
        <v>0</v>
      </c>
      <c r="DA340" s="172">
        <f t="shared" si="420"/>
        <v>0</v>
      </c>
      <c r="DB340" s="173">
        <f t="shared" si="421"/>
        <v>0</v>
      </c>
      <c r="DC340" s="172">
        <f t="shared" si="479"/>
        <v>0</v>
      </c>
      <c r="DD340" s="172">
        <f t="shared" si="479"/>
        <v>0</v>
      </c>
      <c r="DE340" s="172">
        <f t="shared" si="479"/>
        <v>0</v>
      </c>
      <c r="DF340" s="172">
        <f t="shared" si="423"/>
        <v>0</v>
      </c>
      <c r="DG340" s="136"/>
      <c r="DH340" s="136"/>
      <c r="DI340" s="3"/>
      <c r="DJ340" s="8"/>
      <c r="DK340" s="8"/>
      <c r="DL340" s="8"/>
      <c r="DM340" s="8"/>
      <c r="DN340" s="8"/>
      <c r="DO340" s="8"/>
      <c r="DP340" s="8"/>
      <c r="DQ340" s="3"/>
      <c r="DR340" s="8"/>
      <c r="DS340" s="8"/>
      <c r="DT340" s="8"/>
      <c r="DU340" s="8"/>
      <c r="DV340" s="8"/>
      <c r="DW340" s="8"/>
      <c r="DX340" s="8"/>
      <c r="DY340" s="8"/>
      <c r="DZ340" s="8"/>
      <c r="EA340" s="8"/>
      <c r="EB340" s="8"/>
      <c r="EC340" s="8"/>
      <c r="ED340" s="8"/>
      <c r="EE340" s="8"/>
      <c r="EF340" s="8"/>
      <c r="EG340" s="8"/>
      <c r="EH340" s="8"/>
      <c r="EI340" s="8"/>
      <c r="EJ340" s="8"/>
      <c r="EK340" s="8"/>
      <c r="EL340" s="8"/>
      <c r="EM340" s="8"/>
      <c r="EN340" s="8"/>
      <c r="EO340" s="8"/>
      <c r="EP340" s="8"/>
      <c r="EQ340" s="8"/>
      <c r="ER340" s="8"/>
      <c r="ES340" s="8"/>
      <c r="ET340" s="8"/>
      <c r="EU340" s="8"/>
      <c r="EV340" s="8"/>
      <c r="EW340" s="8"/>
      <c r="EX340" s="8"/>
      <c r="EY340" s="8"/>
    </row>
    <row r="341" spans="1:155" s="566" customFormat="1" ht="15.75" customHeight="1">
      <c r="A341" s="197"/>
      <c r="B341" s="194" t="s">
        <v>109</v>
      </c>
      <c r="C341" s="324"/>
      <c r="D341" s="324">
        <f>$AM$346</f>
        <v>0</v>
      </c>
      <c r="E341" s="70"/>
      <c r="F341" s="70"/>
      <c r="G341" s="70"/>
      <c r="H341" s="70"/>
      <c r="I341" s="70"/>
      <c r="J341" s="70"/>
      <c r="K341" s="27"/>
      <c r="L341" s="3"/>
      <c r="M341" s="3"/>
      <c r="N341" s="14"/>
      <c r="O341" s="234" t="s">
        <v>187</v>
      </c>
      <c r="P341" s="23">
        <f t="shared" si="483"/>
        <v>31</v>
      </c>
      <c r="Q341" s="90">
        <f>'Potable Water Calculator'!$C$105/'Potable Water Calculator'!$P$346*'Potable Water Calculator'!$P341</f>
        <v>0</v>
      </c>
      <c r="R341" s="90">
        <f>'Potable Water Calculator'!$C$106/'Potable Water Calculator'!$P$346*'Potable Water Calculator'!$P341</f>
        <v>0</v>
      </c>
      <c r="S341" s="90">
        <f>'Potable Water Calculator'!$C$107/'Potable Water Calculator'!$P$346*'Potable Water Calculator'!$P341</f>
        <v>0</v>
      </c>
      <c r="T341" s="90">
        <f>'Potable Water Calculator'!$C$108/'Potable Water Calculator'!$P$346*'Potable Water Calculator'!$P341</f>
        <v>0</v>
      </c>
      <c r="U341" s="23">
        <f>('Potable Water Calculator'!P151+'Potable Water Calculator'!R151)/1000</f>
        <v>0</v>
      </c>
      <c r="V341" s="23">
        <f>'Potable Water Calculator'!S151/1000</f>
        <v>0</v>
      </c>
      <c r="W341" s="23">
        <f>V341+U341</f>
        <v>0</v>
      </c>
      <c r="X341" s="23">
        <f t="shared" si="484"/>
        <v>0</v>
      </c>
      <c r="Y341" s="23">
        <f t="shared" si="485"/>
        <v>10.634942168674712</v>
      </c>
      <c r="Z341" s="23">
        <f t="shared" si="486"/>
        <v>0</v>
      </c>
      <c r="AA341" s="23">
        <f t="shared" si="487"/>
        <v>0</v>
      </c>
      <c r="AB341" s="23">
        <f t="shared" si="488"/>
        <v>0</v>
      </c>
      <c r="AC341" s="23">
        <f t="shared" si="489"/>
        <v>0</v>
      </c>
      <c r="AD341" s="23">
        <f t="shared" si="490"/>
        <v>0</v>
      </c>
      <c r="AE341" s="23">
        <f t="shared" si="496"/>
        <v>10.634942168674712</v>
      </c>
      <c r="AF341" s="14"/>
      <c r="AG341" s="23">
        <f>'Potable Water Calculator'!$D$105/'Potable Water Calculator'!$P$346*'Potable Water Calculator'!$P341</f>
        <v>0</v>
      </c>
      <c r="AH341" s="23">
        <f>'Potable Water Calculator'!$D$106/'Potable Water Calculator'!$P$346*'Potable Water Calculator'!$P341</f>
        <v>0</v>
      </c>
      <c r="AI341" s="23">
        <f>'Potable Water Calculator'!$D$107/'Potable Water Calculator'!$P$346*'Potable Water Calculator'!$P341</f>
        <v>0</v>
      </c>
      <c r="AJ341" s="23">
        <f>'Potable Water Calculator'!$D$108/'Potable Water Calculator'!$P$346*'Potable Water Calculator'!$P341</f>
        <v>0</v>
      </c>
      <c r="AK341" s="23">
        <f>('Potable Water Calculator'!V151+'Potable Water Calculator'!X151)/1000</f>
        <v>0</v>
      </c>
      <c r="AL341" s="23">
        <f>'Potable Water Calculator'!Y151/1000</f>
        <v>0</v>
      </c>
      <c r="AM341" s="23">
        <f>AL341+AK341</f>
        <v>0</v>
      </c>
      <c r="AN341" s="23">
        <f t="shared" si="491"/>
        <v>0</v>
      </c>
      <c r="AO341" s="23">
        <f t="shared" si="492"/>
        <v>0</v>
      </c>
      <c r="AP341" s="23">
        <f t="shared" si="493"/>
        <v>0</v>
      </c>
      <c r="AQ341" s="23">
        <f t="shared" si="494"/>
        <v>0</v>
      </c>
      <c r="AR341" s="23">
        <f t="shared" si="498"/>
        <v>0</v>
      </c>
      <c r="AS341" s="23">
        <f t="shared" si="499"/>
        <v>0</v>
      </c>
      <c r="AT341" s="23">
        <f t="shared" si="500"/>
        <v>0</v>
      </c>
      <c r="AU341" s="23">
        <f t="shared" si="501"/>
        <v>0</v>
      </c>
      <c r="AV341" s="14"/>
      <c r="AW341" s="14"/>
      <c r="AX341" s="14"/>
      <c r="AY341" s="14"/>
      <c r="AZ341" s="14"/>
      <c r="BA341" s="14"/>
      <c r="BB341" s="14"/>
      <c r="BC341" s="14"/>
      <c r="BD341" s="70"/>
      <c r="BE341" s="165" t="s">
        <v>21</v>
      </c>
      <c r="BF341" s="23">
        <v>22</v>
      </c>
      <c r="BG341" s="23">
        <v>18</v>
      </c>
      <c r="BH341" s="23">
        <v>4</v>
      </c>
      <c r="BI341" s="90" t="b">
        <f t="shared" ref="BI341:BI365" si="517">BH341&lt;=5</f>
        <v>1</v>
      </c>
      <c r="BJ341" s="46" t="b">
        <f t="shared" si="454"/>
        <v>1</v>
      </c>
      <c r="BK341" s="166">
        <f t="shared" si="480"/>
        <v>7.8</v>
      </c>
      <c r="BL341" s="175">
        <f>IF(SUM(BL$324:BL340,BK341)&gt;$BT$4,0,BK341)</f>
        <v>7.8</v>
      </c>
      <c r="BM341" s="23">
        <f t="shared" si="502"/>
        <v>0</v>
      </c>
      <c r="BN341" s="90">
        <f t="shared" si="503"/>
        <v>0</v>
      </c>
      <c r="BO341" s="24">
        <f t="shared" si="424"/>
        <v>0</v>
      </c>
      <c r="BP341" s="349">
        <f t="shared" si="455"/>
        <v>0</v>
      </c>
      <c r="BQ341" s="171">
        <f t="shared" si="456"/>
        <v>0</v>
      </c>
      <c r="BR341" s="170">
        <f t="shared" si="504"/>
        <v>0</v>
      </c>
      <c r="BS341" s="168">
        <f t="shared" si="457"/>
        <v>0</v>
      </c>
      <c r="BT341" s="171">
        <f t="shared" si="458"/>
        <v>0</v>
      </c>
      <c r="BU341" s="170">
        <f t="shared" si="505"/>
        <v>0</v>
      </c>
      <c r="BV341" s="168">
        <f t="shared" si="459"/>
        <v>0</v>
      </c>
      <c r="BW341" s="171">
        <f t="shared" si="460"/>
        <v>0</v>
      </c>
      <c r="BX341" s="170">
        <f t="shared" si="506"/>
        <v>0</v>
      </c>
      <c r="BY341" s="168">
        <f t="shared" si="461"/>
        <v>0</v>
      </c>
      <c r="BZ341" s="171">
        <f t="shared" si="462"/>
        <v>0</v>
      </c>
      <c r="CA341" s="170">
        <f t="shared" si="507"/>
        <v>0</v>
      </c>
      <c r="CB341" s="90">
        <f t="shared" si="463"/>
        <v>0</v>
      </c>
      <c r="CC341" s="171">
        <f t="shared" si="464"/>
        <v>0</v>
      </c>
      <c r="CD341" s="170">
        <f t="shared" si="508"/>
        <v>0</v>
      </c>
      <c r="CE341" s="90">
        <f t="shared" si="465"/>
        <v>0</v>
      </c>
      <c r="CF341" s="171">
        <f t="shared" si="466"/>
        <v>0</v>
      </c>
      <c r="CG341" s="170">
        <f t="shared" si="509"/>
        <v>0</v>
      </c>
      <c r="CH341" s="90">
        <f t="shared" si="467"/>
        <v>0</v>
      </c>
      <c r="CI341" s="171">
        <f t="shared" si="468"/>
        <v>0</v>
      </c>
      <c r="CJ341" s="170">
        <f t="shared" si="510"/>
        <v>0</v>
      </c>
      <c r="CK341" s="90">
        <f t="shared" si="469"/>
        <v>0</v>
      </c>
      <c r="CL341" s="171">
        <f t="shared" si="470"/>
        <v>0</v>
      </c>
      <c r="CM341" s="170">
        <f t="shared" si="511"/>
        <v>0</v>
      </c>
      <c r="CN341" s="90">
        <f t="shared" si="471"/>
        <v>0</v>
      </c>
      <c r="CO341" s="171">
        <f t="shared" si="472"/>
        <v>0</v>
      </c>
      <c r="CP341" s="170">
        <f t="shared" si="512"/>
        <v>0</v>
      </c>
      <c r="CQ341" s="90">
        <f t="shared" si="473"/>
        <v>0</v>
      </c>
      <c r="CR341" s="171">
        <f t="shared" si="474"/>
        <v>0</v>
      </c>
      <c r="CS341" s="170">
        <f t="shared" si="513"/>
        <v>0</v>
      </c>
      <c r="CT341" s="90">
        <f t="shared" si="475"/>
        <v>0</v>
      </c>
      <c r="CU341" s="171">
        <f t="shared" si="476"/>
        <v>0</v>
      </c>
      <c r="CV341" s="170">
        <f t="shared" si="514"/>
        <v>0</v>
      </c>
      <c r="CW341" s="90">
        <f t="shared" si="477"/>
        <v>0</v>
      </c>
      <c r="CX341" s="171">
        <f t="shared" si="478"/>
        <v>0</v>
      </c>
      <c r="CY341" s="170">
        <f t="shared" si="515"/>
        <v>0</v>
      </c>
      <c r="CZ341" s="168">
        <f t="shared" si="516"/>
        <v>0</v>
      </c>
      <c r="DA341" s="172">
        <f t="shared" ref="DA341:DA365" si="518">BR341+BU341+BX341+CA341+CD341+CG341+CJ341+CM341+CP341+CS341+CV341+CY341</f>
        <v>0</v>
      </c>
      <c r="DB341" s="173">
        <f t="shared" ref="DB341:DB365" si="519">CZ341-DA341</f>
        <v>0</v>
      </c>
      <c r="DC341" s="172">
        <f t="shared" ref="DC341:DE356" si="520">IF(DC340+$DB341&lt;0,0,IF(DC340+$DB341&gt;$F$405,$F$405,DC340+$DB341))</f>
        <v>0</v>
      </c>
      <c r="DD341" s="172">
        <f t="shared" si="520"/>
        <v>0</v>
      </c>
      <c r="DE341" s="172">
        <f t="shared" si="520"/>
        <v>0</v>
      </c>
      <c r="DF341" s="172">
        <f t="shared" si="423"/>
        <v>0</v>
      </c>
      <c r="DG341" s="1"/>
      <c r="DH341" s="1"/>
      <c r="DI341" s="3"/>
      <c r="DJ341" s="8"/>
      <c r="DK341" s="8"/>
      <c r="DL341" s="8"/>
      <c r="DM341" s="8"/>
      <c r="DN341" s="8"/>
      <c r="DO341" s="8"/>
      <c r="DP341" s="8"/>
      <c r="DQ341" s="3"/>
      <c r="DR341" s="8"/>
      <c r="DS341" s="8"/>
      <c r="DT341" s="8"/>
      <c r="DU341" s="8"/>
      <c r="DV341" s="8"/>
      <c r="DW341" s="8"/>
      <c r="DX341" s="8"/>
      <c r="DY341" s="8"/>
      <c r="DZ341" s="8"/>
      <c r="EA341" s="8"/>
      <c r="EB341" s="8"/>
      <c r="EC341" s="8"/>
      <c r="ED341" s="8"/>
      <c r="EE341" s="8"/>
      <c r="EF341" s="8"/>
      <c r="EG341" s="8"/>
      <c r="EH341" s="8"/>
      <c r="EI341" s="8"/>
      <c r="EJ341" s="8"/>
      <c r="EK341" s="8"/>
      <c r="EL341" s="8"/>
      <c r="EM341" s="8"/>
      <c r="EN341" s="8"/>
      <c r="EO341" s="8"/>
      <c r="EP341" s="8"/>
      <c r="EQ341" s="8"/>
      <c r="ER341" s="8"/>
      <c r="ES341" s="8"/>
      <c r="ET341" s="8"/>
      <c r="EU341" s="8"/>
      <c r="EV341" s="8"/>
      <c r="EW341" s="8"/>
      <c r="EX341" s="8"/>
      <c r="EY341" s="8"/>
    </row>
    <row r="342" spans="1:155" s="566" customFormat="1" ht="15.75" customHeight="1">
      <c r="A342" s="197"/>
      <c r="B342" s="194" t="s">
        <v>76</v>
      </c>
      <c r="C342" s="324"/>
      <c r="D342" s="324">
        <f>$AN$346</f>
        <v>0</v>
      </c>
      <c r="E342" s="70"/>
      <c r="F342" s="70"/>
      <c r="G342" s="70"/>
      <c r="H342" s="70"/>
      <c r="I342" s="70"/>
      <c r="J342" s="70"/>
      <c r="K342" s="27"/>
      <c r="L342" s="3"/>
      <c r="M342" s="3"/>
      <c r="N342" s="14"/>
      <c r="O342" s="234" t="s">
        <v>188</v>
      </c>
      <c r="P342" s="23">
        <f t="shared" si="483"/>
        <v>30</v>
      </c>
      <c r="Q342" s="90">
        <f>'Potable Water Calculator'!$C$105/'Potable Water Calculator'!$P$346*'Potable Water Calculator'!$P342</f>
        <v>0</v>
      </c>
      <c r="R342" s="90">
        <f>'Potable Water Calculator'!$C$106/'Potable Water Calculator'!$P$346*'Potable Water Calculator'!$P342</f>
        <v>0</v>
      </c>
      <c r="S342" s="90">
        <f>'Potable Water Calculator'!$C$107/'Potable Water Calculator'!$P$346*'Potable Water Calculator'!$P342</f>
        <v>0</v>
      </c>
      <c r="T342" s="90">
        <f>'Potable Water Calculator'!$C$108/'Potable Water Calculator'!$P$346*'Potable Water Calculator'!$P342</f>
        <v>0</v>
      </c>
      <c r="U342" s="23">
        <f>('Potable Water Calculator'!P152+'Potable Water Calculator'!R152)/1000</f>
        <v>0</v>
      </c>
      <c r="V342" s="23">
        <f>'Potable Water Calculator'!S152/1000</f>
        <v>0</v>
      </c>
      <c r="W342" s="23">
        <f>V342+U342</f>
        <v>0</v>
      </c>
      <c r="X342" s="23">
        <f t="shared" si="484"/>
        <v>0</v>
      </c>
      <c r="Y342" s="23">
        <f t="shared" si="485"/>
        <v>13.692873417721515</v>
      </c>
      <c r="Z342" s="23">
        <f t="shared" si="486"/>
        <v>0</v>
      </c>
      <c r="AA342" s="23">
        <f t="shared" si="487"/>
        <v>0</v>
      </c>
      <c r="AB342" s="23">
        <f t="shared" si="488"/>
        <v>0</v>
      </c>
      <c r="AC342" s="23">
        <f t="shared" si="489"/>
        <v>0</v>
      </c>
      <c r="AD342" s="23">
        <f t="shared" si="490"/>
        <v>0</v>
      </c>
      <c r="AE342" s="23">
        <f t="shared" si="496"/>
        <v>13.692873417721515</v>
      </c>
      <c r="AF342" s="14"/>
      <c r="AG342" s="23">
        <f>'Potable Water Calculator'!$D$105/'Potable Water Calculator'!$P$346*'Potable Water Calculator'!$P342</f>
        <v>0</v>
      </c>
      <c r="AH342" s="23">
        <f>'Potable Water Calculator'!$D$106/'Potable Water Calculator'!$P$346*'Potable Water Calculator'!$P342</f>
        <v>0</v>
      </c>
      <c r="AI342" s="23">
        <f>'Potable Water Calculator'!$D$107/'Potable Water Calculator'!$P$346*'Potable Water Calculator'!$P342</f>
        <v>0</v>
      </c>
      <c r="AJ342" s="23">
        <f>'Potable Water Calculator'!$D$108/'Potable Water Calculator'!$P$346*'Potable Water Calculator'!$P342</f>
        <v>0</v>
      </c>
      <c r="AK342" s="23">
        <f>('Potable Water Calculator'!V152+'Potable Water Calculator'!X152)/1000</f>
        <v>0</v>
      </c>
      <c r="AL342" s="23">
        <f>'Potable Water Calculator'!Y152/1000</f>
        <v>0</v>
      </c>
      <c r="AM342" s="23">
        <f>AL342+AK342</f>
        <v>0</v>
      </c>
      <c r="AN342" s="23">
        <f t="shared" si="491"/>
        <v>0</v>
      </c>
      <c r="AO342" s="23">
        <f t="shared" si="492"/>
        <v>0</v>
      </c>
      <c r="AP342" s="23">
        <f t="shared" si="493"/>
        <v>0</v>
      </c>
      <c r="AQ342" s="23">
        <f t="shared" si="494"/>
        <v>0</v>
      </c>
      <c r="AR342" s="23">
        <f t="shared" si="498"/>
        <v>0</v>
      </c>
      <c r="AS342" s="23">
        <f t="shared" si="499"/>
        <v>0</v>
      </c>
      <c r="AT342" s="23">
        <f t="shared" si="500"/>
        <v>0</v>
      </c>
      <c r="AU342" s="23">
        <f t="shared" si="501"/>
        <v>0</v>
      </c>
      <c r="AV342" s="14"/>
      <c r="AW342" s="14"/>
      <c r="AX342" s="14"/>
      <c r="AY342" s="14"/>
      <c r="AZ342" s="14"/>
      <c r="BA342" s="14"/>
      <c r="BB342" s="14"/>
      <c r="BC342" s="14"/>
      <c r="BD342" s="70"/>
      <c r="BE342" s="165" t="s">
        <v>21</v>
      </c>
      <c r="BF342" s="23">
        <v>22</v>
      </c>
      <c r="BG342" s="23">
        <v>19</v>
      </c>
      <c r="BH342" s="23">
        <v>5</v>
      </c>
      <c r="BI342" s="90" t="b">
        <f t="shared" si="517"/>
        <v>1</v>
      </c>
      <c r="BJ342" s="46" t="b">
        <f t="shared" si="454"/>
        <v>0</v>
      </c>
      <c r="BK342" s="166">
        <f t="shared" si="480"/>
        <v>0</v>
      </c>
      <c r="BL342" s="175">
        <f>IF(SUM(BL$324:BL341,BK342)&gt;$BT$4,0,BK342)</f>
        <v>0</v>
      </c>
      <c r="BM342" s="23">
        <f t="shared" si="502"/>
        <v>0</v>
      </c>
      <c r="BN342" s="90">
        <f t="shared" si="503"/>
        <v>0</v>
      </c>
      <c r="BO342" s="24">
        <f t="shared" si="424"/>
        <v>0</v>
      </c>
      <c r="BP342" s="349">
        <f t="shared" si="455"/>
        <v>0</v>
      </c>
      <c r="BQ342" s="171">
        <f t="shared" si="456"/>
        <v>0</v>
      </c>
      <c r="BR342" s="170">
        <f t="shared" si="504"/>
        <v>0</v>
      </c>
      <c r="BS342" s="168">
        <f t="shared" si="457"/>
        <v>0</v>
      </c>
      <c r="BT342" s="171">
        <f t="shared" si="458"/>
        <v>0</v>
      </c>
      <c r="BU342" s="170">
        <f t="shared" si="505"/>
        <v>0</v>
      </c>
      <c r="BV342" s="168">
        <f t="shared" si="459"/>
        <v>0</v>
      </c>
      <c r="BW342" s="171">
        <f t="shared" si="460"/>
        <v>0</v>
      </c>
      <c r="BX342" s="170">
        <f t="shared" si="506"/>
        <v>0</v>
      </c>
      <c r="BY342" s="168">
        <f t="shared" si="461"/>
        <v>0</v>
      </c>
      <c r="BZ342" s="171">
        <f t="shared" si="462"/>
        <v>0</v>
      </c>
      <c r="CA342" s="170">
        <f t="shared" si="507"/>
        <v>0</v>
      </c>
      <c r="CB342" s="90">
        <f t="shared" si="463"/>
        <v>0</v>
      </c>
      <c r="CC342" s="171">
        <f t="shared" si="464"/>
        <v>0</v>
      </c>
      <c r="CD342" s="170">
        <f t="shared" si="508"/>
        <v>0</v>
      </c>
      <c r="CE342" s="90">
        <f t="shared" si="465"/>
        <v>0</v>
      </c>
      <c r="CF342" s="171">
        <f t="shared" si="466"/>
        <v>0</v>
      </c>
      <c r="CG342" s="170">
        <f t="shared" si="509"/>
        <v>0</v>
      </c>
      <c r="CH342" s="90">
        <f t="shared" si="467"/>
        <v>0</v>
      </c>
      <c r="CI342" s="171">
        <f t="shared" si="468"/>
        <v>0</v>
      </c>
      <c r="CJ342" s="170">
        <f t="shared" si="510"/>
        <v>0</v>
      </c>
      <c r="CK342" s="90">
        <f t="shared" si="469"/>
        <v>0</v>
      </c>
      <c r="CL342" s="171">
        <f t="shared" si="470"/>
        <v>0</v>
      </c>
      <c r="CM342" s="170">
        <f t="shared" si="511"/>
        <v>0</v>
      </c>
      <c r="CN342" s="90">
        <f t="shared" si="471"/>
        <v>0</v>
      </c>
      <c r="CO342" s="171">
        <f t="shared" si="472"/>
        <v>0</v>
      </c>
      <c r="CP342" s="170">
        <f t="shared" si="512"/>
        <v>0</v>
      </c>
      <c r="CQ342" s="90">
        <f t="shared" si="473"/>
        <v>0</v>
      </c>
      <c r="CR342" s="171">
        <f t="shared" si="474"/>
        <v>0</v>
      </c>
      <c r="CS342" s="170">
        <f t="shared" si="513"/>
        <v>0</v>
      </c>
      <c r="CT342" s="90">
        <f t="shared" si="475"/>
        <v>0</v>
      </c>
      <c r="CU342" s="171">
        <f t="shared" si="476"/>
        <v>0</v>
      </c>
      <c r="CV342" s="170">
        <f t="shared" si="514"/>
        <v>0</v>
      </c>
      <c r="CW342" s="90">
        <f t="shared" si="477"/>
        <v>0</v>
      </c>
      <c r="CX342" s="171">
        <f t="shared" si="478"/>
        <v>0</v>
      </c>
      <c r="CY342" s="170">
        <f t="shared" si="515"/>
        <v>0</v>
      </c>
      <c r="CZ342" s="168">
        <f t="shared" si="516"/>
        <v>0</v>
      </c>
      <c r="DA342" s="172">
        <f t="shared" si="518"/>
        <v>0</v>
      </c>
      <c r="DB342" s="173">
        <f t="shared" si="519"/>
        <v>0</v>
      </c>
      <c r="DC342" s="172">
        <f t="shared" si="520"/>
        <v>0</v>
      </c>
      <c r="DD342" s="172">
        <f t="shared" si="520"/>
        <v>0</v>
      </c>
      <c r="DE342" s="172">
        <f t="shared" si="520"/>
        <v>0</v>
      </c>
      <c r="DF342" s="172">
        <f t="shared" ref="DF342:DF365" si="521">IF(DA342-(DE341+CZ342)&lt;0,0,DA342-(DE341+CZ342))</f>
        <v>0</v>
      </c>
      <c r="DG342" s="1"/>
      <c r="DH342" s="1"/>
      <c r="DI342" s="3"/>
      <c r="DJ342" s="8"/>
      <c r="DK342" s="8"/>
      <c r="DL342" s="8"/>
      <c r="DM342" s="8"/>
      <c r="DN342" s="8"/>
      <c r="DO342" s="8"/>
      <c r="DP342" s="8"/>
      <c r="DQ342" s="3"/>
      <c r="DR342" s="8"/>
      <c r="DS342" s="8"/>
      <c r="DT342" s="8"/>
      <c r="DU342" s="8"/>
      <c r="DV342" s="8"/>
      <c r="DW342" s="8"/>
      <c r="DX342" s="8"/>
      <c r="DY342" s="8"/>
      <c r="DZ342" s="8"/>
      <c r="EA342" s="8"/>
      <c r="EB342" s="8"/>
      <c r="EC342" s="8"/>
      <c r="ED342" s="8"/>
      <c r="EE342" s="8"/>
      <c r="EF342" s="8"/>
      <c r="EG342" s="8"/>
      <c r="EH342" s="8"/>
      <c r="EI342" s="8"/>
      <c r="EJ342" s="8"/>
      <c r="EK342" s="8"/>
      <c r="EL342" s="8"/>
      <c r="EM342" s="8"/>
      <c r="EN342" s="8"/>
      <c r="EO342" s="8"/>
      <c r="EP342" s="8"/>
      <c r="EQ342" s="8"/>
      <c r="ER342" s="8"/>
      <c r="ES342" s="8"/>
      <c r="ET342" s="8"/>
      <c r="EU342" s="8"/>
      <c r="EV342" s="8"/>
      <c r="EW342" s="8"/>
      <c r="EX342" s="8"/>
      <c r="EY342" s="8"/>
    </row>
    <row r="343" spans="1:155" s="566" customFormat="1" ht="15.75" customHeight="1">
      <c r="A343" s="197"/>
      <c r="B343" s="194" t="s">
        <v>557</v>
      </c>
      <c r="C343" s="324"/>
      <c r="D343" s="324">
        <f>$AO$346</f>
        <v>0</v>
      </c>
      <c r="E343" s="70"/>
      <c r="F343" s="70"/>
      <c r="G343" s="70"/>
      <c r="H343" s="70"/>
      <c r="I343" s="70"/>
      <c r="J343" s="70"/>
      <c r="K343" s="27"/>
      <c r="L343" s="3"/>
      <c r="M343" s="3"/>
      <c r="N343" s="14"/>
      <c r="O343" s="234" t="s">
        <v>189</v>
      </c>
      <c r="P343" s="23">
        <f t="shared" si="483"/>
        <v>31</v>
      </c>
      <c r="Q343" s="90">
        <f>'Potable Water Calculator'!$C$105/'Potable Water Calculator'!$P$346*'Potable Water Calculator'!$P343</f>
        <v>0</v>
      </c>
      <c r="R343" s="90">
        <f>'Potable Water Calculator'!$C$106/'Potable Water Calculator'!$P$346*'Potable Water Calculator'!$P343</f>
        <v>0</v>
      </c>
      <c r="S343" s="90">
        <f>'Potable Water Calculator'!$C$107/'Potable Water Calculator'!$P$346*'Potable Water Calculator'!$P343</f>
        <v>0</v>
      </c>
      <c r="T343" s="90">
        <f>'Potable Water Calculator'!$C$108/'Potable Water Calculator'!$P$346*'Potable Water Calculator'!$P343</f>
        <v>0</v>
      </c>
      <c r="U343" s="23">
        <f>('Potable Water Calculator'!P153+'Potable Water Calculator'!R153)/1000</f>
        <v>0</v>
      </c>
      <c r="V343" s="23">
        <f>'Potable Water Calculator'!S153/1000</f>
        <v>0</v>
      </c>
      <c r="W343" s="23">
        <f>V343+U343</f>
        <v>0</v>
      </c>
      <c r="X343" s="23">
        <f t="shared" si="484"/>
        <v>0</v>
      </c>
      <c r="Y343" s="23">
        <f t="shared" si="485"/>
        <v>14.710320000000003</v>
      </c>
      <c r="Z343" s="23">
        <f t="shared" si="486"/>
        <v>0</v>
      </c>
      <c r="AA343" s="23">
        <f t="shared" si="487"/>
        <v>0</v>
      </c>
      <c r="AB343" s="23">
        <f t="shared" si="488"/>
        <v>0</v>
      </c>
      <c r="AC343" s="23">
        <f t="shared" si="489"/>
        <v>0</v>
      </c>
      <c r="AD343" s="23">
        <f t="shared" si="490"/>
        <v>0</v>
      </c>
      <c r="AE343" s="23">
        <f t="shared" si="496"/>
        <v>14.710320000000003</v>
      </c>
      <c r="AF343" s="14"/>
      <c r="AG343" s="23">
        <f>'Potable Water Calculator'!$D$105/'Potable Water Calculator'!$P$346*'Potable Water Calculator'!$P343</f>
        <v>0</v>
      </c>
      <c r="AH343" s="23">
        <f>'Potable Water Calculator'!$D$106/'Potable Water Calculator'!$P$346*'Potable Water Calculator'!$P343</f>
        <v>0</v>
      </c>
      <c r="AI343" s="23">
        <f>'Potable Water Calculator'!$D$107/'Potable Water Calculator'!$P$346*'Potable Water Calculator'!$P343</f>
        <v>0</v>
      </c>
      <c r="AJ343" s="23">
        <f>'Potable Water Calculator'!$D$108/'Potable Water Calculator'!$P$346*'Potable Water Calculator'!$P343</f>
        <v>0</v>
      </c>
      <c r="AK343" s="23">
        <f>('Potable Water Calculator'!V153+'Potable Water Calculator'!X153)/1000</f>
        <v>0</v>
      </c>
      <c r="AL343" s="23">
        <f>'Potable Water Calculator'!Y153/1000</f>
        <v>0</v>
      </c>
      <c r="AM343" s="23">
        <f>AL343+AK343</f>
        <v>0</v>
      </c>
      <c r="AN343" s="23">
        <f t="shared" si="491"/>
        <v>0</v>
      </c>
      <c r="AO343" s="23">
        <f t="shared" si="492"/>
        <v>0</v>
      </c>
      <c r="AP343" s="23">
        <f t="shared" si="493"/>
        <v>0</v>
      </c>
      <c r="AQ343" s="23">
        <f t="shared" si="494"/>
        <v>0</v>
      </c>
      <c r="AR343" s="23">
        <f t="shared" si="498"/>
        <v>0</v>
      </c>
      <c r="AS343" s="23">
        <f t="shared" si="499"/>
        <v>0</v>
      </c>
      <c r="AT343" s="23">
        <f t="shared" si="500"/>
        <v>0</v>
      </c>
      <c r="AU343" s="23">
        <f t="shared" si="501"/>
        <v>0</v>
      </c>
      <c r="AV343" s="14"/>
      <c r="AW343" s="14"/>
      <c r="AX343" s="14"/>
      <c r="AY343" s="14"/>
      <c r="AZ343" s="14"/>
      <c r="BA343" s="14"/>
      <c r="BB343" s="14"/>
      <c r="BC343" s="14"/>
      <c r="BD343" s="70"/>
      <c r="BE343" s="165" t="s">
        <v>21</v>
      </c>
      <c r="BF343" s="23">
        <v>22</v>
      </c>
      <c r="BG343" s="23">
        <v>20</v>
      </c>
      <c r="BH343" s="23">
        <v>6</v>
      </c>
      <c r="BI343" s="90" t="b">
        <f t="shared" si="517"/>
        <v>0</v>
      </c>
      <c r="BJ343" s="46" t="b">
        <f t="shared" si="454"/>
        <v>1</v>
      </c>
      <c r="BK343" s="166">
        <f t="shared" si="480"/>
        <v>7.8</v>
      </c>
      <c r="BL343" s="175">
        <f>IF(SUM(BL$324:BL342,BK343)&gt;$BT$4,0,BK343)</f>
        <v>7.8</v>
      </c>
      <c r="BM343" s="23">
        <f t="shared" si="502"/>
        <v>0</v>
      </c>
      <c r="BN343" s="90">
        <f t="shared" si="503"/>
        <v>0</v>
      </c>
      <c r="BO343" s="24">
        <f t="shared" si="424"/>
        <v>0</v>
      </c>
      <c r="BP343" s="349">
        <f t="shared" si="455"/>
        <v>0</v>
      </c>
      <c r="BQ343" s="171">
        <f t="shared" si="456"/>
        <v>0</v>
      </c>
      <c r="BR343" s="170">
        <f t="shared" si="504"/>
        <v>0</v>
      </c>
      <c r="BS343" s="168">
        <f t="shared" si="457"/>
        <v>0</v>
      </c>
      <c r="BT343" s="171">
        <f t="shared" si="458"/>
        <v>0</v>
      </c>
      <c r="BU343" s="170">
        <f t="shared" si="505"/>
        <v>0</v>
      </c>
      <c r="BV343" s="168">
        <f t="shared" si="459"/>
        <v>0</v>
      </c>
      <c r="BW343" s="171">
        <f t="shared" si="460"/>
        <v>0</v>
      </c>
      <c r="BX343" s="170">
        <f t="shared" si="506"/>
        <v>0</v>
      </c>
      <c r="BY343" s="168">
        <f t="shared" si="461"/>
        <v>0</v>
      </c>
      <c r="BZ343" s="171">
        <f t="shared" si="462"/>
        <v>0</v>
      </c>
      <c r="CA343" s="170">
        <f t="shared" si="507"/>
        <v>0</v>
      </c>
      <c r="CB343" s="90">
        <f t="shared" si="463"/>
        <v>0</v>
      </c>
      <c r="CC343" s="171">
        <f t="shared" si="464"/>
        <v>0</v>
      </c>
      <c r="CD343" s="170">
        <f t="shared" si="508"/>
        <v>0</v>
      </c>
      <c r="CE343" s="90">
        <f t="shared" si="465"/>
        <v>0</v>
      </c>
      <c r="CF343" s="171">
        <f t="shared" si="466"/>
        <v>0</v>
      </c>
      <c r="CG343" s="170">
        <f t="shared" si="509"/>
        <v>0</v>
      </c>
      <c r="CH343" s="90">
        <f t="shared" si="467"/>
        <v>0</v>
      </c>
      <c r="CI343" s="171">
        <f t="shared" si="468"/>
        <v>0</v>
      </c>
      <c r="CJ343" s="170">
        <f t="shared" si="510"/>
        <v>0</v>
      </c>
      <c r="CK343" s="90">
        <f t="shared" si="469"/>
        <v>0</v>
      </c>
      <c r="CL343" s="171">
        <f t="shared" si="470"/>
        <v>0</v>
      </c>
      <c r="CM343" s="170">
        <f t="shared" si="511"/>
        <v>0</v>
      </c>
      <c r="CN343" s="90">
        <f t="shared" si="471"/>
        <v>0</v>
      </c>
      <c r="CO343" s="171">
        <f t="shared" si="472"/>
        <v>0</v>
      </c>
      <c r="CP343" s="170">
        <f t="shared" si="512"/>
        <v>0</v>
      </c>
      <c r="CQ343" s="90">
        <f t="shared" si="473"/>
        <v>0</v>
      </c>
      <c r="CR343" s="171">
        <f t="shared" si="474"/>
        <v>0</v>
      </c>
      <c r="CS343" s="170">
        <f t="shared" si="513"/>
        <v>0</v>
      </c>
      <c r="CT343" s="90">
        <f t="shared" si="475"/>
        <v>0</v>
      </c>
      <c r="CU343" s="171">
        <f t="shared" si="476"/>
        <v>0</v>
      </c>
      <c r="CV343" s="170">
        <f t="shared" si="514"/>
        <v>0</v>
      </c>
      <c r="CW343" s="90">
        <f t="shared" si="477"/>
        <v>0</v>
      </c>
      <c r="CX343" s="171">
        <f t="shared" si="478"/>
        <v>0</v>
      </c>
      <c r="CY343" s="170">
        <f t="shared" si="515"/>
        <v>0</v>
      </c>
      <c r="CZ343" s="168">
        <f t="shared" si="516"/>
        <v>0</v>
      </c>
      <c r="DA343" s="172">
        <f t="shared" si="518"/>
        <v>0</v>
      </c>
      <c r="DB343" s="173">
        <f t="shared" si="519"/>
        <v>0</v>
      </c>
      <c r="DC343" s="172">
        <f t="shared" si="520"/>
        <v>0</v>
      </c>
      <c r="DD343" s="172">
        <f t="shared" si="520"/>
        <v>0</v>
      </c>
      <c r="DE343" s="172">
        <f t="shared" si="520"/>
        <v>0</v>
      </c>
      <c r="DF343" s="172">
        <f t="shared" si="521"/>
        <v>0</v>
      </c>
      <c r="DG343" s="1"/>
      <c r="DH343" s="1"/>
      <c r="DI343" s="3"/>
      <c r="DJ343" s="8"/>
      <c r="DK343" s="8"/>
      <c r="DL343" s="8"/>
      <c r="DM343" s="8"/>
      <c r="DN343" s="8"/>
      <c r="DO343" s="8"/>
      <c r="DP343" s="8"/>
      <c r="DQ343" s="3"/>
      <c r="DR343" s="8"/>
      <c r="DS343" s="8"/>
      <c r="DT343" s="8"/>
      <c r="DU343" s="8"/>
      <c r="DV343" s="8"/>
      <c r="DW343" s="8"/>
      <c r="DX343" s="8"/>
      <c r="DY343" s="8"/>
      <c r="DZ343" s="8"/>
      <c r="EA343" s="8"/>
      <c r="EB343" s="8"/>
      <c r="EC343" s="8"/>
      <c r="ED343" s="8"/>
      <c r="EE343" s="8"/>
      <c r="EF343" s="8"/>
      <c r="EG343" s="8"/>
      <c r="EH343" s="8"/>
      <c r="EI343" s="8"/>
      <c r="EJ343" s="8"/>
      <c r="EK343" s="8"/>
      <c r="EL343" s="8"/>
      <c r="EM343" s="8"/>
      <c r="EN343" s="8"/>
      <c r="EO343" s="8"/>
      <c r="EP343" s="8"/>
      <c r="EQ343" s="8"/>
      <c r="ER343" s="8"/>
      <c r="ES343" s="8"/>
      <c r="ET343" s="8"/>
      <c r="EU343" s="8"/>
      <c r="EV343" s="8"/>
      <c r="EW343" s="8"/>
      <c r="EX343" s="8"/>
      <c r="EY343" s="8"/>
    </row>
    <row r="344" spans="1:155" s="566" customFormat="1" ht="15.75" customHeight="1">
      <c r="A344" s="197"/>
      <c r="B344" s="194" t="s">
        <v>555</v>
      </c>
      <c r="C344" s="324"/>
      <c r="D344" s="324">
        <f>$AP$346</f>
        <v>0</v>
      </c>
      <c r="E344" s="70"/>
      <c r="F344" s="70"/>
      <c r="G344" s="70"/>
      <c r="H344" s="70"/>
      <c r="I344" s="70"/>
      <c r="J344" s="70"/>
      <c r="K344" s="27"/>
      <c r="L344" s="3"/>
      <c r="M344" s="3"/>
      <c r="N344" s="14"/>
      <c r="O344" s="234" t="s">
        <v>190</v>
      </c>
      <c r="P344" s="23">
        <f t="shared" si="483"/>
        <v>30</v>
      </c>
      <c r="Q344" s="90">
        <f>'Potable Water Calculator'!$C$105/'Potable Water Calculator'!$P$346*'Potable Water Calculator'!$P344</f>
        <v>0</v>
      </c>
      <c r="R344" s="90">
        <f>'Potable Water Calculator'!$C$106/'Potable Water Calculator'!$P$346*'Potable Water Calculator'!$P344</f>
        <v>0</v>
      </c>
      <c r="S344" s="90">
        <f>'Potable Water Calculator'!$C$107/'Potable Water Calculator'!$P$346*'Potable Water Calculator'!$P344</f>
        <v>0</v>
      </c>
      <c r="T344" s="90">
        <f>'Potable Water Calculator'!$C$108/'Potable Water Calculator'!$P$346*'Potable Water Calculator'!$P344</f>
        <v>0</v>
      </c>
      <c r="U344" s="23">
        <f>('Potable Water Calculator'!P154+'Potable Water Calculator'!R154)/1000</f>
        <v>0</v>
      </c>
      <c r="V344" s="23">
        <f>'Potable Water Calculator'!S154/1000</f>
        <v>0</v>
      </c>
      <c r="W344" s="23">
        <f>V344+U344</f>
        <v>0</v>
      </c>
      <c r="X344" s="23">
        <f t="shared" si="484"/>
        <v>0</v>
      </c>
      <c r="Y344" s="23">
        <f t="shared" si="485"/>
        <v>14.256720000000001</v>
      </c>
      <c r="Z344" s="23">
        <f t="shared" si="486"/>
        <v>0</v>
      </c>
      <c r="AA344" s="23">
        <f t="shared" si="487"/>
        <v>0</v>
      </c>
      <c r="AB344" s="23">
        <f t="shared" si="488"/>
        <v>0</v>
      </c>
      <c r="AC344" s="23">
        <f t="shared" si="489"/>
        <v>0</v>
      </c>
      <c r="AD344" s="23">
        <f t="shared" si="490"/>
        <v>0</v>
      </c>
      <c r="AE344" s="23">
        <f t="shared" si="496"/>
        <v>14.256720000000001</v>
      </c>
      <c r="AF344" s="14"/>
      <c r="AG344" s="23">
        <f>'Potable Water Calculator'!$D$105/'Potable Water Calculator'!$P$346*'Potable Water Calculator'!$P344</f>
        <v>0</v>
      </c>
      <c r="AH344" s="23">
        <f>'Potable Water Calculator'!$D$106/'Potable Water Calculator'!$P$346*'Potable Water Calculator'!$P344</f>
        <v>0</v>
      </c>
      <c r="AI344" s="23">
        <f>'Potable Water Calculator'!$D$107/'Potable Water Calculator'!$P$346*'Potable Water Calculator'!$P344</f>
        <v>0</v>
      </c>
      <c r="AJ344" s="23">
        <f>'Potable Water Calculator'!$D$108/'Potable Water Calculator'!$P$346*'Potable Water Calculator'!$P344</f>
        <v>0</v>
      </c>
      <c r="AK344" s="23">
        <f>('Potable Water Calculator'!V154+'Potable Water Calculator'!X154)/1000</f>
        <v>0</v>
      </c>
      <c r="AL344" s="23">
        <f>'Potable Water Calculator'!Y154/1000</f>
        <v>0</v>
      </c>
      <c r="AM344" s="23">
        <f>AL344+AK344</f>
        <v>0</v>
      </c>
      <c r="AN344" s="23">
        <f t="shared" si="491"/>
        <v>0</v>
      </c>
      <c r="AO344" s="23">
        <f t="shared" si="492"/>
        <v>0</v>
      </c>
      <c r="AP344" s="23">
        <f t="shared" si="493"/>
        <v>0</v>
      </c>
      <c r="AQ344" s="23">
        <f t="shared" si="494"/>
        <v>0</v>
      </c>
      <c r="AR344" s="23">
        <f t="shared" si="498"/>
        <v>0</v>
      </c>
      <c r="AS344" s="23">
        <f t="shared" si="499"/>
        <v>0</v>
      </c>
      <c r="AT344" s="23">
        <f t="shared" si="500"/>
        <v>0</v>
      </c>
      <c r="AU344" s="23">
        <f t="shared" si="501"/>
        <v>0</v>
      </c>
      <c r="AV344" s="14"/>
      <c r="AW344" s="14"/>
      <c r="AX344" s="14"/>
      <c r="AY344" s="14"/>
      <c r="AZ344" s="14"/>
      <c r="BA344" s="14"/>
      <c r="BB344" s="14"/>
      <c r="BC344" s="14"/>
      <c r="BD344" s="70"/>
      <c r="BE344" s="165" t="s">
        <v>21</v>
      </c>
      <c r="BF344" s="23">
        <v>22</v>
      </c>
      <c r="BG344" s="23">
        <v>21</v>
      </c>
      <c r="BH344" s="23">
        <v>7</v>
      </c>
      <c r="BI344" s="90" t="b">
        <f t="shared" si="517"/>
        <v>0</v>
      </c>
      <c r="BJ344" s="46" t="b">
        <f t="shared" si="454"/>
        <v>0</v>
      </c>
      <c r="BK344" s="166">
        <f t="shared" si="480"/>
        <v>0</v>
      </c>
      <c r="BL344" s="175">
        <f>IF(SUM(BL$324:BL343,BK344)&gt;$BT$4,0,BK344)</f>
        <v>0</v>
      </c>
      <c r="BM344" s="23">
        <f t="shared" si="502"/>
        <v>0</v>
      </c>
      <c r="BN344" s="90">
        <f t="shared" si="503"/>
        <v>0</v>
      </c>
      <c r="BO344" s="24">
        <f t="shared" si="424"/>
        <v>0</v>
      </c>
      <c r="BP344" s="349">
        <f t="shared" si="455"/>
        <v>0</v>
      </c>
      <c r="BQ344" s="171">
        <f t="shared" si="456"/>
        <v>0</v>
      </c>
      <c r="BR344" s="170">
        <f t="shared" si="504"/>
        <v>0</v>
      </c>
      <c r="BS344" s="168">
        <f t="shared" si="457"/>
        <v>0</v>
      </c>
      <c r="BT344" s="171">
        <f t="shared" si="458"/>
        <v>0</v>
      </c>
      <c r="BU344" s="170">
        <f t="shared" si="505"/>
        <v>0</v>
      </c>
      <c r="BV344" s="168">
        <f t="shared" si="459"/>
        <v>0</v>
      </c>
      <c r="BW344" s="171">
        <f t="shared" si="460"/>
        <v>0</v>
      </c>
      <c r="BX344" s="170">
        <f t="shared" si="506"/>
        <v>0</v>
      </c>
      <c r="BY344" s="168">
        <f t="shared" si="461"/>
        <v>0</v>
      </c>
      <c r="BZ344" s="171">
        <f t="shared" si="462"/>
        <v>0</v>
      </c>
      <c r="CA344" s="170">
        <f t="shared" si="507"/>
        <v>0</v>
      </c>
      <c r="CB344" s="90">
        <f t="shared" si="463"/>
        <v>0</v>
      </c>
      <c r="CC344" s="171">
        <f t="shared" si="464"/>
        <v>0</v>
      </c>
      <c r="CD344" s="170">
        <f t="shared" si="508"/>
        <v>0</v>
      </c>
      <c r="CE344" s="90">
        <f t="shared" si="465"/>
        <v>0</v>
      </c>
      <c r="CF344" s="171">
        <f t="shared" si="466"/>
        <v>0</v>
      </c>
      <c r="CG344" s="170">
        <f t="shared" si="509"/>
        <v>0</v>
      </c>
      <c r="CH344" s="90">
        <f t="shared" si="467"/>
        <v>0</v>
      </c>
      <c r="CI344" s="171">
        <f t="shared" si="468"/>
        <v>0</v>
      </c>
      <c r="CJ344" s="170">
        <f t="shared" si="510"/>
        <v>0</v>
      </c>
      <c r="CK344" s="90">
        <f t="shared" si="469"/>
        <v>0</v>
      </c>
      <c r="CL344" s="171">
        <f t="shared" si="470"/>
        <v>0</v>
      </c>
      <c r="CM344" s="170">
        <f t="shared" si="511"/>
        <v>0</v>
      </c>
      <c r="CN344" s="90">
        <f t="shared" si="471"/>
        <v>0</v>
      </c>
      <c r="CO344" s="171">
        <f t="shared" si="472"/>
        <v>0</v>
      </c>
      <c r="CP344" s="170">
        <f t="shared" si="512"/>
        <v>0</v>
      </c>
      <c r="CQ344" s="90">
        <f t="shared" si="473"/>
        <v>0</v>
      </c>
      <c r="CR344" s="171">
        <f t="shared" si="474"/>
        <v>0</v>
      </c>
      <c r="CS344" s="170">
        <f t="shared" si="513"/>
        <v>0</v>
      </c>
      <c r="CT344" s="90">
        <f t="shared" si="475"/>
        <v>0</v>
      </c>
      <c r="CU344" s="171">
        <f t="shared" si="476"/>
        <v>0</v>
      </c>
      <c r="CV344" s="170">
        <f t="shared" si="514"/>
        <v>0</v>
      </c>
      <c r="CW344" s="90">
        <f t="shared" si="477"/>
        <v>0</v>
      </c>
      <c r="CX344" s="171">
        <f t="shared" si="478"/>
        <v>0</v>
      </c>
      <c r="CY344" s="170">
        <f t="shared" si="515"/>
        <v>0</v>
      </c>
      <c r="CZ344" s="168">
        <f t="shared" si="516"/>
        <v>0</v>
      </c>
      <c r="DA344" s="172">
        <f t="shared" si="518"/>
        <v>0</v>
      </c>
      <c r="DB344" s="173">
        <f t="shared" si="519"/>
        <v>0</v>
      </c>
      <c r="DC344" s="172">
        <f t="shared" si="520"/>
        <v>0</v>
      </c>
      <c r="DD344" s="172">
        <f t="shared" si="520"/>
        <v>0</v>
      </c>
      <c r="DE344" s="172">
        <f t="shared" si="520"/>
        <v>0</v>
      </c>
      <c r="DF344" s="172">
        <f t="shared" si="521"/>
        <v>0</v>
      </c>
      <c r="DG344" s="1"/>
      <c r="DH344" s="1"/>
      <c r="DI344" s="3"/>
      <c r="DJ344" s="8"/>
      <c r="DK344" s="8"/>
      <c r="DL344" s="8"/>
      <c r="DM344" s="8"/>
      <c r="DN344" s="8"/>
      <c r="DO344" s="8"/>
      <c r="DP344" s="8"/>
      <c r="DQ344" s="3"/>
      <c r="DR344" s="8"/>
      <c r="DS344" s="8"/>
      <c r="DT344" s="8"/>
      <c r="DU344" s="8"/>
      <c r="DV344" s="8"/>
      <c r="DW344" s="8"/>
      <c r="DX344" s="8"/>
      <c r="DY344" s="8"/>
      <c r="DZ344" s="8"/>
      <c r="EA344" s="8"/>
      <c r="EB344" s="8"/>
      <c r="EC344" s="8"/>
      <c r="ED344" s="8"/>
      <c r="EE344" s="8"/>
      <c r="EF344" s="8"/>
      <c r="EG344" s="8"/>
      <c r="EH344" s="8"/>
      <c r="EI344" s="8"/>
      <c r="EJ344" s="8"/>
      <c r="EK344" s="8"/>
      <c r="EL344" s="8"/>
      <c r="EM344" s="8"/>
      <c r="EN344" s="8"/>
      <c r="EO344" s="8"/>
      <c r="EP344" s="8"/>
      <c r="EQ344" s="8"/>
      <c r="ER344" s="8"/>
      <c r="ES344" s="8"/>
      <c r="ET344" s="8"/>
      <c r="EU344" s="8"/>
      <c r="EV344" s="8"/>
      <c r="EW344" s="8"/>
      <c r="EX344" s="8"/>
      <c r="EY344" s="8"/>
    </row>
    <row r="345" spans="1:155" s="566" customFormat="1" ht="15.75" customHeight="1">
      <c r="A345" s="197"/>
      <c r="B345" s="194" t="s">
        <v>556</v>
      </c>
      <c r="C345" s="324"/>
      <c r="D345" s="324">
        <f>$AQ$346</f>
        <v>0</v>
      </c>
      <c r="E345" s="70"/>
      <c r="F345" s="70"/>
      <c r="G345" s="70"/>
      <c r="H345" s="70"/>
      <c r="I345" s="70"/>
      <c r="J345" s="70"/>
      <c r="K345" s="27"/>
      <c r="L345" s="3"/>
      <c r="M345" s="3"/>
      <c r="N345" s="14"/>
      <c r="O345" s="234" t="s">
        <v>191</v>
      </c>
      <c r="P345" s="23">
        <f t="shared" si="483"/>
        <v>31</v>
      </c>
      <c r="Q345" s="90">
        <f>'Potable Water Calculator'!$C$105/'Potable Water Calculator'!$P$346*'Potable Water Calculator'!$P345</f>
        <v>0</v>
      </c>
      <c r="R345" s="90">
        <f>'Potable Water Calculator'!$C$106/'Potable Water Calculator'!$P$346*'Potable Water Calculator'!$P345</f>
        <v>0</v>
      </c>
      <c r="S345" s="90">
        <f>'Potable Water Calculator'!$C$107/'Potable Water Calculator'!$P$346*'Potable Water Calculator'!$P345</f>
        <v>0</v>
      </c>
      <c r="T345" s="90">
        <f>'Potable Water Calculator'!$C$108/'Potable Water Calculator'!$P$346*'Potable Water Calculator'!$P345</f>
        <v>0</v>
      </c>
      <c r="U345" s="23">
        <f>('Potable Water Calculator'!P155+'Potable Water Calculator'!R155)/1000</f>
        <v>0</v>
      </c>
      <c r="V345" s="23">
        <f>'Potable Water Calculator'!S155/1000</f>
        <v>0</v>
      </c>
      <c r="W345" s="23">
        <f>V345+U345</f>
        <v>0</v>
      </c>
      <c r="X345" s="23">
        <f t="shared" si="484"/>
        <v>0</v>
      </c>
      <c r="Y345" s="23">
        <f t="shared" si="485"/>
        <v>15.85608</v>
      </c>
      <c r="Z345" s="23">
        <f t="shared" si="486"/>
        <v>0</v>
      </c>
      <c r="AA345" s="23">
        <f t="shared" si="487"/>
        <v>0</v>
      </c>
      <c r="AB345" s="23">
        <f t="shared" si="488"/>
        <v>0</v>
      </c>
      <c r="AC345" s="23">
        <f t="shared" si="489"/>
        <v>0</v>
      </c>
      <c r="AD345" s="23">
        <f t="shared" si="490"/>
        <v>0</v>
      </c>
      <c r="AE345" s="23">
        <f t="shared" si="496"/>
        <v>15.85608</v>
      </c>
      <c r="AF345" s="14"/>
      <c r="AG345" s="23">
        <f>'Potable Water Calculator'!$D$105/'Potable Water Calculator'!$P$346*'Potable Water Calculator'!$P345</f>
        <v>0</v>
      </c>
      <c r="AH345" s="23">
        <f>'Potable Water Calculator'!$D$106/'Potable Water Calculator'!$P$346*'Potable Water Calculator'!$P345</f>
        <v>0</v>
      </c>
      <c r="AI345" s="23">
        <f>'Potable Water Calculator'!$D$107/'Potable Water Calculator'!$P$346*'Potable Water Calculator'!$P345</f>
        <v>0</v>
      </c>
      <c r="AJ345" s="23">
        <f>'Potable Water Calculator'!$D$108/'Potable Water Calculator'!$P$346*'Potable Water Calculator'!$P345</f>
        <v>0</v>
      </c>
      <c r="AK345" s="23">
        <f>('Potable Water Calculator'!V155+'Potable Water Calculator'!X155)/1000</f>
        <v>0</v>
      </c>
      <c r="AL345" s="23">
        <f>'Potable Water Calculator'!Y155/1000</f>
        <v>0</v>
      </c>
      <c r="AM345" s="23">
        <f>AL345+AK345</f>
        <v>0</v>
      </c>
      <c r="AN345" s="23">
        <f t="shared" si="491"/>
        <v>0</v>
      </c>
      <c r="AO345" s="23">
        <f t="shared" si="492"/>
        <v>0</v>
      </c>
      <c r="AP345" s="23">
        <f t="shared" si="493"/>
        <v>0</v>
      </c>
      <c r="AQ345" s="23">
        <f t="shared" si="494"/>
        <v>0</v>
      </c>
      <c r="AR345" s="23">
        <f t="shared" si="498"/>
        <v>0</v>
      </c>
      <c r="AS345" s="23">
        <f t="shared" si="499"/>
        <v>0</v>
      </c>
      <c r="AT345" s="23">
        <f t="shared" si="500"/>
        <v>0</v>
      </c>
      <c r="AU345" s="23">
        <f t="shared" si="501"/>
        <v>0</v>
      </c>
      <c r="AV345" s="14"/>
      <c r="AW345" s="14"/>
      <c r="AX345" s="14"/>
      <c r="AY345" s="14"/>
      <c r="AZ345" s="14"/>
      <c r="BA345" s="14"/>
      <c r="BB345" s="14"/>
      <c r="BC345" s="14"/>
      <c r="BD345" s="27"/>
      <c r="BE345" s="165" t="s">
        <v>21</v>
      </c>
      <c r="BF345" s="23">
        <v>22</v>
      </c>
      <c r="BG345" s="23">
        <v>22</v>
      </c>
      <c r="BH345" s="23">
        <v>1</v>
      </c>
      <c r="BI345" s="90" t="b">
        <f t="shared" si="517"/>
        <v>1</v>
      </c>
      <c r="BJ345" s="46" t="b">
        <f t="shared" si="454"/>
        <v>1</v>
      </c>
      <c r="BK345" s="166">
        <f t="shared" si="480"/>
        <v>7.8</v>
      </c>
      <c r="BL345" s="175">
        <f>IF(SUM(BL$324:BL344,BK345)&gt;$BT$4,0,BK345)</f>
        <v>7.8</v>
      </c>
      <c r="BM345" s="23">
        <f t="shared" si="502"/>
        <v>0</v>
      </c>
      <c r="BN345" s="90">
        <f t="shared" si="503"/>
        <v>0</v>
      </c>
      <c r="BO345" s="24">
        <f t="shared" ref="BO345:BO365" si="522">BM345-BN345</f>
        <v>0</v>
      </c>
      <c r="BP345" s="349">
        <f t="shared" si="455"/>
        <v>0</v>
      </c>
      <c r="BQ345" s="171">
        <f t="shared" si="456"/>
        <v>0</v>
      </c>
      <c r="BR345" s="170">
        <f t="shared" si="504"/>
        <v>0</v>
      </c>
      <c r="BS345" s="168">
        <f t="shared" si="457"/>
        <v>0</v>
      </c>
      <c r="BT345" s="171">
        <f t="shared" si="458"/>
        <v>0</v>
      </c>
      <c r="BU345" s="170">
        <f t="shared" si="505"/>
        <v>0</v>
      </c>
      <c r="BV345" s="168">
        <f t="shared" si="459"/>
        <v>0</v>
      </c>
      <c r="BW345" s="171">
        <f t="shared" si="460"/>
        <v>0</v>
      </c>
      <c r="BX345" s="170">
        <f t="shared" si="506"/>
        <v>0</v>
      </c>
      <c r="BY345" s="168">
        <f t="shared" si="461"/>
        <v>0</v>
      </c>
      <c r="BZ345" s="171">
        <f t="shared" si="462"/>
        <v>0</v>
      </c>
      <c r="CA345" s="170">
        <f t="shared" si="507"/>
        <v>0</v>
      </c>
      <c r="CB345" s="90">
        <f t="shared" si="463"/>
        <v>0</v>
      </c>
      <c r="CC345" s="171">
        <f t="shared" si="464"/>
        <v>0</v>
      </c>
      <c r="CD345" s="170">
        <f t="shared" si="508"/>
        <v>0</v>
      </c>
      <c r="CE345" s="90">
        <f t="shared" si="465"/>
        <v>0</v>
      </c>
      <c r="CF345" s="171">
        <f t="shared" si="466"/>
        <v>0</v>
      </c>
      <c r="CG345" s="170">
        <f t="shared" si="509"/>
        <v>0</v>
      </c>
      <c r="CH345" s="90">
        <f t="shared" si="467"/>
        <v>0</v>
      </c>
      <c r="CI345" s="171">
        <f t="shared" si="468"/>
        <v>0</v>
      </c>
      <c r="CJ345" s="170">
        <f t="shared" si="510"/>
        <v>0</v>
      </c>
      <c r="CK345" s="90">
        <f t="shared" si="469"/>
        <v>0</v>
      </c>
      <c r="CL345" s="171">
        <f t="shared" si="470"/>
        <v>0</v>
      </c>
      <c r="CM345" s="170">
        <f t="shared" si="511"/>
        <v>0</v>
      </c>
      <c r="CN345" s="90">
        <f t="shared" si="471"/>
        <v>0</v>
      </c>
      <c r="CO345" s="171">
        <f t="shared" si="472"/>
        <v>0</v>
      </c>
      <c r="CP345" s="170">
        <f t="shared" si="512"/>
        <v>0</v>
      </c>
      <c r="CQ345" s="90">
        <f t="shared" si="473"/>
        <v>0</v>
      </c>
      <c r="CR345" s="171">
        <f t="shared" si="474"/>
        <v>0</v>
      </c>
      <c r="CS345" s="170">
        <f t="shared" si="513"/>
        <v>0</v>
      </c>
      <c r="CT345" s="90">
        <f t="shared" si="475"/>
        <v>0</v>
      </c>
      <c r="CU345" s="171">
        <f t="shared" si="476"/>
        <v>0</v>
      </c>
      <c r="CV345" s="170">
        <f t="shared" si="514"/>
        <v>0</v>
      </c>
      <c r="CW345" s="90">
        <f t="shared" si="477"/>
        <v>0</v>
      </c>
      <c r="CX345" s="171">
        <f t="shared" si="478"/>
        <v>0</v>
      </c>
      <c r="CY345" s="170">
        <f t="shared" si="515"/>
        <v>0</v>
      </c>
      <c r="CZ345" s="168">
        <f t="shared" si="516"/>
        <v>0</v>
      </c>
      <c r="DA345" s="172">
        <f t="shared" si="518"/>
        <v>0</v>
      </c>
      <c r="DB345" s="173">
        <f t="shared" si="519"/>
        <v>0</v>
      </c>
      <c r="DC345" s="172">
        <f t="shared" si="520"/>
        <v>0</v>
      </c>
      <c r="DD345" s="172">
        <f t="shared" si="520"/>
        <v>0</v>
      </c>
      <c r="DE345" s="172">
        <f t="shared" si="520"/>
        <v>0</v>
      </c>
      <c r="DF345" s="172">
        <f t="shared" si="521"/>
        <v>0</v>
      </c>
      <c r="DG345" s="1"/>
      <c r="DH345" s="1"/>
      <c r="DI345" s="3"/>
      <c r="DJ345" s="8"/>
      <c r="DK345" s="8"/>
      <c r="DL345" s="8"/>
      <c r="DM345" s="8"/>
      <c r="DN345" s="8"/>
      <c r="DO345" s="8"/>
      <c r="DP345" s="8"/>
      <c r="DQ345" s="3"/>
      <c r="DR345" s="8"/>
      <c r="DS345" s="8"/>
      <c r="DT345" s="8"/>
      <c r="DU345" s="8"/>
      <c r="DV345" s="8"/>
      <c r="DW345" s="8"/>
      <c r="DX345" s="8"/>
      <c r="DY345" s="8"/>
      <c r="DZ345" s="8"/>
      <c r="EA345" s="8"/>
      <c r="EB345" s="8"/>
      <c r="EC345" s="8"/>
      <c r="ED345" s="8"/>
      <c r="EE345" s="8"/>
      <c r="EF345" s="8"/>
      <c r="EG345" s="8"/>
      <c r="EH345" s="8"/>
      <c r="EI345" s="8"/>
      <c r="EJ345" s="8"/>
      <c r="EK345" s="8"/>
      <c r="EL345" s="8"/>
      <c r="EM345" s="8"/>
      <c r="EN345" s="8"/>
      <c r="EO345" s="8"/>
      <c r="EP345" s="8"/>
      <c r="EQ345" s="8"/>
      <c r="ER345" s="8"/>
      <c r="ES345" s="8"/>
      <c r="ET345" s="8"/>
      <c r="EU345" s="8"/>
      <c r="EV345" s="8"/>
      <c r="EW345" s="8"/>
      <c r="EX345" s="8"/>
      <c r="EY345" s="8"/>
    </row>
    <row r="346" spans="1:155" s="566" customFormat="1" ht="15.75" customHeight="1">
      <c r="A346" s="197"/>
      <c r="B346" s="194" t="str">
        <f>C311</f>
        <v>{Other Water Use 1}</v>
      </c>
      <c r="C346" s="324"/>
      <c r="D346" s="324">
        <f>$AR$346</f>
        <v>0</v>
      </c>
      <c r="E346" s="70"/>
      <c r="F346" s="70"/>
      <c r="G346" s="70"/>
      <c r="H346" s="70"/>
      <c r="I346" s="70"/>
      <c r="J346" s="70"/>
      <c r="K346" s="27"/>
      <c r="L346" s="3"/>
      <c r="M346" s="3"/>
      <c r="N346" s="14"/>
      <c r="O346" s="234" t="s">
        <v>439</v>
      </c>
      <c r="P346" s="16">
        <f t="shared" ref="P346:AD346" si="523">SUM(P334:P345)</f>
        <v>365</v>
      </c>
      <c r="Q346" s="460">
        <f t="shared" si="523"/>
        <v>0</v>
      </c>
      <c r="R346" s="460">
        <f t="shared" si="523"/>
        <v>0</v>
      </c>
      <c r="S346" s="460">
        <f t="shared" si="523"/>
        <v>0</v>
      </c>
      <c r="T346" s="460">
        <f t="shared" si="523"/>
        <v>0</v>
      </c>
      <c r="U346" s="460">
        <f t="shared" si="523"/>
        <v>0</v>
      </c>
      <c r="V346" s="460">
        <f t="shared" si="523"/>
        <v>0</v>
      </c>
      <c r="W346" s="460">
        <f t="shared" si="523"/>
        <v>0</v>
      </c>
      <c r="X346" s="460">
        <f t="shared" si="523"/>
        <v>0</v>
      </c>
      <c r="Y346" s="460">
        <f t="shared" si="523"/>
        <v>140.87892254622031</v>
      </c>
      <c r="Z346" s="460">
        <f t="shared" si="523"/>
        <v>0</v>
      </c>
      <c r="AA346" s="460">
        <f t="shared" si="523"/>
        <v>0</v>
      </c>
      <c r="AB346" s="460">
        <f t="shared" si="523"/>
        <v>0</v>
      </c>
      <c r="AC346" s="460">
        <f t="shared" si="523"/>
        <v>0</v>
      </c>
      <c r="AD346" s="460">
        <f t="shared" si="523"/>
        <v>0</v>
      </c>
      <c r="AE346" s="460">
        <f>SUM(AE334:AE345)</f>
        <v>140.87892254622031</v>
      </c>
      <c r="AF346" s="14"/>
      <c r="AG346" s="460">
        <f t="shared" ref="AG346:AU346" si="524">SUM(AG334:AG345)</f>
        <v>0</v>
      </c>
      <c r="AH346" s="460">
        <f t="shared" si="524"/>
        <v>0</v>
      </c>
      <c r="AI346" s="460">
        <f t="shared" si="524"/>
        <v>0</v>
      </c>
      <c r="AJ346" s="460">
        <f t="shared" si="524"/>
        <v>0</v>
      </c>
      <c r="AK346" s="460">
        <f t="shared" si="524"/>
        <v>0</v>
      </c>
      <c r="AL346" s="460">
        <f t="shared" si="524"/>
        <v>0</v>
      </c>
      <c r="AM346" s="460">
        <f t="shared" si="524"/>
        <v>0</v>
      </c>
      <c r="AN346" s="460">
        <f t="shared" si="524"/>
        <v>0</v>
      </c>
      <c r="AO346" s="460">
        <f t="shared" si="524"/>
        <v>0</v>
      </c>
      <c r="AP346" s="460">
        <f t="shared" si="524"/>
        <v>0</v>
      </c>
      <c r="AQ346" s="460">
        <f t="shared" si="524"/>
        <v>0</v>
      </c>
      <c r="AR346" s="460">
        <f t="shared" si="524"/>
        <v>0</v>
      </c>
      <c r="AS346" s="460">
        <f t="shared" si="524"/>
        <v>0</v>
      </c>
      <c r="AT346" s="460">
        <f t="shared" si="524"/>
        <v>0</v>
      </c>
      <c r="AU346" s="460">
        <f t="shared" si="524"/>
        <v>0</v>
      </c>
      <c r="AV346" s="14"/>
      <c r="AW346" s="14"/>
      <c r="AX346" s="14"/>
      <c r="AY346" s="14"/>
      <c r="AZ346" s="14"/>
      <c r="BA346" s="14"/>
      <c r="BB346" s="14"/>
      <c r="BC346" s="14"/>
      <c r="BD346" s="27"/>
      <c r="BE346" s="165" t="s">
        <v>21</v>
      </c>
      <c r="BF346" s="23">
        <v>22</v>
      </c>
      <c r="BG346" s="23">
        <v>23</v>
      </c>
      <c r="BH346" s="23">
        <v>2</v>
      </c>
      <c r="BI346" s="90" t="b">
        <f t="shared" si="517"/>
        <v>1</v>
      </c>
      <c r="BJ346" s="46" t="b">
        <f t="shared" si="454"/>
        <v>0</v>
      </c>
      <c r="BK346" s="166">
        <f t="shared" si="480"/>
        <v>0</v>
      </c>
      <c r="BL346" s="175">
        <f>IF(SUM(BL$324:BL345,BK346)&gt;$BT$4,0,BK346)</f>
        <v>0</v>
      </c>
      <c r="BM346" s="23">
        <f t="shared" si="502"/>
        <v>0</v>
      </c>
      <c r="BN346" s="90">
        <f t="shared" si="503"/>
        <v>0</v>
      </c>
      <c r="BO346" s="24">
        <f t="shared" si="522"/>
        <v>0</v>
      </c>
      <c r="BP346" s="349">
        <f t="shared" si="455"/>
        <v>0</v>
      </c>
      <c r="BQ346" s="171">
        <f t="shared" si="456"/>
        <v>0</v>
      </c>
      <c r="BR346" s="170">
        <f t="shared" si="504"/>
        <v>0</v>
      </c>
      <c r="BS346" s="168">
        <f t="shared" si="457"/>
        <v>0</v>
      </c>
      <c r="BT346" s="171">
        <f t="shared" si="458"/>
        <v>0</v>
      </c>
      <c r="BU346" s="170">
        <f t="shared" si="505"/>
        <v>0</v>
      </c>
      <c r="BV346" s="168">
        <f t="shared" si="459"/>
        <v>0</v>
      </c>
      <c r="BW346" s="171">
        <f t="shared" si="460"/>
        <v>0</v>
      </c>
      <c r="BX346" s="170">
        <f t="shared" si="506"/>
        <v>0</v>
      </c>
      <c r="BY346" s="168">
        <f t="shared" si="461"/>
        <v>0</v>
      </c>
      <c r="BZ346" s="171">
        <f t="shared" si="462"/>
        <v>0</v>
      </c>
      <c r="CA346" s="170">
        <f t="shared" si="507"/>
        <v>0</v>
      </c>
      <c r="CB346" s="90">
        <f t="shared" si="463"/>
        <v>0</v>
      </c>
      <c r="CC346" s="171">
        <f t="shared" si="464"/>
        <v>0</v>
      </c>
      <c r="CD346" s="170">
        <f t="shared" si="508"/>
        <v>0</v>
      </c>
      <c r="CE346" s="90">
        <f t="shared" si="465"/>
        <v>0</v>
      </c>
      <c r="CF346" s="171">
        <f t="shared" si="466"/>
        <v>0</v>
      </c>
      <c r="CG346" s="170">
        <f t="shared" si="509"/>
        <v>0</v>
      </c>
      <c r="CH346" s="90">
        <f t="shared" si="467"/>
        <v>0</v>
      </c>
      <c r="CI346" s="171">
        <f t="shared" si="468"/>
        <v>0</v>
      </c>
      <c r="CJ346" s="170">
        <f t="shared" si="510"/>
        <v>0</v>
      </c>
      <c r="CK346" s="90">
        <f t="shared" si="469"/>
        <v>0</v>
      </c>
      <c r="CL346" s="171">
        <f t="shared" si="470"/>
        <v>0</v>
      </c>
      <c r="CM346" s="170">
        <f t="shared" si="511"/>
        <v>0</v>
      </c>
      <c r="CN346" s="90">
        <f t="shared" si="471"/>
        <v>0</v>
      </c>
      <c r="CO346" s="171">
        <f t="shared" si="472"/>
        <v>0</v>
      </c>
      <c r="CP346" s="170">
        <f t="shared" si="512"/>
        <v>0</v>
      </c>
      <c r="CQ346" s="90">
        <f t="shared" si="473"/>
        <v>0</v>
      </c>
      <c r="CR346" s="171">
        <f t="shared" si="474"/>
        <v>0</v>
      </c>
      <c r="CS346" s="170">
        <f t="shared" si="513"/>
        <v>0</v>
      </c>
      <c r="CT346" s="90">
        <f t="shared" si="475"/>
        <v>0</v>
      </c>
      <c r="CU346" s="171">
        <f t="shared" si="476"/>
        <v>0</v>
      </c>
      <c r="CV346" s="170">
        <f t="shared" si="514"/>
        <v>0</v>
      </c>
      <c r="CW346" s="90">
        <f t="shared" si="477"/>
        <v>0</v>
      </c>
      <c r="CX346" s="171">
        <f t="shared" si="478"/>
        <v>0</v>
      </c>
      <c r="CY346" s="170">
        <f t="shared" si="515"/>
        <v>0</v>
      </c>
      <c r="CZ346" s="168">
        <f t="shared" si="516"/>
        <v>0</v>
      </c>
      <c r="DA346" s="172">
        <f t="shared" si="518"/>
        <v>0</v>
      </c>
      <c r="DB346" s="173">
        <f t="shared" si="519"/>
        <v>0</v>
      </c>
      <c r="DC346" s="172">
        <f t="shared" si="520"/>
        <v>0</v>
      </c>
      <c r="DD346" s="172">
        <f t="shared" si="520"/>
        <v>0</v>
      </c>
      <c r="DE346" s="172">
        <f t="shared" si="520"/>
        <v>0</v>
      </c>
      <c r="DF346" s="172">
        <f>IF(DA346-(DE345+CZ346)&lt;0,0,DA346-(DE345+CZ346))</f>
        <v>0</v>
      </c>
      <c r="DG346" s="1"/>
      <c r="DH346" s="1"/>
      <c r="DI346" s="3"/>
      <c r="DJ346" s="8"/>
      <c r="DK346" s="8"/>
      <c r="DL346" s="8"/>
      <c r="DM346" s="8"/>
      <c r="DN346" s="8"/>
      <c r="DO346" s="8"/>
      <c r="DP346" s="8"/>
      <c r="DQ346" s="3"/>
      <c r="DR346" s="8"/>
      <c r="DS346" s="8"/>
      <c r="DT346" s="8"/>
      <c r="DU346" s="8"/>
      <c r="DV346" s="8"/>
      <c r="DW346" s="8"/>
      <c r="DX346" s="8"/>
      <c r="DY346" s="8"/>
      <c r="DZ346" s="8"/>
      <c r="EA346" s="8"/>
      <c r="EB346" s="8"/>
      <c r="EC346" s="8"/>
      <c r="ED346" s="8"/>
      <c r="EE346" s="8"/>
      <c r="EF346" s="8"/>
      <c r="EG346" s="8"/>
      <c r="EH346" s="8"/>
      <c r="EI346" s="8"/>
      <c r="EJ346" s="8"/>
      <c r="EK346" s="8"/>
      <c r="EL346" s="8"/>
      <c r="EM346" s="8"/>
      <c r="EN346" s="8"/>
      <c r="EO346" s="8"/>
      <c r="EP346" s="8"/>
      <c r="EQ346" s="8"/>
      <c r="ER346" s="8"/>
      <c r="ES346" s="8"/>
      <c r="ET346" s="8"/>
      <c r="EU346" s="8"/>
      <c r="EV346" s="8"/>
      <c r="EW346" s="8"/>
      <c r="EX346" s="8"/>
      <c r="EY346" s="8"/>
    </row>
    <row r="347" spans="1:155" s="566" customFormat="1" ht="15.75" customHeight="1">
      <c r="A347" s="197"/>
      <c r="B347" s="194" t="str">
        <f>G311</f>
        <v>{Other Water Use 2}</v>
      </c>
      <c r="C347" s="324"/>
      <c r="D347" s="324">
        <f>$AS$346</f>
        <v>0</v>
      </c>
      <c r="E347" s="70"/>
      <c r="F347" s="70"/>
      <c r="G347" s="70"/>
      <c r="H347" s="70"/>
      <c r="I347" s="70"/>
      <c r="J347" s="70"/>
      <c r="K347" s="27"/>
      <c r="L347" s="3"/>
      <c r="M347" s="3"/>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27"/>
      <c r="BE347" s="165" t="s">
        <v>21</v>
      </c>
      <c r="BF347" s="23">
        <v>22</v>
      </c>
      <c r="BG347" s="23">
        <v>24</v>
      </c>
      <c r="BH347" s="23">
        <v>3</v>
      </c>
      <c r="BI347" s="90" t="b">
        <f t="shared" si="517"/>
        <v>1</v>
      </c>
      <c r="BJ347" s="46" t="b">
        <f t="shared" si="454"/>
        <v>1</v>
      </c>
      <c r="BK347" s="166">
        <f t="shared" si="480"/>
        <v>7.8</v>
      </c>
      <c r="BL347" s="175">
        <f>IF(SUM(BL$324:BL346,BK347)&gt;$BT$4,0,BK347)</f>
        <v>7.8</v>
      </c>
      <c r="BM347" s="23">
        <f t="shared" si="502"/>
        <v>0</v>
      </c>
      <c r="BN347" s="90">
        <f t="shared" si="503"/>
        <v>0</v>
      </c>
      <c r="BO347" s="24">
        <f t="shared" si="522"/>
        <v>0</v>
      </c>
      <c r="BP347" s="349">
        <f t="shared" si="455"/>
        <v>0</v>
      </c>
      <c r="BQ347" s="171">
        <f t="shared" si="456"/>
        <v>0</v>
      </c>
      <c r="BR347" s="170">
        <f t="shared" si="504"/>
        <v>0</v>
      </c>
      <c r="BS347" s="168">
        <f t="shared" si="457"/>
        <v>0</v>
      </c>
      <c r="BT347" s="171">
        <f t="shared" si="458"/>
        <v>0</v>
      </c>
      <c r="BU347" s="170">
        <f t="shared" si="505"/>
        <v>0</v>
      </c>
      <c r="BV347" s="168">
        <f t="shared" si="459"/>
        <v>0</v>
      </c>
      <c r="BW347" s="171">
        <f t="shared" si="460"/>
        <v>0</v>
      </c>
      <c r="BX347" s="170">
        <f t="shared" si="506"/>
        <v>0</v>
      </c>
      <c r="BY347" s="168">
        <f t="shared" si="461"/>
        <v>0</v>
      </c>
      <c r="BZ347" s="171">
        <f t="shared" si="462"/>
        <v>0</v>
      </c>
      <c r="CA347" s="170">
        <f t="shared" si="507"/>
        <v>0</v>
      </c>
      <c r="CB347" s="90">
        <f t="shared" si="463"/>
        <v>0</v>
      </c>
      <c r="CC347" s="171">
        <f t="shared" si="464"/>
        <v>0</v>
      </c>
      <c r="CD347" s="170">
        <f t="shared" si="508"/>
        <v>0</v>
      </c>
      <c r="CE347" s="90">
        <f t="shared" si="465"/>
        <v>0</v>
      </c>
      <c r="CF347" s="171">
        <f t="shared" si="466"/>
        <v>0</v>
      </c>
      <c r="CG347" s="170">
        <f t="shared" si="509"/>
        <v>0</v>
      </c>
      <c r="CH347" s="90">
        <f t="shared" si="467"/>
        <v>0</v>
      </c>
      <c r="CI347" s="171">
        <f t="shared" si="468"/>
        <v>0</v>
      </c>
      <c r="CJ347" s="170">
        <f t="shared" si="510"/>
        <v>0</v>
      </c>
      <c r="CK347" s="90">
        <f t="shared" si="469"/>
        <v>0</v>
      </c>
      <c r="CL347" s="171">
        <f t="shared" si="470"/>
        <v>0</v>
      </c>
      <c r="CM347" s="170">
        <f t="shared" si="511"/>
        <v>0</v>
      </c>
      <c r="CN347" s="90">
        <f t="shared" si="471"/>
        <v>0</v>
      </c>
      <c r="CO347" s="171">
        <f t="shared" si="472"/>
        <v>0</v>
      </c>
      <c r="CP347" s="170">
        <f t="shared" si="512"/>
        <v>0</v>
      </c>
      <c r="CQ347" s="90">
        <f t="shared" si="473"/>
        <v>0</v>
      </c>
      <c r="CR347" s="171">
        <f t="shared" si="474"/>
        <v>0</v>
      </c>
      <c r="CS347" s="170">
        <f t="shared" si="513"/>
        <v>0</v>
      </c>
      <c r="CT347" s="90">
        <f t="shared" si="475"/>
        <v>0</v>
      </c>
      <c r="CU347" s="171">
        <f t="shared" si="476"/>
        <v>0</v>
      </c>
      <c r="CV347" s="170">
        <f t="shared" si="514"/>
        <v>0</v>
      </c>
      <c r="CW347" s="90">
        <f t="shared" si="477"/>
        <v>0</v>
      </c>
      <c r="CX347" s="171">
        <f t="shared" si="478"/>
        <v>0</v>
      </c>
      <c r="CY347" s="170">
        <f t="shared" si="515"/>
        <v>0</v>
      </c>
      <c r="CZ347" s="168">
        <f t="shared" si="516"/>
        <v>0</v>
      </c>
      <c r="DA347" s="172">
        <f t="shared" si="518"/>
        <v>0</v>
      </c>
      <c r="DB347" s="173">
        <f t="shared" si="519"/>
        <v>0</v>
      </c>
      <c r="DC347" s="172">
        <f t="shared" si="520"/>
        <v>0</v>
      </c>
      <c r="DD347" s="172">
        <f t="shared" si="520"/>
        <v>0</v>
      </c>
      <c r="DE347" s="172">
        <f t="shared" si="520"/>
        <v>0</v>
      </c>
      <c r="DF347" s="172">
        <f t="shared" si="521"/>
        <v>0</v>
      </c>
      <c r="DG347" s="1"/>
      <c r="DH347" s="1"/>
      <c r="DI347" s="3"/>
      <c r="DJ347" s="8"/>
      <c r="DK347" s="8"/>
      <c r="DL347" s="8"/>
      <c r="DM347" s="8"/>
      <c r="DN347" s="8"/>
      <c r="DO347" s="8"/>
      <c r="DP347" s="8"/>
      <c r="DQ347" s="3"/>
      <c r="DR347" s="8"/>
      <c r="DS347" s="8"/>
      <c r="DT347" s="8"/>
      <c r="DU347" s="8"/>
      <c r="DV347" s="8"/>
      <c r="DW347" s="8"/>
      <c r="DX347" s="8"/>
      <c r="DY347" s="8"/>
      <c r="DZ347" s="8"/>
      <c r="EA347" s="8"/>
      <c r="EB347" s="8"/>
      <c r="EC347" s="8"/>
      <c r="ED347" s="8"/>
      <c r="EE347" s="8"/>
      <c r="EF347" s="8"/>
      <c r="EG347" s="8"/>
      <c r="EH347" s="8"/>
      <c r="EI347" s="8"/>
      <c r="EJ347" s="8"/>
      <c r="EK347" s="8"/>
      <c r="EL347" s="8"/>
      <c r="EM347" s="8"/>
      <c r="EN347" s="8"/>
      <c r="EO347" s="8"/>
      <c r="EP347" s="8"/>
      <c r="EQ347" s="8"/>
      <c r="ER347" s="8"/>
      <c r="ES347" s="8"/>
      <c r="ET347" s="8"/>
      <c r="EU347" s="8"/>
      <c r="EV347" s="8"/>
      <c r="EW347" s="8"/>
      <c r="EX347" s="8"/>
      <c r="EY347" s="8"/>
    </row>
    <row r="348" spans="1:155" s="566" customFormat="1" ht="15.75" customHeight="1">
      <c r="A348" s="197"/>
      <c r="B348" s="194" t="str">
        <f>K311</f>
        <v>{Other Water Use 3}</v>
      </c>
      <c r="C348" s="324"/>
      <c r="D348" s="324">
        <f>$AT$346</f>
        <v>0</v>
      </c>
      <c r="E348" s="70"/>
      <c r="F348" s="70"/>
      <c r="G348" s="70"/>
      <c r="H348" s="70"/>
      <c r="I348" s="70"/>
      <c r="J348" s="70"/>
      <c r="K348" s="27"/>
      <c r="L348" s="3"/>
      <c r="M348" s="3"/>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27"/>
      <c r="BE348" s="165" t="s">
        <v>21</v>
      </c>
      <c r="BF348" s="23">
        <v>22</v>
      </c>
      <c r="BG348" s="23">
        <v>25</v>
      </c>
      <c r="BH348" s="23">
        <v>4</v>
      </c>
      <c r="BI348" s="90" t="b">
        <f t="shared" si="517"/>
        <v>1</v>
      </c>
      <c r="BJ348" s="46" t="b">
        <f t="shared" si="454"/>
        <v>0</v>
      </c>
      <c r="BK348" s="166">
        <f t="shared" si="480"/>
        <v>0</v>
      </c>
      <c r="BL348" s="175">
        <f>IF(SUM(BL$324:BL347,BK348)&gt;$BT$4,0,BK348)</f>
        <v>0</v>
      </c>
      <c r="BM348" s="23">
        <f t="shared" si="502"/>
        <v>0</v>
      </c>
      <c r="BN348" s="90">
        <f t="shared" si="503"/>
        <v>0</v>
      </c>
      <c r="BO348" s="24">
        <f t="shared" si="522"/>
        <v>0</v>
      </c>
      <c r="BP348" s="349">
        <f t="shared" si="455"/>
        <v>0</v>
      </c>
      <c r="BQ348" s="171">
        <f t="shared" si="456"/>
        <v>0</v>
      </c>
      <c r="BR348" s="170">
        <f t="shared" si="504"/>
        <v>0</v>
      </c>
      <c r="BS348" s="168">
        <f t="shared" si="457"/>
        <v>0</v>
      </c>
      <c r="BT348" s="171">
        <f t="shared" si="458"/>
        <v>0</v>
      </c>
      <c r="BU348" s="170">
        <f t="shared" si="505"/>
        <v>0</v>
      </c>
      <c r="BV348" s="168">
        <f t="shared" si="459"/>
        <v>0</v>
      </c>
      <c r="BW348" s="171">
        <f t="shared" si="460"/>
        <v>0</v>
      </c>
      <c r="BX348" s="170">
        <f t="shared" si="506"/>
        <v>0</v>
      </c>
      <c r="BY348" s="168">
        <f t="shared" si="461"/>
        <v>0</v>
      </c>
      <c r="BZ348" s="171">
        <f t="shared" si="462"/>
        <v>0</v>
      </c>
      <c r="CA348" s="170">
        <f t="shared" si="507"/>
        <v>0</v>
      </c>
      <c r="CB348" s="90">
        <f t="shared" si="463"/>
        <v>0</v>
      </c>
      <c r="CC348" s="171">
        <f t="shared" si="464"/>
        <v>0</v>
      </c>
      <c r="CD348" s="170">
        <f t="shared" si="508"/>
        <v>0</v>
      </c>
      <c r="CE348" s="90">
        <f t="shared" si="465"/>
        <v>0</v>
      </c>
      <c r="CF348" s="171">
        <f t="shared" si="466"/>
        <v>0</v>
      </c>
      <c r="CG348" s="170">
        <f t="shared" si="509"/>
        <v>0</v>
      </c>
      <c r="CH348" s="90">
        <f t="shared" si="467"/>
        <v>0</v>
      </c>
      <c r="CI348" s="171">
        <f t="shared" si="468"/>
        <v>0</v>
      </c>
      <c r="CJ348" s="170">
        <f t="shared" si="510"/>
        <v>0</v>
      </c>
      <c r="CK348" s="90">
        <f t="shared" si="469"/>
        <v>0</v>
      </c>
      <c r="CL348" s="171">
        <f t="shared" si="470"/>
        <v>0</v>
      </c>
      <c r="CM348" s="170">
        <f t="shared" si="511"/>
        <v>0</v>
      </c>
      <c r="CN348" s="90">
        <f t="shared" si="471"/>
        <v>0</v>
      </c>
      <c r="CO348" s="171">
        <f t="shared" si="472"/>
        <v>0</v>
      </c>
      <c r="CP348" s="170">
        <f t="shared" si="512"/>
        <v>0</v>
      </c>
      <c r="CQ348" s="90">
        <f t="shared" si="473"/>
        <v>0</v>
      </c>
      <c r="CR348" s="171">
        <f t="shared" si="474"/>
        <v>0</v>
      </c>
      <c r="CS348" s="170">
        <f t="shared" si="513"/>
        <v>0</v>
      </c>
      <c r="CT348" s="90">
        <f t="shared" si="475"/>
        <v>0</v>
      </c>
      <c r="CU348" s="171">
        <f t="shared" si="476"/>
        <v>0</v>
      </c>
      <c r="CV348" s="170">
        <f t="shared" si="514"/>
        <v>0</v>
      </c>
      <c r="CW348" s="90">
        <f t="shared" si="477"/>
        <v>0</v>
      </c>
      <c r="CX348" s="171">
        <f t="shared" si="478"/>
        <v>0</v>
      </c>
      <c r="CY348" s="170">
        <f t="shared" si="515"/>
        <v>0</v>
      </c>
      <c r="CZ348" s="168">
        <f t="shared" si="516"/>
        <v>0</v>
      </c>
      <c r="DA348" s="172">
        <f t="shared" si="518"/>
        <v>0</v>
      </c>
      <c r="DB348" s="173">
        <f t="shared" si="519"/>
        <v>0</v>
      </c>
      <c r="DC348" s="172">
        <f t="shared" si="520"/>
        <v>0</v>
      </c>
      <c r="DD348" s="172">
        <f t="shared" si="520"/>
        <v>0</v>
      </c>
      <c r="DE348" s="172">
        <f t="shared" si="520"/>
        <v>0</v>
      </c>
      <c r="DF348" s="172">
        <f t="shared" si="521"/>
        <v>0</v>
      </c>
      <c r="DG348" s="1"/>
      <c r="DH348" s="1"/>
      <c r="DI348" s="3"/>
      <c r="DJ348" s="8"/>
      <c r="DK348" s="8"/>
      <c r="DL348" s="8"/>
      <c r="DM348" s="8"/>
      <c r="DN348" s="8"/>
      <c r="DO348" s="8"/>
      <c r="DP348" s="8"/>
      <c r="DQ348" s="3"/>
      <c r="DR348" s="8"/>
      <c r="DS348" s="8"/>
      <c r="DT348" s="8"/>
      <c r="DU348" s="8"/>
      <c r="DV348" s="8"/>
      <c r="DW348" s="8"/>
      <c r="DX348" s="8"/>
      <c r="DY348" s="8"/>
      <c r="DZ348" s="8"/>
      <c r="EA348" s="8"/>
      <c r="EB348" s="8"/>
      <c r="EC348" s="8"/>
      <c r="ED348" s="8"/>
      <c r="EE348" s="8"/>
      <c r="EF348" s="8"/>
      <c r="EG348" s="8"/>
      <c r="EH348" s="8"/>
      <c r="EI348" s="8"/>
      <c r="EJ348" s="8"/>
      <c r="EK348" s="8"/>
      <c r="EL348" s="8"/>
      <c r="EM348" s="8"/>
      <c r="EN348" s="8"/>
      <c r="EO348" s="8"/>
      <c r="EP348" s="8"/>
      <c r="EQ348" s="8"/>
      <c r="ER348" s="8"/>
      <c r="ES348" s="8"/>
      <c r="ET348" s="8"/>
      <c r="EU348" s="8"/>
      <c r="EV348" s="8"/>
      <c r="EW348" s="8"/>
      <c r="EX348" s="8"/>
      <c r="EY348" s="8"/>
    </row>
    <row r="349" spans="1:155" s="566" customFormat="1" ht="15.75" customHeight="1">
      <c r="A349" s="197"/>
      <c r="B349" s="70"/>
      <c r="C349" s="70"/>
      <c r="D349" s="70"/>
      <c r="E349" s="70"/>
      <c r="F349" s="70"/>
      <c r="G349" s="70"/>
      <c r="H349" s="70"/>
      <c r="I349" s="70"/>
      <c r="J349" s="70"/>
      <c r="K349" s="27"/>
      <c r="L349" s="3"/>
      <c r="M349" s="3"/>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27"/>
      <c r="BE349" s="165" t="s">
        <v>21</v>
      </c>
      <c r="BF349" s="23">
        <v>22</v>
      </c>
      <c r="BG349" s="23">
        <v>26</v>
      </c>
      <c r="BH349" s="23">
        <v>5</v>
      </c>
      <c r="BI349" s="90" t="b">
        <f t="shared" si="517"/>
        <v>1</v>
      </c>
      <c r="BJ349" s="46" t="b">
        <f t="shared" si="454"/>
        <v>1</v>
      </c>
      <c r="BK349" s="166">
        <f t="shared" si="480"/>
        <v>7.8</v>
      </c>
      <c r="BL349" s="175">
        <f>IF(SUM(BL$324:BL348,BK349)&gt;$BT$4,0,BK349)</f>
        <v>7.8</v>
      </c>
      <c r="BM349" s="23">
        <f t="shared" si="502"/>
        <v>0</v>
      </c>
      <c r="BN349" s="90">
        <f t="shared" si="503"/>
        <v>0</v>
      </c>
      <c r="BO349" s="24">
        <f t="shared" si="522"/>
        <v>0</v>
      </c>
      <c r="BP349" s="349">
        <f t="shared" si="455"/>
        <v>0</v>
      </c>
      <c r="BQ349" s="171">
        <f t="shared" si="456"/>
        <v>0</v>
      </c>
      <c r="BR349" s="170">
        <f t="shared" si="504"/>
        <v>0</v>
      </c>
      <c r="BS349" s="168">
        <f t="shared" si="457"/>
        <v>0</v>
      </c>
      <c r="BT349" s="171">
        <f t="shared" si="458"/>
        <v>0</v>
      </c>
      <c r="BU349" s="170">
        <f t="shared" si="505"/>
        <v>0</v>
      </c>
      <c r="BV349" s="168">
        <f t="shared" si="459"/>
        <v>0</v>
      </c>
      <c r="BW349" s="171">
        <f t="shared" si="460"/>
        <v>0</v>
      </c>
      <c r="BX349" s="170">
        <f t="shared" si="506"/>
        <v>0</v>
      </c>
      <c r="BY349" s="168">
        <f t="shared" si="461"/>
        <v>0</v>
      </c>
      <c r="BZ349" s="171">
        <f t="shared" si="462"/>
        <v>0</v>
      </c>
      <c r="CA349" s="170">
        <f t="shared" si="507"/>
        <v>0</v>
      </c>
      <c r="CB349" s="90">
        <f t="shared" si="463"/>
        <v>0</v>
      </c>
      <c r="CC349" s="171">
        <f t="shared" si="464"/>
        <v>0</v>
      </c>
      <c r="CD349" s="170">
        <f t="shared" si="508"/>
        <v>0</v>
      </c>
      <c r="CE349" s="90">
        <f t="shared" si="465"/>
        <v>0</v>
      </c>
      <c r="CF349" s="171">
        <f t="shared" si="466"/>
        <v>0</v>
      </c>
      <c r="CG349" s="170">
        <f t="shared" si="509"/>
        <v>0</v>
      </c>
      <c r="CH349" s="90">
        <f t="shared" si="467"/>
        <v>0</v>
      </c>
      <c r="CI349" s="171">
        <f t="shared" si="468"/>
        <v>0</v>
      </c>
      <c r="CJ349" s="170">
        <f t="shared" si="510"/>
        <v>0</v>
      </c>
      <c r="CK349" s="90">
        <f t="shared" si="469"/>
        <v>0</v>
      </c>
      <c r="CL349" s="171">
        <f t="shared" si="470"/>
        <v>0</v>
      </c>
      <c r="CM349" s="170">
        <f t="shared" si="511"/>
        <v>0</v>
      </c>
      <c r="CN349" s="90">
        <f t="shared" si="471"/>
        <v>0</v>
      </c>
      <c r="CO349" s="171">
        <f t="shared" si="472"/>
        <v>0</v>
      </c>
      <c r="CP349" s="170">
        <f t="shared" si="512"/>
        <v>0</v>
      </c>
      <c r="CQ349" s="90">
        <f t="shared" si="473"/>
        <v>0</v>
      </c>
      <c r="CR349" s="171">
        <f t="shared" si="474"/>
        <v>0</v>
      </c>
      <c r="CS349" s="170">
        <f t="shared" si="513"/>
        <v>0</v>
      </c>
      <c r="CT349" s="90">
        <f t="shared" si="475"/>
        <v>0</v>
      </c>
      <c r="CU349" s="171">
        <f t="shared" si="476"/>
        <v>0</v>
      </c>
      <c r="CV349" s="170">
        <f t="shared" si="514"/>
        <v>0</v>
      </c>
      <c r="CW349" s="90">
        <f t="shared" si="477"/>
        <v>0</v>
      </c>
      <c r="CX349" s="171">
        <f t="shared" si="478"/>
        <v>0</v>
      </c>
      <c r="CY349" s="170">
        <f t="shared" si="515"/>
        <v>0</v>
      </c>
      <c r="CZ349" s="168">
        <f t="shared" si="516"/>
        <v>0</v>
      </c>
      <c r="DA349" s="172">
        <f t="shared" si="518"/>
        <v>0</v>
      </c>
      <c r="DB349" s="173">
        <f t="shared" si="519"/>
        <v>0</v>
      </c>
      <c r="DC349" s="172">
        <f t="shared" si="520"/>
        <v>0</v>
      </c>
      <c r="DD349" s="172">
        <f t="shared" si="520"/>
        <v>0</v>
      </c>
      <c r="DE349" s="172">
        <f t="shared" si="520"/>
        <v>0</v>
      </c>
      <c r="DF349" s="172">
        <f t="shared" si="521"/>
        <v>0</v>
      </c>
      <c r="DG349" s="1"/>
      <c r="DH349" s="1"/>
      <c r="DI349" s="3"/>
      <c r="DJ349" s="8"/>
      <c r="DK349" s="8"/>
      <c r="DL349" s="8"/>
      <c r="DM349" s="8"/>
      <c r="DN349" s="8"/>
      <c r="DO349" s="8"/>
      <c r="DP349" s="8"/>
      <c r="DQ349" s="3"/>
      <c r="DR349" s="8"/>
      <c r="DS349" s="8"/>
      <c r="DT349" s="8"/>
      <c r="DU349" s="8"/>
      <c r="DV349" s="8"/>
      <c r="DW349" s="8"/>
      <c r="DX349" s="8"/>
      <c r="DY349" s="8"/>
      <c r="DZ349" s="8"/>
      <c r="EA349" s="8"/>
      <c r="EB349" s="8"/>
      <c r="EC349" s="8"/>
      <c r="ED349" s="8"/>
      <c r="EE349" s="8"/>
      <c r="EF349" s="8"/>
      <c r="EG349" s="8"/>
      <c r="EH349" s="8"/>
      <c r="EI349" s="8"/>
      <c r="EJ349" s="8"/>
      <c r="EK349" s="8"/>
      <c r="EL349" s="8"/>
      <c r="EM349" s="8"/>
      <c r="EN349" s="8"/>
      <c r="EO349" s="8"/>
      <c r="EP349" s="8"/>
      <c r="EQ349" s="8"/>
      <c r="ER349" s="8"/>
      <c r="ES349" s="8"/>
      <c r="ET349" s="8"/>
      <c r="EU349" s="8"/>
      <c r="EV349" s="8"/>
      <c r="EW349" s="8"/>
      <c r="EX349" s="8"/>
      <c r="EY349" s="8"/>
    </row>
    <row r="350" spans="1:155" s="566" customFormat="1" ht="15.75" customHeight="1">
      <c r="A350" s="197"/>
      <c r="B350" s="70"/>
      <c r="C350" s="70"/>
      <c r="D350" s="273" t="str">
        <f>$AI$193</f>
        <v>Notional building</v>
      </c>
      <c r="E350" s="70"/>
      <c r="F350" s="70"/>
      <c r="G350" s="70"/>
      <c r="H350" s="70"/>
      <c r="I350" s="70"/>
      <c r="J350" s="70"/>
      <c r="K350" s="27"/>
      <c r="L350" s="3"/>
      <c r="M350" s="3"/>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3"/>
      <c r="BE350" s="165" t="s">
        <v>21</v>
      </c>
      <c r="BF350" s="23">
        <v>22</v>
      </c>
      <c r="BG350" s="23">
        <v>27</v>
      </c>
      <c r="BH350" s="23">
        <v>6</v>
      </c>
      <c r="BI350" s="90" t="b">
        <f t="shared" si="517"/>
        <v>0</v>
      </c>
      <c r="BJ350" s="46" t="b">
        <f t="shared" si="454"/>
        <v>0</v>
      </c>
      <c r="BK350" s="166">
        <f t="shared" si="480"/>
        <v>0</v>
      </c>
      <c r="BL350" s="175">
        <f>IF(SUM(BL$324:BL349,BK350)&gt;$BT$4,0,BK350)</f>
        <v>0</v>
      </c>
      <c r="BM350" s="23">
        <f t="shared" si="502"/>
        <v>0</v>
      </c>
      <c r="BN350" s="90">
        <f t="shared" si="503"/>
        <v>0</v>
      </c>
      <c r="BO350" s="24">
        <f t="shared" si="522"/>
        <v>0</v>
      </c>
      <c r="BP350" s="349">
        <f t="shared" si="455"/>
        <v>0</v>
      </c>
      <c r="BQ350" s="171">
        <f t="shared" si="456"/>
        <v>0</v>
      </c>
      <c r="BR350" s="170">
        <f t="shared" si="504"/>
        <v>0</v>
      </c>
      <c r="BS350" s="168">
        <f t="shared" si="457"/>
        <v>0</v>
      </c>
      <c r="BT350" s="171">
        <f t="shared" si="458"/>
        <v>0</v>
      </c>
      <c r="BU350" s="170">
        <f t="shared" si="505"/>
        <v>0</v>
      </c>
      <c r="BV350" s="168">
        <f t="shared" si="459"/>
        <v>0</v>
      </c>
      <c r="BW350" s="171">
        <f t="shared" si="460"/>
        <v>0</v>
      </c>
      <c r="BX350" s="170">
        <f t="shared" si="506"/>
        <v>0</v>
      </c>
      <c r="BY350" s="168">
        <f t="shared" si="461"/>
        <v>0</v>
      </c>
      <c r="BZ350" s="171">
        <f t="shared" si="462"/>
        <v>0</v>
      </c>
      <c r="CA350" s="170">
        <f t="shared" si="507"/>
        <v>0</v>
      </c>
      <c r="CB350" s="90">
        <f t="shared" si="463"/>
        <v>0</v>
      </c>
      <c r="CC350" s="171">
        <f t="shared" si="464"/>
        <v>0</v>
      </c>
      <c r="CD350" s="170">
        <f t="shared" si="508"/>
        <v>0</v>
      </c>
      <c r="CE350" s="90">
        <f t="shared" si="465"/>
        <v>0</v>
      </c>
      <c r="CF350" s="171">
        <f t="shared" si="466"/>
        <v>0</v>
      </c>
      <c r="CG350" s="170">
        <f t="shared" si="509"/>
        <v>0</v>
      </c>
      <c r="CH350" s="90">
        <f t="shared" si="467"/>
        <v>0</v>
      </c>
      <c r="CI350" s="171">
        <f t="shared" si="468"/>
        <v>0</v>
      </c>
      <c r="CJ350" s="170">
        <f t="shared" si="510"/>
        <v>0</v>
      </c>
      <c r="CK350" s="90">
        <f t="shared" si="469"/>
        <v>0</v>
      </c>
      <c r="CL350" s="171">
        <f t="shared" si="470"/>
        <v>0</v>
      </c>
      <c r="CM350" s="170">
        <f t="shared" si="511"/>
        <v>0</v>
      </c>
      <c r="CN350" s="90">
        <f t="shared" si="471"/>
        <v>0</v>
      </c>
      <c r="CO350" s="171">
        <f t="shared" si="472"/>
        <v>0</v>
      </c>
      <c r="CP350" s="170">
        <f t="shared" si="512"/>
        <v>0</v>
      </c>
      <c r="CQ350" s="90">
        <f t="shared" si="473"/>
        <v>0</v>
      </c>
      <c r="CR350" s="171">
        <f t="shared" si="474"/>
        <v>0</v>
      </c>
      <c r="CS350" s="170">
        <f t="shared" si="513"/>
        <v>0</v>
      </c>
      <c r="CT350" s="90">
        <f t="shared" si="475"/>
        <v>0</v>
      </c>
      <c r="CU350" s="171">
        <f t="shared" si="476"/>
        <v>0</v>
      </c>
      <c r="CV350" s="170">
        <f t="shared" si="514"/>
        <v>0</v>
      </c>
      <c r="CW350" s="90">
        <f t="shared" si="477"/>
        <v>0</v>
      </c>
      <c r="CX350" s="171">
        <f t="shared" si="478"/>
        <v>0</v>
      </c>
      <c r="CY350" s="170">
        <f t="shared" si="515"/>
        <v>0</v>
      </c>
      <c r="CZ350" s="168">
        <f t="shared" si="516"/>
        <v>0</v>
      </c>
      <c r="DA350" s="172">
        <f t="shared" si="518"/>
        <v>0</v>
      </c>
      <c r="DB350" s="173">
        <f t="shared" si="519"/>
        <v>0</v>
      </c>
      <c r="DC350" s="172">
        <f t="shared" si="520"/>
        <v>0</v>
      </c>
      <c r="DD350" s="172">
        <f t="shared" si="520"/>
        <v>0</v>
      </c>
      <c r="DE350" s="172">
        <f t="shared" si="520"/>
        <v>0</v>
      </c>
      <c r="DF350" s="172">
        <f t="shared" si="521"/>
        <v>0</v>
      </c>
      <c r="DG350" s="1"/>
      <c r="DH350" s="1"/>
      <c r="DI350" s="3"/>
      <c r="DJ350" s="8"/>
      <c r="DK350" s="8"/>
      <c r="DL350" s="8"/>
      <c r="DM350" s="8"/>
      <c r="DN350" s="8"/>
      <c r="DO350" s="8"/>
      <c r="DP350" s="8"/>
      <c r="DQ350" s="3"/>
      <c r="DR350" s="8"/>
      <c r="DS350" s="8"/>
      <c r="DT350" s="8"/>
      <c r="DU350" s="8"/>
      <c r="DV350" s="8"/>
      <c r="DW350" s="8"/>
      <c r="DX350" s="8"/>
      <c r="DY350" s="8"/>
      <c r="DZ350" s="8"/>
      <c r="EA350" s="8"/>
      <c r="EB350" s="8"/>
      <c r="EC350" s="8"/>
      <c r="ED350" s="8"/>
      <c r="EE350" s="8"/>
      <c r="EF350" s="8"/>
      <c r="EG350" s="8"/>
      <c r="EH350" s="8"/>
      <c r="EI350" s="8"/>
      <c r="EJ350" s="8"/>
      <c r="EK350" s="8"/>
      <c r="EL350" s="8"/>
      <c r="EM350" s="8"/>
      <c r="EN350" s="8"/>
      <c r="EO350" s="8"/>
      <c r="EP350" s="8"/>
      <c r="EQ350" s="8"/>
      <c r="ER350" s="8"/>
      <c r="ES350" s="8"/>
      <c r="ET350" s="8"/>
      <c r="EU350" s="8"/>
      <c r="EV350" s="8"/>
      <c r="EW350" s="8"/>
      <c r="EX350" s="8"/>
      <c r="EY350" s="8"/>
    </row>
    <row r="351" spans="1:155" s="566" customFormat="1" ht="18" customHeight="1">
      <c r="A351" s="197"/>
      <c r="B351" s="194" t="s">
        <v>168</v>
      </c>
      <c r="C351" s="324"/>
      <c r="D351" s="324">
        <f>AU334</f>
        <v>0</v>
      </c>
      <c r="E351" s="70"/>
      <c r="F351" s="70"/>
      <c r="G351" s="70"/>
      <c r="H351" s="70"/>
      <c r="I351" s="70"/>
      <c r="J351" s="70"/>
      <c r="K351" s="27"/>
      <c r="L351" s="3"/>
      <c r="M351" s="3"/>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3"/>
      <c r="BE351" s="165" t="s">
        <v>21</v>
      </c>
      <c r="BF351" s="23">
        <v>22</v>
      </c>
      <c r="BG351" s="23">
        <v>28</v>
      </c>
      <c r="BH351" s="23">
        <v>7</v>
      </c>
      <c r="BI351" s="90" t="b">
        <f t="shared" si="517"/>
        <v>0</v>
      </c>
      <c r="BJ351" s="46" t="b">
        <f t="shared" si="454"/>
        <v>1</v>
      </c>
      <c r="BK351" s="166">
        <f t="shared" si="480"/>
        <v>7.8</v>
      </c>
      <c r="BL351" s="175">
        <f>IF(SUM(BL$324:BL350,BK351)&gt;$BT$4,0,BK351)</f>
        <v>7.8</v>
      </c>
      <c r="BM351" s="23">
        <f t="shared" si="502"/>
        <v>0</v>
      </c>
      <c r="BN351" s="90">
        <f t="shared" si="503"/>
        <v>0</v>
      </c>
      <c r="BO351" s="24">
        <f t="shared" si="522"/>
        <v>0</v>
      </c>
      <c r="BP351" s="349">
        <f t="shared" si="455"/>
        <v>0</v>
      </c>
      <c r="BQ351" s="171">
        <f t="shared" si="456"/>
        <v>0</v>
      </c>
      <c r="BR351" s="170">
        <f t="shared" si="504"/>
        <v>0</v>
      </c>
      <c r="BS351" s="168">
        <f t="shared" si="457"/>
        <v>0</v>
      </c>
      <c r="BT351" s="171">
        <f t="shared" si="458"/>
        <v>0</v>
      </c>
      <c r="BU351" s="170">
        <f t="shared" si="505"/>
        <v>0</v>
      </c>
      <c r="BV351" s="168">
        <f t="shared" si="459"/>
        <v>0</v>
      </c>
      <c r="BW351" s="171">
        <f t="shared" si="460"/>
        <v>0</v>
      </c>
      <c r="BX351" s="170">
        <f t="shared" si="506"/>
        <v>0</v>
      </c>
      <c r="BY351" s="168">
        <f t="shared" si="461"/>
        <v>0</v>
      </c>
      <c r="BZ351" s="171">
        <f t="shared" si="462"/>
        <v>0</v>
      </c>
      <c r="CA351" s="170">
        <f t="shared" si="507"/>
        <v>0</v>
      </c>
      <c r="CB351" s="90">
        <f t="shared" si="463"/>
        <v>0</v>
      </c>
      <c r="CC351" s="171">
        <f t="shared" si="464"/>
        <v>0</v>
      </c>
      <c r="CD351" s="170">
        <f t="shared" si="508"/>
        <v>0</v>
      </c>
      <c r="CE351" s="90">
        <f t="shared" si="465"/>
        <v>0</v>
      </c>
      <c r="CF351" s="171">
        <f t="shared" si="466"/>
        <v>0</v>
      </c>
      <c r="CG351" s="170">
        <f t="shared" si="509"/>
        <v>0</v>
      </c>
      <c r="CH351" s="90">
        <f t="shared" si="467"/>
        <v>0</v>
      </c>
      <c r="CI351" s="171">
        <f t="shared" si="468"/>
        <v>0</v>
      </c>
      <c r="CJ351" s="170">
        <f t="shared" si="510"/>
        <v>0</v>
      </c>
      <c r="CK351" s="90">
        <f t="shared" si="469"/>
        <v>0</v>
      </c>
      <c r="CL351" s="171">
        <f t="shared" si="470"/>
        <v>0</v>
      </c>
      <c r="CM351" s="170">
        <f t="shared" si="511"/>
        <v>0</v>
      </c>
      <c r="CN351" s="90">
        <f t="shared" si="471"/>
        <v>0</v>
      </c>
      <c r="CO351" s="171">
        <f t="shared" si="472"/>
        <v>0</v>
      </c>
      <c r="CP351" s="170">
        <f t="shared" si="512"/>
        <v>0</v>
      </c>
      <c r="CQ351" s="90">
        <f t="shared" si="473"/>
        <v>0</v>
      </c>
      <c r="CR351" s="171">
        <f t="shared" si="474"/>
        <v>0</v>
      </c>
      <c r="CS351" s="170">
        <f t="shared" si="513"/>
        <v>0</v>
      </c>
      <c r="CT351" s="90">
        <f t="shared" si="475"/>
        <v>0</v>
      </c>
      <c r="CU351" s="171">
        <f t="shared" si="476"/>
        <v>0</v>
      </c>
      <c r="CV351" s="170">
        <f t="shared" si="514"/>
        <v>0</v>
      </c>
      <c r="CW351" s="90">
        <f t="shared" si="477"/>
        <v>0</v>
      </c>
      <c r="CX351" s="171">
        <f t="shared" si="478"/>
        <v>0</v>
      </c>
      <c r="CY351" s="170">
        <f t="shared" si="515"/>
        <v>0</v>
      </c>
      <c r="CZ351" s="168">
        <f t="shared" si="516"/>
        <v>0</v>
      </c>
      <c r="DA351" s="172">
        <f t="shared" si="518"/>
        <v>0</v>
      </c>
      <c r="DB351" s="173">
        <f t="shared" si="519"/>
        <v>0</v>
      </c>
      <c r="DC351" s="172">
        <f t="shared" si="520"/>
        <v>0</v>
      </c>
      <c r="DD351" s="172">
        <f t="shared" si="520"/>
        <v>0</v>
      </c>
      <c r="DE351" s="172">
        <f t="shared" si="520"/>
        <v>0</v>
      </c>
      <c r="DF351" s="172">
        <f t="shared" si="521"/>
        <v>0</v>
      </c>
      <c r="DG351" s="1"/>
      <c r="DH351" s="1"/>
      <c r="DI351" s="3"/>
      <c r="DJ351" s="8"/>
      <c r="DK351" s="8"/>
      <c r="DL351" s="8"/>
      <c r="DM351" s="8"/>
      <c r="DN351" s="8"/>
      <c r="DO351" s="8"/>
      <c r="DP351" s="8"/>
      <c r="DQ351" s="3"/>
      <c r="DR351" s="8"/>
      <c r="DS351" s="8"/>
      <c r="DT351" s="8"/>
      <c r="DU351" s="8"/>
      <c r="DV351" s="8"/>
      <c r="DW351" s="8"/>
      <c r="DX351" s="8"/>
      <c r="DY351" s="8"/>
      <c r="DZ351" s="8"/>
      <c r="EA351" s="8"/>
      <c r="EB351" s="8"/>
      <c r="EC351" s="8"/>
      <c r="ED351" s="8"/>
      <c r="EE351" s="8"/>
      <c r="EF351" s="8"/>
      <c r="EG351" s="8"/>
      <c r="EH351" s="8"/>
      <c r="EI351" s="8"/>
      <c r="EJ351" s="8"/>
      <c r="EK351" s="8"/>
      <c r="EL351" s="8"/>
      <c r="EM351" s="8"/>
      <c r="EN351" s="8"/>
      <c r="EO351" s="8"/>
      <c r="EP351" s="8"/>
      <c r="EQ351" s="8"/>
      <c r="ER351" s="8"/>
      <c r="ES351" s="8"/>
      <c r="ET351" s="8"/>
      <c r="EU351" s="8"/>
      <c r="EV351" s="8"/>
      <c r="EW351" s="8"/>
      <c r="EX351" s="8"/>
      <c r="EY351" s="8"/>
    </row>
    <row r="352" spans="1:155" s="566" customFormat="1" ht="18" customHeight="1">
      <c r="A352" s="197"/>
      <c r="B352" s="194" t="s">
        <v>172</v>
      </c>
      <c r="C352" s="324"/>
      <c r="D352" s="324">
        <f t="shared" ref="D352:D362" si="525">AU335</f>
        <v>0</v>
      </c>
      <c r="E352" s="70"/>
      <c r="F352" s="70"/>
      <c r="G352" s="70"/>
      <c r="H352" s="70"/>
      <c r="I352" s="70"/>
      <c r="J352" s="70"/>
      <c r="K352" s="27"/>
      <c r="L352" s="3"/>
      <c r="M352" s="3"/>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3"/>
      <c r="BE352" s="165" t="s">
        <v>21</v>
      </c>
      <c r="BF352" s="23">
        <v>22</v>
      </c>
      <c r="BG352" s="23">
        <v>29</v>
      </c>
      <c r="BH352" s="23">
        <v>1</v>
      </c>
      <c r="BI352" s="90" t="b">
        <f t="shared" si="517"/>
        <v>1</v>
      </c>
      <c r="BJ352" s="46" t="b">
        <f t="shared" si="454"/>
        <v>0</v>
      </c>
      <c r="BK352" s="166">
        <f t="shared" si="480"/>
        <v>0</v>
      </c>
      <c r="BL352" s="175">
        <f>IF(SUM(BL$324:BL351,BK352)&gt;$BT$4,0,BK352)</f>
        <v>0</v>
      </c>
      <c r="BM352" s="23">
        <f t="shared" si="502"/>
        <v>0</v>
      </c>
      <c r="BN352" s="90">
        <f t="shared" si="503"/>
        <v>0</v>
      </c>
      <c r="BO352" s="24">
        <f t="shared" si="522"/>
        <v>0</v>
      </c>
      <c r="BP352" s="349">
        <f t="shared" si="455"/>
        <v>0</v>
      </c>
      <c r="BQ352" s="171">
        <f t="shared" si="456"/>
        <v>0</v>
      </c>
      <c r="BR352" s="170">
        <f t="shared" si="504"/>
        <v>0</v>
      </c>
      <c r="BS352" s="168">
        <f t="shared" si="457"/>
        <v>0</v>
      </c>
      <c r="BT352" s="171">
        <f t="shared" si="458"/>
        <v>0</v>
      </c>
      <c r="BU352" s="170">
        <f t="shared" si="505"/>
        <v>0</v>
      </c>
      <c r="BV352" s="168">
        <f t="shared" si="459"/>
        <v>0</v>
      </c>
      <c r="BW352" s="171">
        <f t="shared" si="460"/>
        <v>0</v>
      </c>
      <c r="BX352" s="170">
        <f t="shared" si="506"/>
        <v>0</v>
      </c>
      <c r="BY352" s="168">
        <f t="shared" si="461"/>
        <v>0</v>
      </c>
      <c r="BZ352" s="171">
        <f t="shared" si="462"/>
        <v>0</v>
      </c>
      <c r="CA352" s="170">
        <f t="shared" si="507"/>
        <v>0</v>
      </c>
      <c r="CB352" s="90">
        <f t="shared" si="463"/>
        <v>0</v>
      </c>
      <c r="CC352" s="171">
        <f t="shared" si="464"/>
        <v>0</v>
      </c>
      <c r="CD352" s="170">
        <f t="shared" si="508"/>
        <v>0</v>
      </c>
      <c r="CE352" s="90">
        <f t="shared" si="465"/>
        <v>0</v>
      </c>
      <c r="CF352" s="171">
        <f t="shared" si="466"/>
        <v>0</v>
      </c>
      <c r="CG352" s="170">
        <f t="shared" si="509"/>
        <v>0</v>
      </c>
      <c r="CH352" s="90">
        <f t="shared" si="467"/>
        <v>0</v>
      </c>
      <c r="CI352" s="171">
        <f t="shared" si="468"/>
        <v>0</v>
      </c>
      <c r="CJ352" s="170">
        <f t="shared" si="510"/>
        <v>0</v>
      </c>
      <c r="CK352" s="90">
        <f t="shared" si="469"/>
        <v>0</v>
      </c>
      <c r="CL352" s="171">
        <f t="shared" si="470"/>
        <v>0</v>
      </c>
      <c r="CM352" s="170">
        <f t="shared" si="511"/>
        <v>0</v>
      </c>
      <c r="CN352" s="90">
        <f t="shared" si="471"/>
        <v>0</v>
      </c>
      <c r="CO352" s="171">
        <f t="shared" si="472"/>
        <v>0</v>
      </c>
      <c r="CP352" s="170">
        <f t="shared" si="512"/>
        <v>0</v>
      </c>
      <c r="CQ352" s="90">
        <f t="shared" si="473"/>
        <v>0</v>
      </c>
      <c r="CR352" s="171">
        <f t="shared" si="474"/>
        <v>0</v>
      </c>
      <c r="CS352" s="170">
        <f t="shared" si="513"/>
        <v>0</v>
      </c>
      <c r="CT352" s="90">
        <f t="shared" si="475"/>
        <v>0</v>
      </c>
      <c r="CU352" s="171">
        <f t="shared" si="476"/>
        <v>0</v>
      </c>
      <c r="CV352" s="170">
        <f t="shared" si="514"/>
        <v>0</v>
      </c>
      <c r="CW352" s="90">
        <f t="shared" si="477"/>
        <v>0</v>
      </c>
      <c r="CX352" s="171">
        <f t="shared" si="478"/>
        <v>0</v>
      </c>
      <c r="CY352" s="170">
        <f t="shared" si="515"/>
        <v>0</v>
      </c>
      <c r="CZ352" s="168">
        <f t="shared" si="516"/>
        <v>0</v>
      </c>
      <c r="DA352" s="172">
        <f t="shared" si="518"/>
        <v>0</v>
      </c>
      <c r="DB352" s="173">
        <f t="shared" si="519"/>
        <v>0</v>
      </c>
      <c r="DC352" s="172">
        <f t="shared" si="520"/>
        <v>0</v>
      </c>
      <c r="DD352" s="172">
        <f t="shared" si="520"/>
        <v>0</v>
      </c>
      <c r="DE352" s="172">
        <f t="shared" si="520"/>
        <v>0</v>
      </c>
      <c r="DF352" s="172">
        <f t="shared" si="521"/>
        <v>0</v>
      </c>
      <c r="DG352" s="1"/>
      <c r="DH352" s="1"/>
      <c r="DI352" s="3"/>
      <c r="DJ352" s="8"/>
      <c r="DK352" s="8"/>
      <c r="DL352" s="8"/>
      <c r="DM352" s="8"/>
      <c r="DN352" s="8"/>
      <c r="DO352" s="8"/>
      <c r="DP352" s="8"/>
      <c r="DQ352" s="3"/>
      <c r="DR352" s="8"/>
      <c r="DS352" s="8"/>
      <c r="DT352" s="8"/>
      <c r="DU352" s="8"/>
      <c r="DV352" s="8"/>
      <c r="DW352" s="8"/>
      <c r="DX352" s="8"/>
      <c r="DY352" s="8"/>
      <c r="DZ352" s="8"/>
      <c r="EA352" s="8"/>
      <c r="EB352" s="8"/>
      <c r="EC352" s="8"/>
      <c r="ED352" s="8"/>
      <c r="EE352" s="8"/>
      <c r="EF352" s="8"/>
      <c r="EG352" s="8"/>
      <c r="EH352" s="8"/>
      <c r="EI352" s="8"/>
      <c r="EJ352" s="8"/>
      <c r="EK352" s="8"/>
      <c r="EL352" s="8"/>
      <c r="EM352" s="8"/>
      <c r="EN352" s="8"/>
      <c r="EO352" s="8"/>
      <c r="EP352" s="8"/>
      <c r="EQ352" s="8"/>
      <c r="ER352" s="8"/>
      <c r="ES352" s="8"/>
      <c r="ET352" s="8"/>
      <c r="EU352" s="8"/>
      <c r="EV352" s="8"/>
      <c r="EW352" s="8"/>
      <c r="EX352" s="8"/>
      <c r="EY352" s="8"/>
    </row>
    <row r="353" spans="1:155" s="566" customFormat="1" ht="18" customHeight="1">
      <c r="A353" s="197"/>
      <c r="B353" s="194" t="s">
        <v>177</v>
      </c>
      <c r="C353" s="324"/>
      <c r="D353" s="324">
        <f t="shared" si="525"/>
        <v>0</v>
      </c>
      <c r="E353" s="70"/>
      <c r="F353" s="70"/>
      <c r="G353" s="70"/>
      <c r="H353" s="70"/>
      <c r="I353" s="70"/>
      <c r="J353" s="70"/>
      <c r="K353" s="27"/>
      <c r="L353" s="3"/>
      <c r="M353" s="3"/>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3"/>
      <c r="BE353" s="165" t="s">
        <v>21</v>
      </c>
      <c r="BF353" s="23">
        <v>22</v>
      </c>
      <c r="BG353" s="23">
        <v>30</v>
      </c>
      <c r="BH353" s="23">
        <v>2</v>
      </c>
      <c r="BI353" s="90" t="b">
        <f t="shared" si="517"/>
        <v>1</v>
      </c>
      <c r="BJ353" s="46" t="b">
        <f>MOD(BG353,$BO$7)=0</f>
        <v>1</v>
      </c>
      <c r="BK353" s="166">
        <f>IF(BJ353,BO$8,0)</f>
        <v>9</v>
      </c>
      <c r="BL353" s="167">
        <f>$BT$4-SUM(BL324:BL352)</f>
        <v>7.8000000000000256</v>
      </c>
      <c r="BM353" s="23">
        <f t="shared" si="502"/>
        <v>0</v>
      </c>
      <c r="BN353" s="90">
        <f t="shared" si="503"/>
        <v>0</v>
      </c>
      <c r="BO353" s="24">
        <f t="shared" si="522"/>
        <v>0</v>
      </c>
      <c r="BP353" s="349">
        <f t="shared" si="455"/>
        <v>0</v>
      </c>
      <c r="BQ353" s="171">
        <f t="shared" si="456"/>
        <v>0</v>
      </c>
      <c r="BR353" s="170">
        <f t="shared" si="504"/>
        <v>0</v>
      </c>
      <c r="BS353" s="168">
        <f t="shared" si="457"/>
        <v>0</v>
      </c>
      <c r="BT353" s="171">
        <f t="shared" si="458"/>
        <v>0</v>
      </c>
      <c r="BU353" s="170">
        <f t="shared" si="505"/>
        <v>0</v>
      </c>
      <c r="BV353" s="168">
        <f t="shared" si="459"/>
        <v>0</v>
      </c>
      <c r="BW353" s="171">
        <f t="shared" si="460"/>
        <v>0</v>
      </c>
      <c r="BX353" s="170">
        <f t="shared" si="506"/>
        <v>0</v>
      </c>
      <c r="BY353" s="168">
        <f t="shared" si="461"/>
        <v>0</v>
      </c>
      <c r="BZ353" s="171">
        <f t="shared" si="462"/>
        <v>0</v>
      </c>
      <c r="CA353" s="170">
        <f t="shared" si="507"/>
        <v>0</v>
      </c>
      <c r="CB353" s="90">
        <f t="shared" si="463"/>
        <v>0</v>
      </c>
      <c r="CC353" s="171">
        <f t="shared" si="464"/>
        <v>0</v>
      </c>
      <c r="CD353" s="170">
        <f t="shared" si="508"/>
        <v>0</v>
      </c>
      <c r="CE353" s="90">
        <f t="shared" si="465"/>
        <v>0</v>
      </c>
      <c r="CF353" s="171">
        <f t="shared" si="466"/>
        <v>0</v>
      </c>
      <c r="CG353" s="170">
        <f t="shared" si="509"/>
        <v>0</v>
      </c>
      <c r="CH353" s="90">
        <f t="shared" si="467"/>
        <v>0</v>
      </c>
      <c r="CI353" s="171">
        <f t="shared" si="468"/>
        <v>0</v>
      </c>
      <c r="CJ353" s="170">
        <f t="shared" si="510"/>
        <v>0</v>
      </c>
      <c r="CK353" s="90">
        <f t="shared" si="469"/>
        <v>0</v>
      </c>
      <c r="CL353" s="171">
        <f t="shared" si="470"/>
        <v>0</v>
      </c>
      <c r="CM353" s="170">
        <f t="shared" si="511"/>
        <v>0</v>
      </c>
      <c r="CN353" s="90">
        <f t="shared" si="471"/>
        <v>0</v>
      </c>
      <c r="CO353" s="171">
        <f t="shared" si="472"/>
        <v>0</v>
      </c>
      <c r="CP353" s="170">
        <f t="shared" si="512"/>
        <v>0</v>
      </c>
      <c r="CQ353" s="90">
        <f t="shared" si="473"/>
        <v>0</v>
      </c>
      <c r="CR353" s="171">
        <f t="shared" si="474"/>
        <v>0</v>
      </c>
      <c r="CS353" s="170">
        <f t="shared" si="513"/>
        <v>0</v>
      </c>
      <c r="CT353" s="90">
        <f t="shared" si="475"/>
        <v>0</v>
      </c>
      <c r="CU353" s="171">
        <f t="shared" si="476"/>
        <v>0</v>
      </c>
      <c r="CV353" s="170">
        <f t="shared" si="514"/>
        <v>0</v>
      </c>
      <c r="CW353" s="90">
        <f t="shared" si="477"/>
        <v>0</v>
      </c>
      <c r="CX353" s="171">
        <f t="shared" si="478"/>
        <v>0</v>
      </c>
      <c r="CY353" s="170">
        <f t="shared" si="515"/>
        <v>0</v>
      </c>
      <c r="CZ353" s="168">
        <f t="shared" si="516"/>
        <v>0</v>
      </c>
      <c r="DA353" s="172">
        <f t="shared" si="518"/>
        <v>0</v>
      </c>
      <c r="DB353" s="173">
        <f t="shared" si="519"/>
        <v>0</v>
      </c>
      <c r="DC353" s="172">
        <f t="shared" si="520"/>
        <v>0</v>
      </c>
      <c r="DD353" s="172">
        <f t="shared" si="520"/>
        <v>0</v>
      </c>
      <c r="DE353" s="172">
        <f t="shared" si="520"/>
        <v>0</v>
      </c>
      <c r="DF353" s="172">
        <f t="shared" si="521"/>
        <v>0</v>
      </c>
      <c r="DG353" s="1"/>
      <c r="DH353" s="1"/>
      <c r="DI353" s="3"/>
      <c r="DJ353" s="8"/>
      <c r="DK353" s="8"/>
      <c r="DL353" s="8"/>
      <c r="DM353" s="8"/>
      <c r="DN353" s="8"/>
      <c r="DO353" s="8"/>
      <c r="DP353" s="8"/>
      <c r="DQ353" s="3"/>
      <c r="DR353" s="8"/>
      <c r="DS353" s="8"/>
      <c r="DT353" s="8"/>
      <c r="DU353" s="8"/>
      <c r="DV353" s="8"/>
      <c r="DW353" s="8"/>
      <c r="DX353" s="8"/>
      <c r="DY353" s="8"/>
      <c r="DZ353" s="8"/>
      <c r="EA353" s="8"/>
      <c r="EB353" s="8"/>
      <c r="EC353" s="8"/>
      <c r="ED353" s="8"/>
      <c r="EE353" s="8"/>
      <c r="EF353" s="8"/>
      <c r="EG353" s="8"/>
      <c r="EH353" s="8"/>
      <c r="EI353" s="8"/>
      <c r="EJ353" s="8"/>
      <c r="EK353" s="8"/>
      <c r="EL353" s="8"/>
      <c r="EM353" s="8"/>
      <c r="EN353" s="8"/>
      <c r="EO353" s="8"/>
      <c r="EP353" s="8"/>
      <c r="EQ353" s="8"/>
      <c r="ER353" s="8"/>
      <c r="ES353" s="8"/>
      <c r="ET353" s="8"/>
      <c r="EU353" s="8"/>
      <c r="EV353" s="8"/>
      <c r="EW353" s="8"/>
      <c r="EX353" s="274"/>
      <c r="EY353" s="274"/>
    </row>
    <row r="354" spans="1:155" s="566" customFormat="1" ht="18" customHeight="1">
      <c r="A354" s="197"/>
      <c r="B354" s="194" t="s">
        <v>180</v>
      </c>
      <c r="C354" s="324"/>
      <c r="D354" s="324">
        <f t="shared" si="525"/>
        <v>0</v>
      </c>
      <c r="E354" s="70"/>
      <c r="F354" s="70"/>
      <c r="G354" s="70"/>
      <c r="H354" s="70"/>
      <c r="I354" s="70"/>
      <c r="J354" s="70"/>
      <c r="K354" s="27"/>
      <c r="L354" s="3"/>
      <c r="M354" s="3"/>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3"/>
      <c r="BE354" s="165" t="s">
        <v>22</v>
      </c>
      <c r="BF354" s="23">
        <v>23</v>
      </c>
      <c r="BG354" s="23">
        <v>1</v>
      </c>
      <c r="BH354" s="23">
        <v>3</v>
      </c>
      <c r="BI354" s="90" t="b">
        <f t="shared" si="517"/>
        <v>1</v>
      </c>
      <c r="BJ354" s="46" t="b">
        <f t="shared" ref="BJ354:BJ365" si="526">MOD(BG354,$BU$7)=0</f>
        <v>0</v>
      </c>
      <c r="BK354" s="166">
        <f t="shared" ref="BK354:BK365" si="527">IF(BJ354,BU$8,0)</f>
        <v>0</v>
      </c>
      <c r="BL354" s="167">
        <f>BK354</f>
        <v>0</v>
      </c>
      <c r="BM354" s="23">
        <f t="shared" si="502"/>
        <v>0</v>
      </c>
      <c r="BN354" s="90">
        <f t="shared" si="503"/>
        <v>0</v>
      </c>
      <c r="BO354" s="24">
        <f t="shared" si="522"/>
        <v>0</v>
      </c>
      <c r="BP354" s="168">
        <f t="shared" ref="BP354:BP365" si="528">$Q$345/$BF$354*BR$16*$BI354</f>
        <v>0</v>
      </c>
      <c r="BQ354" s="171">
        <f t="shared" ref="BQ354:BQ365" si="529">AQ$380/$BF354*$BI354</f>
        <v>0</v>
      </c>
      <c r="BR354" s="170">
        <f t="shared" si="504"/>
        <v>0</v>
      </c>
      <c r="BS354" s="168">
        <f t="shared" ref="BS354:BS365" si="530">$R$345/$BF354*BU$16*$BI354</f>
        <v>0</v>
      </c>
      <c r="BT354" s="171">
        <f t="shared" ref="BT354:BT365" si="531">AR$380/$BF354*$BI354</f>
        <v>0</v>
      </c>
      <c r="BU354" s="170">
        <f t="shared" si="505"/>
        <v>0</v>
      </c>
      <c r="BV354" s="168">
        <f t="shared" ref="BV354:BV365" si="532">$S$345/$BF354*BX$16*$BI354</f>
        <v>0</v>
      </c>
      <c r="BW354" s="171">
        <f t="shared" ref="BW354:BW365" si="533">AS$380/$BF354*$BI354</f>
        <v>0</v>
      </c>
      <c r="BX354" s="170">
        <f t="shared" si="506"/>
        <v>0</v>
      </c>
      <c r="BY354" s="168">
        <f t="shared" ref="BY354:BY365" si="534">$T$345/$BF354*CA$16*$BI354</f>
        <v>0</v>
      </c>
      <c r="BZ354" s="171">
        <f t="shared" ref="BZ354:BZ365" si="535">AT$380/$BF354*$BI354</f>
        <v>0</v>
      </c>
      <c r="CA354" s="170">
        <f t="shared" si="507"/>
        <v>0</v>
      </c>
      <c r="CB354" s="90">
        <f t="shared" ref="CB354:CB365" si="536">$W$345/BF354*BI354*$C$419</f>
        <v>0</v>
      </c>
      <c r="CC354" s="171">
        <f t="shared" ref="CC354:CC365" si="537">AU$380/$BF354*$BI354</f>
        <v>0</v>
      </c>
      <c r="CD354" s="170">
        <f t="shared" si="508"/>
        <v>0</v>
      </c>
      <c r="CE354" s="90">
        <f t="shared" ref="CE354:CE365" si="538">$X$345/BF354*BI354*$C$420</f>
        <v>0</v>
      </c>
      <c r="CF354" s="171">
        <f t="shared" ref="CF354:CF365" si="539">AV$380/$BF354*$BI354</f>
        <v>0</v>
      </c>
      <c r="CG354" s="170">
        <f t="shared" si="509"/>
        <v>0</v>
      </c>
      <c r="CH354" s="90">
        <f t="shared" ref="CH354:CH365" si="540">$Y$345/BF354*BI354*$C$421</f>
        <v>0</v>
      </c>
      <c r="CI354" s="171">
        <f t="shared" ref="CI354:CI365" si="541">AW$380/$BF354*$BI354</f>
        <v>0</v>
      </c>
      <c r="CJ354" s="170">
        <f t="shared" si="510"/>
        <v>0</v>
      </c>
      <c r="CK354" s="90">
        <f t="shared" ref="CK354:CK365" si="542">$Z$345/BF354*BI354*$CM$16</f>
        <v>0</v>
      </c>
      <c r="CL354" s="171">
        <f t="shared" ref="CL354:CL365" si="543">AX$380/$BF354*$BI354</f>
        <v>0</v>
      </c>
      <c r="CM354" s="170">
        <f t="shared" si="511"/>
        <v>0</v>
      </c>
      <c r="CN354" s="90">
        <f t="shared" ref="CN354:CN365" si="544">$AA$345/BF354*BI354*$CP$16</f>
        <v>0</v>
      </c>
      <c r="CO354" s="171">
        <f t="shared" ref="CO354:CO365" si="545">$AY$380/$BF354*$BI354</f>
        <v>0</v>
      </c>
      <c r="CP354" s="170">
        <f t="shared" si="512"/>
        <v>0</v>
      </c>
      <c r="CQ354" s="90">
        <f t="shared" ref="CQ354:CQ365" si="546">$AB$345/BF354*BI354*$CS$16</f>
        <v>0</v>
      </c>
      <c r="CR354" s="171">
        <f t="shared" ref="CR354:CR365" si="547">AZ$380/$BF354*$BI354</f>
        <v>0</v>
      </c>
      <c r="CS354" s="170">
        <f t="shared" si="513"/>
        <v>0</v>
      </c>
      <c r="CT354" s="90">
        <f t="shared" ref="CT354:CT365" si="548">$AC$345/BF354*BI354*$CV$16</f>
        <v>0</v>
      </c>
      <c r="CU354" s="171">
        <f t="shared" ref="CU354:CU365" si="549">BA$380/$BF354*$BI354</f>
        <v>0</v>
      </c>
      <c r="CV354" s="170">
        <f t="shared" si="514"/>
        <v>0</v>
      </c>
      <c r="CW354" s="90">
        <f t="shared" ref="CW354:CW365" si="550">$AD$345/BF354*BI354*$CY$16</f>
        <v>0</v>
      </c>
      <c r="CX354" s="171">
        <f t="shared" ref="CX354:CX365" si="551">BB$380/$BF354*$BI354</f>
        <v>0</v>
      </c>
      <c r="CY354" s="170">
        <f t="shared" si="515"/>
        <v>0</v>
      </c>
      <c r="CZ354" s="168">
        <f t="shared" si="516"/>
        <v>0</v>
      </c>
      <c r="DA354" s="172">
        <f t="shared" si="518"/>
        <v>0</v>
      </c>
      <c r="DB354" s="173">
        <f t="shared" si="519"/>
        <v>0</v>
      </c>
      <c r="DC354" s="172">
        <f t="shared" si="520"/>
        <v>0</v>
      </c>
      <c r="DD354" s="172">
        <f t="shared" si="520"/>
        <v>0</v>
      </c>
      <c r="DE354" s="172">
        <f t="shared" si="520"/>
        <v>0</v>
      </c>
      <c r="DF354" s="172">
        <f>IF(DA354-(DE353+CZ354)&lt;0,0,DA354-(DE353+CZ354))</f>
        <v>0</v>
      </c>
      <c r="DG354" s="1"/>
      <c r="DH354" s="1"/>
      <c r="DI354" s="3"/>
      <c r="DJ354" s="8"/>
      <c r="DK354" s="8"/>
      <c r="DL354" s="8"/>
      <c r="DM354" s="8"/>
      <c r="DN354" s="8"/>
      <c r="DO354" s="8"/>
      <c r="DP354" s="8"/>
      <c r="DQ354" s="3"/>
      <c r="DR354" s="8"/>
      <c r="DS354" s="8"/>
      <c r="DT354" s="8"/>
      <c r="DU354" s="8"/>
      <c r="DV354" s="8"/>
      <c r="DW354" s="8"/>
      <c r="DX354" s="8"/>
      <c r="DY354" s="8"/>
      <c r="DZ354" s="8"/>
      <c r="EA354" s="8"/>
      <c r="EB354" s="8"/>
      <c r="EC354" s="8"/>
      <c r="ED354" s="8"/>
      <c r="EE354" s="8"/>
      <c r="EF354" s="8"/>
      <c r="EG354" s="8"/>
      <c r="EH354" s="8"/>
      <c r="EI354" s="8"/>
      <c r="EJ354" s="8"/>
      <c r="EK354" s="8"/>
      <c r="EL354" s="8"/>
      <c r="EM354" s="8"/>
      <c r="EN354" s="8"/>
      <c r="EO354" s="8"/>
      <c r="EP354" s="8"/>
      <c r="EQ354" s="8"/>
      <c r="ER354" s="8"/>
      <c r="ES354" s="8"/>
      <c r="ET354" s="8"/>
      <c r="EU354" s="8"/>
      <c r="EV354" s="8"/>
      <c r="EW354" s="8"/>
      <c r="EX354" s="8"/>
      <c r="EY354" s="8"/>
    </row>
    <row r="355" spans="1:155" s="566" customFormat="1" ht="18" customHeight="1">
      <c r="A355" s="197"/>
      <c r="B355" s="194" t="s">
        <v>15</v>
      </c>
      <c r="C355" s="324"/>
      <c r="D355" s="324">
        <f t="shared" si="525"/>
        <v>0</v>
      </c>
      <c r="E355" s="70"/>
      <c r="F355" s="70"/>
      <c r="G355" s="70"/>
      <c r="H355" s="70"/>
      <c r="I355" s="70"/>
      <c r="J355" s="70"/>
      <c r="K355" s="70"/>
      <c r="L355" s="70"/>
      <c r="M355" s="70"/>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3"/>
      <c r="BE355" s="165" t="s">
        <v>22</v>
      </c>
      <c r="BF355" s="23">
        <v>23</v>
      </c>
      <c r="BG355" s="23">
        <v>2</v>
      </c>
      <c r="BH355" s="23">
        <v>4</v>
      </c>
      <c r="BI355" s="90" t="b">
        <f t="shared" si="517"/>
        <v>1</v>
      </c>
      <c r="BJ355" s="46" t="b">
        <f t="shared" si="526"/>
        <v>1</v>
      </c>
      <c r="BK355" s="166">
        <f t="shared" si="527"/>
        <v>7</v>
      </c>
      <c r="BL355" s="175">
        <f>IF(SUM(BL$354:BL354,BK355)&gt;$BU$4,0,BK355)</f>
        <v>7</v>
      </c>
      <c r="BM355" s="23">
        <f t="shared" si="502"/>
        <v>0</v>
      </c>
      <c r="BN355" s="90">
        <f t="shared" si="503"/>
        <v>0</v>
      </c>
      <c r="BO355" s="24">
        <f t="shared" si="522"/>
        <v>0</v>
      </c>
      <c r="BP355" s="168">
        <f t="shared" si="528"/>
        <v>0</v>
      </c>
      <c r="BQ355" s="171">
        <f t="shared" si="529"/>
        <v>0</v>
      </c>
      <c r="BR355" s="170">
        <f t="shared" si="504"/>
        <v>0</v>
      </c>
      <c r="BS355" s="168">
        <f t="shared" si="530"/>
        <v>0</v>
      </c>
      <c r="BT355" s="171">
        <f t="shared" si="531"/>
        <v>0</v>
      </c>
      <c r="BU355" s="170">
        <f t="shared" si="505"/>
        <v>0</v>
      </c>
      <c r="BV355" s="168">
        <f t="shared" si="532"/>
        <v>0</v>
      </c>
      <c r="BW355" s="171">
        <f t="shared" si="533"/>
        <v>0</v>
      </c>
      <c r="BX355" s="170">
        <f t="shared" si="506"/>
        <v>0</v>
      </c>
      <c r="BY355" s="168">
        <f t="shared" si="534"/>
        <v>0</v>
      </c>
      <c r="BZ355" s="171">
        <f t="shared" si="535"/>
        <v>0</v>
      </c>
      <c r="CA355" s="170">
        <f t="shared" si="507"/>
        <v>0</v>
      </c>
      <c r="CB355" s="90">
        <f t="shared" si="536"/>
        <v>0</v>
      </c>
      <c r="CC355" s="171">
        <f t="shared" si="537"/>
        <v>0</v>
      </c>
      <c r="CD355" s="170">
        <f t="shared" si="508"/>
        <v>0</v>
      </c>
      <c r="CE355" s="90">
        <f t="shared" si="538"/>
        <v>0</v>
      </c>
      <c r="CF355" s="171">
        <f t="shared" si="539"/>
        <v>0</v>
      </c>
      <c r="CG355" s="170">
        <f t="shared" si="509"/>
        <v>0</v>
      </c>
      <c r="CH355" s="90">
        <f t="shared" si="540"/>
        <v>0</v>
      </c>
      <c r="CI355" s="171">
        <f t="shared" si="541"/>
        <v>0</v>
      </c>
      <c r="CJ355" s="170">
        <f t="shared" si="510"/>
        <v>0</v>
      </c>
      <c r="CK355" s="90">
        <f t="shared" si="542"/>
        <v>0</v>
      </c>
      <c r="CL355" s="171">
        <f t="shared" si="543"/>
        <v>0</v>
      </c>
      <c r="CM355" s="170">
        <f t="shared" si="511"/>
        <v>0</v>
      </c>
      <c r="CN355" s="90">
        <f t="shared" si="544"/>
        <v>0</v>
      </c>
      <c r="CO355" s="171">
        <f t="shared" si="545"/>
        <v>0</v>
      </c>
      <c r="CP355" s="170">
        <f t="shared" si="512"/>
        <v>0</v>
      </c>
      <c r="CQ355" s="90">
        <f t="shared" si="546"/>
        <v>0</v>
      </c>
      <c r="CR355" s="171">
        <f t="shared" si="547"/>
        <v>0</v>
      </c>
      <c r="CS355" s="170">
        <f t="shared" si="513"/>
        <v>0</v>
      </c>
      <c r="CT355" s="90">
        <f t="shared" si="548"/>
        <v>0</v>
      </c>
      <c r="CU355" s="171">
        <f t="shared" si="549"/>
        <v>0</v>
      </c>
      <c r="CV355" s="170">
        <f t="shared" si="514"/>
        <v>0</v>
      </c>
      <c r="CW355" s="90">
        <f t="shared" si="550"/>
        <v>0</v>
      </c>
      <c r="CX355" s="171">
        <f t="shared" si="551"/>
        <v>0</v>
      </c>
      <c r="CY355" s="170">
        <f t="shared" si="515"/>
        <v>0</v>
      </c>
      <c r="CZ355" s="168">
        <f t="shared" si="516"/>
        <v>0</v>
      </c>
      <c r="DA355" s="172">
        <f t="shared" si="518"/>
        <v>0</v>
      </c>
      <c r="DB355" s="173">
        <f t="shared" si="519"/>
        <v>0</v>
      </c>
      <c r="DC355" s="172">
        <f t="shared" si="520"/>
        <v>0</v>
      </c>
      <c r="DD355" s="172">
        <f t="shared" si="520"/>
        <v>0</v>
      </c>
      <c r="DE355" s="172">
        <f t="shared" si="520"/>
        <v>0</v>
      </c>
      <c r="DF355" s="172">
        <f t="shared" si="521"/>
        <v>0</v>
      </c>
      <c r="DG355" s="1"/>
      <c r="DH355" s="1"/>
      <c r="DI355" s="3"/>
      <c r="DJ355" s="8"/>
      <c r="DK355" s="8"/>
      <c r="DL355" s="8"/>
      <c r="DM355" s="8"/>
      <c r="DN355" s="8"/>
      <c r="DO355" s="8"/>
      <c r="DP355" s="8"/>
      <c r="DQ355" s="3"/>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row>
    <row r="356" spans="1:155" s="566" customFormat="1" ht="18" customHeight="1">
      <c r="A356" s="197"/>
      <c r="B356" s="194" t="s">
        <v>185</v>
      </c>
      <c r="C356" s="324"/>
      <c r="D356" s="324">
        <f t="shared" si="525"/>
        <v>0</v>
      </c>
      <c r="E356" s="70"/>
      <c r="F356" s="70"/>
      <c r="G356" s="70"/>
      <c r="H356" s="70"/>
      <c r="I356" s="70"/>
      <c r="J356" s="70"/>
      <c r="K356" s="70"/>
      <c r="L356" s="70"/>
      <c r="M356" s="70"/>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3"/>
      <c r="BE356" s="165" t="s">
        <v>22</v>
      </c>
      <c r="BF356" s="23">
        <v>23</v>
      </c>
      <c r="BG356" s="23">
        <v>3</v>
      </c>
      <c r="BH356" s="23">
        <v>5</v>
      </c>
      <c r="BI356" s="90" t="b">
        <f t="shared" si="517"/>
        <v>1</v>
      </c>
      <c r="BJ356" s="46" t="b">
        <f t="shared" si="526"/>
        <v>0</v>
      </c>
      <c r="BK356" s="166">
        <f t="shared" si="527"/>
        <v>0</v>
      </c>
      <c r="BL356" s="175">
        <f>IF(SUM(BL$354:BL355,BK356)&gt;$BU$4,0,BK356)</f>
        <v>0</v>
      </c>
      <c r="BM356" s="23">
        <f t="shared" si="502"/>
        <v>0</v>
      </c>
      <c r="BN356" s="90">
        <f t="shared" si="503"/>
        <v>0</v>
      </c>
      <c r="BO356" s="24">
        <f t="shared" si="522"/>
        <v>0</v>
      </c>
      <c r="BP356" s="168">
        <f t="shared" si="528"/>
        <v>0</v>
      </c>
      <c r="BQ356" s="171">
        <f t="shared" si="529"/>
        <v>0</v>
      </c>
      <c r="BR356" s="170">
        <f t="shared" si="504"/>
        <v>0</v>
      </c>
      <c r="BS356" s="168">
        <f t="shared" si="530"/>
        <v>0</v>
      </c>
      <c r="BT356" s="171">
        <f t="shared" si="531"/>
        <v>0</v>
      </c>
      <c r="BU356" s="170">
        <f t="shared" si="505"/>
        <v>0</v>
      </c>
      <c r="BV356" s="168">
        <f t="shared" si="532"/>
        <v>0</v>
      </c>
      <c r="BW356" s="171">
        <f t="shared" si="533"/>
        <v>0</v>
      </c>
      <c r="BX356" s="170">
        <f t="shared" si="506"/>
        <v>0</v>
      </c>
      <c r="BY356" s="168">
        <f t="shared" si="534"/>
        <v>0</v>
      </c>
      <c r="BZ356" s="171">
        <f t="shared" si="535"/>
        <v>0</v>
      </c>
      <c r="CA356" s="170">
        <f t="shared" si="507"/>
        <v>0</v>
      </c>
      <c r="CB356" s="90">
        <f t="shared" si="536"/>
        <v>0</v>
      </c>
      <c r="CC356" s="171">
        <f t="shared" si="537"/>
        <v>0</v>
      </c>
      <c r="CD356" s="170">
        <f t="shared" si="508"/>
        <v>0</v>
      </c>
      <c r="CE356" s="90">
        <f t="shared" si="538"/>
        <v>0</v>
      </c>
      <c r="CF356" s="171">
        <f t="shared" si="539"/>
        <v>0</v>
      </c>
      <c r="CG356" s="170">
        <f t="shared" si="509"/>
        <v>0</v>
      </c>
      <c r="CH356" s="90">
        <f t="shared" si="540"/>
        <v>0</v>
      </c>
      <c r="CI356" s="171">
        <f t="shared" si="541"/>
        <v>0</v>
      </c>
      <c r="CJ356" s="170">
        <f t="shared" si="510"/>
        <v>0</v>
      </c>
      <c r="CK356" s="90">
        <f t="shared" si="542"/>
        <v>0</v>
      </c>
      <c r="CL356" s="171">
        <f t="shared" si="543"/>
        <v>0</v>
      </c>
      <c r="CM356" s="170">
        <f t="shared" si="511"/>
        <v>0</v>
      </c>
      <c r="CN356" s="90">
        <f t="shared" si="544"/>
        <v>0</v>
      </c>
      <c r="CO356" s="171">
        <f t="shared" si="545"/>
        <v>0</v>
      </c>
      <c r="CP356" s="170">
        <f t="shared" si="512"/>
        <v>0</v>
      </c>
      <c r="CQ356" s="90">
        <f t="shared" si="546"/>
        <v>0</v>
      </c>
      <c r="CR356" s="171">
        <f t="shared" si="547"/>
        <v>0</v>
      </c>
      <c r="CS356" s="170">
        <f t="shared" si="513"/>
        <v>0</v>
      </c>
      <c r="CT356" s="90">
        <f t="shared" si="548"/>
        <v>0</v>
      </c>
      <c r="CU356" s="171">
        <f t="shared" si="549"/>
        <v>0</v>
      </c>
      <c r="CV356" s="170">
        <f t="shared" si="514"/>
        <v>0</v>
      </c>
      <c r="CW356" s="90">
        <f t="shared" si="550"/>
        <v>0</v>
      </c>
      <c r="CX356" s="171">
        <f t="shared" si="551"/>
        <v>0</v>
      </c>
      <c r="CY356" s="170">
        <f t="shared" si="515"/>
        <v>0</v>
      </c>
      <c r="CZ356" s="168">
        <f t="shared" si="516"/>
        <v>0</v>
      </c>
      <c r="DA356" s="172">
        <f t="shared" si="518"/>
        <v>0</v>
      </c>
      <c r="DB356" s="173">
        <f t="shared" si="519"/>
        <v>0</v>
      </c>
      <c r="DC356" s="172">
        <f t="shared" si="520"/>
        <v>0</v>
      </c>
      <c r="DD356" s="172">
        <f t="shared" si="520"/>
        <v>0</v>
      </c>
      <c r="DE356" s="172">
        <f t="shared" si="520"/>
        <v>0</v>
      </c>
      <c r="DF356" s="172">
        <f t="shared" si="521"/>
        <v>0</v>
      </c>
      <c r="DG356" s="1"/>
      <c r="DH356" s="1"/>
      <c r="DI356" s="3"/>
      <c r="DJ356" s="8"/>
      <c r="DK356" s="8"/>
      <c r="DL356" s="8"/>
      <c r="DM356" s="8"/>
      <c r="DN356" s="8"/>
      <c r="DO356" s="8"/>
      <c r="DP356" s="8"/>
      <c r="DQ356" s="3"/>
      <c r="DR356" s="8"/>
      <c r="DS356" s="8"/>
      <c r="DT356" s="8"/>
      <c r="DU356" s="8"/>
      <c r="DV356" s="8"/>
      <c r="DW356" s="8"/>
      <c r="DX356" s="8"/>
      <c r="DY356" s="8"/>
      <c r="DZ356" s="8"/>
      <c r="EA356" s="8"/>
      <c r="EB356" s="8"/>
      <c r="EC356" s="8"/>
      <c r="ED356" s="8"/>
      <c r="EE356" s="8"/>
      <c r="EF356" s="8"/>
      <c r="EG356" s="8"/>
      <c r="EH356" s="8"/>
      <c r="EI356" s="8"/>
      <c r="EJ356" s="8"/>
      <c r="EK356" s="8"/>
      <c r="EL356" s="8"/>
      <c r="EM356" s="8"/>
      <c r="EN356" s="8"/>
      <c r="EO356" s="8"/>
      <c r="EP356" s="8"/>
      <c r="EQ356" s="8"/>
      <c r="ER356" s="8"/>
      <c r="ES356" s="8"/>
      <c r="ET356" s="8"/>
      <c r="EU356" s="8"/>
      <c r="EV356" s="8"/>
      <c r="EW356" s="8"/>
      <c r="EX356" s="8"/>
      <c r="EY356" s="8"/>
    </row>
    <row r="357" spans="1:155" s="566" customFormat="1" ht="18" customHeight="1">
      <c r="A357" s="197"/>
      <c r="B357" s="194" t="s">
        <v>186</v>
      </c>
      <c r="C357" s="324"/>
      <c r="D357" s="324">
        <f t="shared" si="525"/>
        <v>0</v>
      </c>
      <c r="E357" s="70"/>
      <c r="F357" s="70"/>
      <c r="G357" s="70"/>
      <c r="H357" s="70"/>
      <c r="I357" s="70"/>
      <c r="J357" s="70"/>
      <c r="K357" s="70"/>
      <c r="L357" s="70"/>
      <c r="M357" s="70"/>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3"/>
      <c r="BE357" s="165" t="s">
        <v>22</v>
      </c>
      <c r="BF357" s="23">
        <v>23</v>
      </c>
      <c r="BG357" s="23">
        <v>4</v>
      </c>
      <c r="BH357" s="23">
        <v>6</v>
      </c>
      <c r="BI357" s="90" t="b">
        <f t="shared" si="517"/>
        <v>0</v>
      </c>
      <c r="BJ357" s="46" t="b">
        <f t="shared" si="526"/>
        <v>1</v>
      </c>
      <c r="BK357" s="166">
        <f t="shared" si="527"/>
        <v>7</v>
      </c>
      <c r="BL357" s="175">
        <f>IF(SUM(BL$354:BL356,BK357)&gt;$BU$4,0,BK357)</f>
        <v>7</v>
      </c>
      <c r="BM357" s="23">
        <f t="shared" si="502"/>
        <v>0</v>
      </c>
      <c r="BN357" s="90">
        <f t="shared" si="503"/>
        <v>0</v>
      </c>
      <c r="BO357" s="24">
        <f t="shared" si="522"/>
        <v>0</v>
      </c>
      <c r="BP357" s="168">
        <f t="shared" si="528"/>
        <v>0</v>
      </c>
      <c r="BQ357" s="171">
        <f t="shared" si="529"/>
        <v>0</v>
      </c>
      <c r="BR357" s="170">
        <f t="shared" si="504"/>
        <v>0</v>
      </c>
      <c r="BS357" s="168">
        <f t="shared" si="530"/>
        <v>0</v>
      </c>
      <c r="BT357" s="171">
        <f t="shared" si="531"/>
        <v>0</v>
      </c>
      <c r="BU357" s="170">
        <f t="shared" si="505"/>
        <v>0</v>
      </c>
      <c r="BV357" s="168">
        <f t="shared" si="532"/>
        <v>0</v>
      </c>
      <c r="BW357" s="171">
        <f t="shared" si="533"/>
        <v>0</v>
      </c>
      <c r="BX357" s="170">
        <f t="shared" si="506"/>
        <v>0</v>
      </c>
      <c r="BY357" s="168">
        <f t="shared" si="534"/>
        <v>0</v>
      </c>
      <c r="BZ357" s="171">
        <f t="shared" si="535"/>
        <v>0</v>
      </c>
      <c r="CA357" s="170">
        <f t="shared" si="507"/>
        <v>0</v>
      </c>
      <c r="CB357" s="90">
        <f t="shared" si="536"/>
        <v>0</v>
      </c>
      <c r="CC357" s="171">
        <f t="shared" si="537"/>
        <v>0</v>
      </c>
      <c r="CD357" s="170">
        <f t="shared" si="508"/>
        <v>0</v>
      </c>
      <c r="CE357" s="90">
        <f t="shared" si="538"/>
        <v>0</v>
      </c>
      <c r="CF357" s="171">
        <f t="shared" si="539"/>
        <v>0</v>
      </c>
      <c r="CG357" s="170">
        <f t="shared" si="509"/>
        <v>0</v>
      </c>
      <c r="CH357" s="90">
        <f t="shared" si="540"/>
        <v>0</v>
      </c>
      <c r="CI357" s="171">
        <f t="shared" si="541"/>
        <v>0</v>
      </c>
      <c r="CJ357" s="170">
        <f t="shared" si="510"/>
        <v>0</v>
      </c>
      <c r="CK357" s="90">
        <f t="shared" si="542"/>
        <v>0</v>
      </c>
      <c r="CL357" s="171">
        <f t="shared" si="543"/>
        <v>0</v>
      </c>
      <c r="CM357" s="170">
        <f t="shared" si="511"/>
        <v>0</v>
      </c>
      <c r="CN357" s="90">
        <f t="shared" si="544"/>
        <v>0</v>
      </c>
      <c r="CO357" s="171">
        <f t="shared" si="545"/>
        <v>0</v>
      </c>
      <c r="CP357" s="170">
        <f t="shared" si="512"/>
        <v>0</v>
      </c>
      <c r="CQ357" s="90">
        <f t="shared" si="546"/>
        <v>0</v>
      </c>
      <c r="CR357" s="171">
        <f t="shared" si="547"/>
        <v>0</v>
      </c>
      <c r="CS357" s="170">
        <f t="shared" si="513"/>
        <v>0</v>
      </c>
      <c r="CT357" s="90">
        <f t="shared" si="548"/>
        <v>0</v>
      </c>
      <c r="CU357" s="171">
        <f t="shared" si="549"/>
        <v>0</v>
      </c>
      <c r="CV357" s="170">
        <f t="shared" si="514"/>
        <v>0</v>
      </c>
      <c r="CW357" s="90">
        <f t="shared" si="550"/>
        <v>0</v>
      </c>
      <c r="CX357" s="171">
        <f t="shared" si="551"/>
        <v>0</v>
      </c>
      <c r="CY357" s="170">
        <f t="shared" si="515"/>
        <v>0</v>
      </c>
      <c r="CZ357" s="168">
        <f t="shared" si="516"/>
        <v>0</v>
      </c>
      <c r="DA357" s="172">
        <f t="shared" si="518"/>
        <v>0</v>
      </c>
      <c r="DB357" s="173">
        <f t="shared" si="519"/>
        <v>0</v>
      </c>
      <c r="DC357" s="172">
        <f t="shared" ref="DC357:DE365" si="552">IF(DC356+$DB357&lt;0,0,IF(DC356+$DB357&gt;$F$405,$F$405,DC356+$DB357))</f>
        <v>0</v>
      </c>
      <c r="DD357" s="172">
        <f t="shared" si="552"/>
        <v>0</v>
      </c>
      <c r="DE357" s="172">
        <f t="shared" si="552"/>
        <v>0</v>
      </c>
      <c r="DF357" s="172">
        <f t="shared" si="521"/>
        <v>0</v>
      </c>
      <c r="DG357" s="1"/>
      <c r="DH357" s="1"/>
      <c r="DI357" s="3"/>
      <c r="DJ357" s="8"/>
      <c r="DK357" s="8"/>
      <c r="DL357" s="8"/>
      <c r="DM357" s="8"/>
      <c r="DN357" s="8"/>
      <c r="DO357" s="8"/>
      <c r="DP357" s="8"/>
      <c r="DQ357" s="3"/>
      <c r="DR357" s="274"/>
      <c r="DS357" s="274"/>
      <c r="DT357" s="274"/>
      <c r="DU357" s="274"/>
      <c r="DV357" s="274"/>
      <c r="DW357" s="274"/>
      <c r="DX357" s="274"/>
      <c r="DY357" s="274"/>
      <c r="DZ357" s="274"/>
      <c r="EA357" s="274"/>
      <c r="EB357" s="274"/>
      <c r="EC357" s="274"/>
      <c r="ED357" s="274"/>
      <c r="EE357" s="274"/>
      <c r="EF357" s="274"/>
      <c r="EG357" s="274"/>
      <c r="EH357" s="274"/>
      <c r="EI357" s="274"/>
      <c r="EJ357" s="274"/>
      <c r="EK357" s="274"/>
      <c r="EL357" s="274"/>
      <c r="EM357" s="274"/>
      <c r="EN357" s="274"/>
      <c r="EO357" s="274"/>
      <c r="EP357" s="274"/>
      <c r="EQ357" s="274"/>
      <c r="ER357" s="274"/>
      <c r="ES357" s="274"/>
      <c r="ET357" s="274"/>
      <c r="EU357" s="274"/>
      <c r="EV357" s="274"/>
      <c r="EW357" s="274"/>
      <c r="EX357" s="8"/>
      <c r="EY357" s="8"/>
    </row>
    <row r="358" spans="1:155" s="566" customFormat="1" ht="18" customHeight="1">
      <c r="A358" s="181"/>
      <c r="B358" s="194" t="s">
        <v>187</v>
      </c>
      <c r="C358" s="324"/>
      <c r="D358" s="324">
        <f t="shared" si="525"/>
        <v>0</v>
      </c>
      <c r="E358" s="70"/>
      <c r="F358" s="70"/>
      <c r="G358" s="70"/>
      <c r="H358" s="70"/>
      <c r="I358" s="70"/>
      <c r="J358" s="70"/>
      <c r="K358" s="70"/>
      <c r="L358" s="70"/>
      <c r="M358" s="70"/>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3"/>
      <c r="BE358" s="165" t="s">
        <v>22</v>
      </c>
      <c r="BF358" s="23">
        <v>23</v>
      </c>
      <c r="BG358" s="23">
        <v>5</v>
      </c>
      <c r="BH358" s="23">
        <v>7</v>
      </c>
      <c r="BI358" s="90" t="b">
        <f t="shared" si="517"/>
        <v>0</v>
      </c>
      <c r="BJ358" s="46" t="b">
        <f t="shared" si="526"/>
        <v>0</v>
      </c>
      <c r="BK358" s="166">
        <f t="shared" si="527"/>
        <v>0</v>
      </c>
      <c r="BL358" s="175">
        <f>IF(SUM(BL$354:BL357,BK358)&gt;$BU$4,0,BK358)</f>
        <v>0</v>
      </c>
      <c r="BM358" s="23">
        <f t="shared" si="502"/>
        <v>0</v>
      </c>
      <c r="BN358" s="90">
        <f t="shared" si="503"/>
        <v>0</v>
      </c>
      <c r="BO358" s="24">
        <f t="shared" si="522"/>
        <v>0</v>
      </c>
      <c r="BP358" s="168">
        <f t="shared" si="528"/>
        <v>0</v>
      </c>
      <c r="BQ358" s="171">
        <f t="shared" si="529"/>
        <v>0</v>
      </c>
      <c r="BR358" s="170">
        <f t="shared" si="504"/>
        <v>0</v>
      </c>
      <c r="BS358" s="168">
        <f t="shared" si="530"/>
        <v>0</v>
      </c>
      <c r="BT358" s="171">
        <f t="shared" si="531"/>
        <v>0</v>
      </c>
      <c r="BU358" s="170">
        <f t="shared" si="505"/>
        <v>0</v>
      </c>
      <c r="BV358" s="168">
        <f t="shared" si="532"/>
        <v>0</v>
      </c>
      <c r="BW358" s="171">
        <f t="shared" si="533"/>
        <v>0</v>
      </c>
      <c r="BX358" s="170">
        <f t="shared" si="506"/>
        <v>0</v>
      </c>
      <c r="BY358" s="168">
        <f t="shared" si="534"/>
        <v>0</v>
      </c>
      <c r="BZ358" s="171">
        <f t="shared" si="535"/>
        <v>0</v>
      </c>
      <c r="CA358" s="170">
        <f t="shared" si="507"/>
        <v>0</v>
      </c>
      <c r="CB358" s="90">
        <f t="shared" si="536"/>
        <v>0</v>
      </c>
      <c r="CC358" s="171">
        <f t="shared" si="537"/>
        <v>0</v>
      </c>
      <c r="CD358" s="170">
        <f t="shared" si="508"/>
        <v>0</v>
      </c>
      <c r="CE358" s="90">
        <f t="shared" si="538"/>
        <v>0</v>
      </c>
      <c r="CF358" s="171">
        <f t="shared" si="539"/>
        <v>0</v>
      </c>
      <c r="CG358" s="170">
        <f t="shared" si="509"/>
        <v>0</v>
      </c>
      <c r="CH358" s="90">
        <f t="shared" si="540"/>
        <v>0</v>
      </c>
      <c r="CI358" s="171">
        <f t="shared" si="541"/>
        <v>0</v>
      </c>
      <c r="CJ358" s="170">
        <f t="shared" si="510"/>
        <v>0</v>
      </c>
      <c r="CK358" s="90">
        <f t="shared" si="542"/>
        <v>0</v>
      </c>
      <c r="CL358" s="171">
        <f t="shared" si="543"/>
        <v>0</v>
      </c>
      <c r="CM358" s="170">
        <f t="shared" si="511"/>
        <v>0</v>
      </c>
      <c r="CN358" s="90">
        <f t="shared" si="544"/>
        <v>0</v>
      </c>
      <c r="CO358" s="171">
        <f t="shared" si="545"/>
        <v>0</v>
      </c>
      <c r="CP358" s="170">
        <f t="shared" si="512"/>
        <v>0</v>
      </c>
      <c r="CQ358" s="90">
        <f t="shared" si="546"/>
        <v>0</v>
      </c>
      <c r="CR358" s="171">
        <f t="shared" si="547"/>
        <v>0</v>
      </c>
      <c r="CS358" s="170">
        <f t="shared" si="513"/>
        <v>0</v>
      </c>
      <c r="CT358" s="90">
        <f t="shared" si="548"/>
        <v>0</v>
      </c>
      <c r="CU358" s="171">
        <f t="shared" si="549"/>
        <v>0</v>
      </c>
      <c r="CV358" s="170">
        <f t="shared" si="514"/>
        <v>0</v>
      </c>
      <c r="CW358" s="90">
        <f t="shared" si="550"/>
        <v>0</v>
      </c>
      <c r="CX358" s="171">
        <f t="shared" si="551"/>
        <v>0</v>
      </c>
      <c r="CY358" s="170">
        <f t="shared" si="515"/>
        <v>0</v>
      </c>
      <c r="CZ358" s="168">
        <f t="shared" si="516"/>
        <v>0</v>
      </c>
      <c r="DA358" s="172">
        <f t="shared" si="518"/>
        <v>0</v>
      </c>
      <c r="DB358" s="173">
        <f t="shared" si="519"/>
        <v>0</v>
      </c>
      <c r="DC358" s="172">
        <f t="shared" si="552"/>
        <v>0</v>
      </c>
      <c r="DD358" s="172">
        <f t="shared" si="552"/>
        <v>0</v>
      </c>
      <c r="DE358" s="172">
        <f t="shared" si="552"/>
        <v>0</v>
      </c>
      <c r="DF358" s="172">
        <f t="shared" si="521"/>
        <v>0</v>
      </c>
      <c r="DG358" s="1"/>
      <c r="DH358" s="1"/>
      <c r="DI358" s="3"/>
      <c r="DJ358" s="8"/>
      <c r="DK358" s="8"/>
      <c r="DL358" s="8"/>
      <c r="DM358" s="8"/>
      <c r="DN358" s="8"/>
      <c r="DO358" s="8"/>
      <c r="DP358" s="8"/>
      <c r="DQ358" s="3"/>
      <c r="DR358" s="8"/>
      <c r="DS358" s="8"/>
      <c r="DT358" s="8"/>
      <c r="DU358" s="8"/>
      <c r="DV358" s="8"/>
      <c r="DW358" s="8"/>
      <c r="DX358" s="8"/>
      <c r="DY358" s="8"/>
      <c r="DZ358" s="8"/>
      <c r="EA358" s="8"/>
      <c r="EB358" s="8"/>
      <c r="EC358" s="8"/>
      <c r="ED358" s="8"/>
      <c r="EE358" s="8"/>
      <c r="EF358" s="8"/>
      <c r="EG358" s="8"/>
      <c r="EH358" s="8"/>
      <c r="EI358" s="8"/>
      <c r="EJ358" s="8"/>
      <c r="EK358" s="8"/>
      <c r="EL358" s="8"/>
      <c r="EM358" s="8"/>
      <c r="EN358" s="8"/>
      <c r="EO358" s="8"/>
      <c r="EP358" s="8"/>
      <c r="EQ358" s="8"/>
      <c r="ER358" s="8"/>
      <c r="ES358" s="8"/>
      <c r="ET358" s="8"/>
      <c r="EU358" s="8"/>
      <c r="EV358" s="8"/>
      <c r="EW358" s="8"/>
      <c r="EX358" s="8"/>
      <c r="EY358" s="8"/>
    </row>
    <row r="359" spans="1:155" s="566" customFormat="1" ht="18" customHeight="1">
      <c r="A359" s="221"/>
      <c r="B359" s="194" t="s">
        <v>188</v>
      </c>
      <c r="C359" s="324"/>
      <c r="D359" s="324">
        <f t="shared" si="525"/>
        <v>0</v>
      </c>
      <c r="E359" s="70"/>
      <c r="F359" s="70"/>
      <c r="G359" s="70"/>
      <c r="H359" s="70"/>
      <c r="I359" s="70"/>
      <c r="J359" s="70"/>
      <c r="K359" s="70"/>
      <c r="L359" s="70"/>
      <c r="M359" s="70"/>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3"/>
      <c r="BE359" s="165" t="s">
        <v>22</v>
      </c>
      <c r="BF359" s="23">
        <v>23</v>
      </c>
      <c r="BG359" s="23">
        <v>6</v>
      </c>
      <c r="BH359" s="23">
        <v>1</v>
      </c>
      <c r="BI359" s="90" t="b">
        <f t="shared" si="517"/>
        <v>1</v>
      </c>
      <c r="BJ359" s="46" t="b">
        <f t="shared" si="526"/>
        <v>1</v>
      </c>
      <c r="BK359" s="166">
        <f t="shared" si="527"/>
        <v>7</v>
      </c>
      <c r="BL359" s="175">
        <f>IF(SUM(BL$354:BL358,BK359)&gt;$BU$4,0,BK359)</f>
        <v>7</v>
      </c>
      <c r="BM359" s="23">
        <f t="shared" si="502"/>
        <v>0</v>
      </c>
      <c r="BN359" s="90">
        <f t="shared" si="503"/>
        <v>0</v>
      </c>
      <c r="BO359" s="24">
        <f t="shared" si="522"/>
        <v>0</v>
      </c>
      <c r="BP359" s="168">
        <f t="shared" si="528"/>
        <v>0</v>
      </c>
      <c r="BQ359" s="171">
        <f t="shared" si="529"/>
        <v>0</v>
      </c>
      <c r="BR359" s="170">
        <f t="shared" si="504"/>
        <v>0</v>
      </c>
      <c r="BS359" s="168">
        <f t="shared" si="530"/>
        <v>0</v>
      </c>
      <c r="BT359" s="171">
        <f t="shared" si="531"/>
        <v>0</v>
      </c>
      <c r="BU359" s="170">
        <f t="shared" si="505"/>
        <v>0</v>
      </c>
      <c r="BV359" s="168">
        <f t="shared" si="532"/>
        <v>0</v>
      </c>
      <c r="BW359" s="171">
        <f t="shared" si="533"/>
        <v>0</v>
      </c>
      <c r="BX359" s="170">
        <f t="shared" si="506"/>
        <v>0</v>
      </c>
      <c r="BY359" s="168">
        <f t="shared" si="534"/>
        <v>0</v>
      </c>
      <c r="BZ359" s="171">
        <f t="shared" si="535"/>
        <v>0</v>
      </c>
      <c r="CA359" s="170">
        <f t="shared" si="507"/>
        <v>0</v>
      </c>
      <c r="CB359" s="90">
        <f t="shared" si="536"/>
        <v>0</v>
      </c>
      <c r="CC359" s="171">
        <f t="shared" si="537"/>
        <v>0</v>
      </c>
      <c r="CD359" s="170">
        <f t="shared" si="508"/>
        <v>0</v>
      </c>
      <c r="CE359" s="90">
        <f t="shared" si="538"/>
        <v>0</v>
      </c>
      <c r="CF359" s="171">
        <f t="shared" si="539"/>
        <v>0</v>
      </c>
      <c r="CG359" s="170">
        <f t="shared" si="509"/>
        <v>0</v>
      </c>
      <c r="CH359" s="90">
        <f t="shared" si="540"/>
        <v>0</v>
      </c>
      <c r="CI359" s="171">
        <f t="shared" si="541"/>
        <v>0</v>
      </c>
      <c r="CJ359" s="170">
        <f t="shared" si="510"/>
        <v>0</v>
      </c>
      <c r="CK359" s="90">
        <f t="shared" si="542"/>
        <v>0</v>
      </c>
      <c r="CL359" s="171">
        <f t="shared" si="543"/>
        <v>0</v>
      </c>
      <c r="CM359" s="170">
        <f t="shared" si="511"/>
        <v>0</v>
      </c>
      <c r="CN359" s="90">
        <f t="shared" si="544"/>
        <v>0</v>
      </c>
      <c r="CO359" s="171">
        <f t="shared" si="545"/>
        <v>0</v>
      </c>
      <c r="CP359" s="170">
        <f t="shared" si="512"/>
        <v>0</v>
      </c>
      <c r="CQ359" s="90">
        <f t="shared" si="546"/>
        <v>0</v>
      </c>
      <c r="CR359" s="171">
        <f t="shared" si="547"/>
        <v>0</v>
      </c>
      <c r="CS359" s="170">
        <f t="shared" si="513"/>
        <v>0</v>
      </c>
      <c r="CT359" s="90">
        <f t="shared" si="548"/>
        <v>0</v>
      </c>
      <c r="CU359" s="171">
        <f t="shared" si="549"/>
        <v>0</v>
      </c>
      <c r="CV359" s="170">
        <f t="shared" si="514"/>
        <v>0</v>
      </c>
      <c r="CW359" s="90">
        <f t="shared" si="550"/>
        <v>0</v>
      </c>
      <c r="CX359" s="171">
        <f t="shared" si="551"/>
        <v>0</v>
      </c>
      <c r="CY359" s="170">
        <f t="shared" si="515"/>
        <v>0</v>
      </c>
      <c r="CZ359" s="168">
        <f t="shared" si="516"/>
        <v>0</v>
      </c>
      <c r="DA359" s="172">
        <f t="shared" si="518"/>
        <v>0</v>
      </c>
      <c r="DB359" s="173">
        <f t="shared" si="519"/>
        <v>0</v>
      </c>
      <c r="DC359" s="172">
        <f t="shared" si="552"/>
        <v>0</v>
      </c>
      <c r="DD359" s="172">
        <f t="shared" si="552"/>
        <v>0</v>
      </c>
      <c r="DE359" s="172">
        <f t="shared" si="552"/>
        <v>0</v>
      </c>
      <c r="DF359" s="172">
        <f t="shared" si="521"/>
        <v>0</v>
      </c>
      <c r="DG359" s="1"/>
      <c r="DH359" s="1"/>
      <c r="DI359" s="276"/>
      <c r="DJ359" s="8"/>
      <c r="DK359" s="8"/>
      <c r="DL359" s="8"/>
      <c r="DM359" s="8"/>
      <c r="DN359" s="8"/>
      <c r="DO359" s="8"/>
      <c r="DP359" s="274"/>
      <c r="DQ359" s="276"/>
      <c r="DR359" s="8"/>
      <c r="DS359" s="8"/>
      <c r="DT359" s="8"/>
      <c r="DU359" s="8"/>
      <c r="DV359" s="8"/>
      <c r="DW359" s="8"/>
      <c r="DX359" s="8"/>
      <c r="DY359" s="8"/>
      <c r="DZ359" s="8"/>
      <c r="EA359" s="8"/>
      <c r="EB359" s="8"/>
      <c r="EC359" s="8"/>
      <c r="ED359" s="8"/>
      <c r="EE359" s="8"/>
      <c r="EF359" s="8"/>
      <c r="EG359" s="8"/>
      <c r="EH359" s="8"/>
      <c r="EI359" s="8"/>
      <c r="EJ359" s="8"/>
      <c r="EK359" s="8"/>
      <c r="EL359" s="8"/>
      <c r="EM359" s="8"/>
      <c r="EN359" s="8"/>
      <c r="EO359" s="8"/>
      <c r="EP359" s="8"/>
      <c r="EQ359" s="8"/>
      <c r="ER359" s="8"/>
      <c r="ES359" s="8"/>
      <c r="ET359" s="8"/>
      <c r="EU359" s="8"/>
      <c r="EV359" s="8"/>
      <c r="EW359" s="8"/>
      <c r="EX359" s="8"/>
      <c r="EY359" s="8"/>
    </row>
    <row r="360" spans="1:155" s="566" customFormat="1" ht="18" customHeight="1">
      <c r="A360" s="181"/>
      <c r="B360" s="194" t="s">
        <v>189</v>
      </c>
      <c r="C360" s="324"/>
      <c r="D360" s="324">
        <f t="shared" si="525"/>
        <v>0</v>
      </c>
      <c r="E360" s="70"/>
      <c r="F360" s="70"/>
      <c r="G360" s="70"/>
      <c r="H360" s="70"/>
      <c r="I360" s="70"/>
      <c r="J360" s="70"/>
      <c r="K360" s="70"/>
      <c r="L360" s="70"/>
      <c r="M360" s="70"/>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3"/>
      <c r="BE360" s="165" t="s">
        <v>22</v>
      </c>
      <c r="BF360" s="23">
        <v>23</v>
      </c>
      <c r="BG360" s="23">
        <v>7</v>
      </c>
      <c r="BH360" s="23">
        <v>2</v>
      </c>
      <c r="BI360" s="90" t="b">
        <f t="shared" si="517"/>
        <v>1</v>
      </c>
      <c r="BJ360" s="46" t="b">
        <f t="shared" si="526"/>
        <v>0</v>
      </c>
      <c r="BK360" s="166">
        <f t="shared" si="527"/>
        <v>0</v>
      </c>
      <c r="BL360" s="175">
        <f>IF(SUM(BL$354:BL359,BK360)&gt;$BU$4,0,BK360)</f>
        <v>0</v>
      </c>
      <c r="BM360" s="23">
        <f t="shared" si="502"/>
        <v>0</v>
      </c>
      <c r="BN360" s="90">
        <f t="shared" si="503"/>
        <v>0</v>
      </c>
      <c r="BO360" s="24">
        <f t="shared" si="522"/>
        <v>0</v>
      </c>
      <c r="BP360" s="168">
        <f t="shared" si="528"/>
        <v>0</v>
      </c>
      <c r="BQ360" s="171">
        <f t="shared" si="529"/>
        <v>0</v>
      </c>
      <c r="BR360" s="170">
        <f t="shared" si="504"/>
        <v>0</v>
      </c>
      <c r="BS360" s="168">
        <f t="shared" si="530"/>
        <v>0</v>
      </c>
      <c r="BT360" s="171">
        <f t="shared" si="531"/>
        <v>0</v>
      </c>
      <c r="BU360" s="170">
        <f t="shared" si="505"/>
        <v>0</v>
      </c>
      <c r="BV360" s="168">
        <f t="shared" si="532"/>
        <v>0</v>
      </c>
      <c r="BW360" s="171">
        <f t="shared" si="533"/>
        <v>0</v>
      </c>
      <c r="BX360" s="170">
        <f t="shared" si="506"/>
        <v>0</v>
      </c>
      <c r="BY360" s="168">
        <f t="shared" si="534"/>
        <v>0</v>
      </c>
      <c r="BZ360" s="171">
        <f t="shared" si="535"/>
        <v>0</v>
      </c>
      <c r="CA360" s="170">
        <f t="shared" si="507"/>
        <v>0</v>
      </c>
      <c r="CB360" s="90">
        <f t="shared" si="536"/>
        <v>0</v>
      </c>
      <c r="CC360" s="171">
        <f t="shared" si="537"/>
        <v>0</v>
      </c>
      <c r="CD360" s="170">
        <f t="shared" si="508"/>
        <v>0</v>
      </c>
      <c r="CE360" s="90">
        <f t="shared" si="538"/>
        <v>0</v>
      </c>
      <c r="CF360" s="171">
        <f t="shared" si="539"/>
        <v>0</v>
      </c>
      <c r="CG360" s="170">
        <f t="shared" si="509"/>
        <v>0</v>
      </c>
      <c r="CH360" s="90">
        <f t="shared" si="540"/>
        <v>0</v>
      </c>
      <c r="CI360" s="171">
        <f t="shared" si="541"/>
        <v>0</v>
      </c>
      <c r="CJ360" s="170">
        <f t="shared" si="510"/>
        <v>0</v>
      </c>
      <c r="CK360" s="90">
        <f t="shared" si="542"/>
        <v>0</v>
      </c>
      <c r="CL360" s="171">
        <f t="shared" si="543"/>
        <v>0</v>
      </c>
      <c r="CM360" s="170">
        <f t="shared" si="511"/>
        <v>0</v>
      </c>
      <c r="CN360" s="90">
        <f t="shared" si="544"/>
        <v>0</v>
      </c>
      <c r="CO360" s="171">
        <f t="shared" si="545"/>
        <v>0</v>
      </c>
      <c r="CP360" s="170">
        <f t="shared" si="512"/>
        <v>0</v>
      </c>
      <c r="CQ360" s="90">
        <f t="shared" si="546"/>
        <v>0</v>
      </c>
      <c r="CR360" s="171">
        <f t="shared" si="547"/>
        <v>0</v>
      </c>
      <c r="CS360" s="170">
        <f t="shared" si="513"/>
        <v>0</v>
      </c>
      <c r="CT360" s="90">
        <f t="shared" si="548"/>
        <v>0</v>
      </c>
      <c r="CU360" s="171">
        <f t="shared" si="549"/>
        <v>0</v>
      </c>
      <c r="CV360" s="170">
        <f t="shared" si="514"/>
        <v>0</v>
      </c>
      <c r="CW360" s="90">
        <f t="shared" si="550"/>
        <v>0</v>
      </c>
      <c r="CX360" s="171">
        <f t="shared" si="551"/>
        <v>0</v>
      </c>
      <c r="CY360" s="170">
        <f t="shared" si="515"/>
        <v>0</v>
      </c>
      <c r="CZ360" s="168">
        <f t="shared" si="516"/>
        <v>0</v>
      </c>
      <c r="DA360" s="172">
        <f t="shared" si="518"/>
        <v>0</v>
      </c>
      <c r="DB360" s="173">
        <f t="shared" si="519"/>
        <v>0</v>
      </c>
      <c r="DC360" s="172">
        <f t="shared" si="552"/>
        <v>0</v>
      </c>
      <c r="DD360" s="172">
        <f t="shared" si="552"/>
        <v>0</v>
      </c>
      <c r="DE360" s="172">
        <f t="shared" si="552"/>
        <v>0</v>
      </c>
      <c r="DF360" s="172">
        <f t="shared" si="521"/>
        <v>0</v>
      </c>
      <c r="DG360" s="1"/>
      <c r="DH360" s="1"/>
      <c r="DI360" s="3"/>
      <c r="DJ360" s="8"/>
      <c r="DK360" s="8"/>
      <c r="DL360" s="8"/>
      <c r="DM360" s="274"/>
      <c r="DN360" s="274"/>
      <c r="DO360" s="274"/>
      <c r="DP360" s="8"/>
      <c r="DQ360" s="3"/>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row>
    <row r="361" spans="1:155" s="566" customFormat="1" ht="18" customHeight="1">
      <c r="A361" s="188"/>
      <c r="B361" s="194" t="s">
        <v>190</v>
      </c>
      <c r="C361" s="324"/>
      <c r="D361" s="324">
        <f t="shared" si="525"/>
        <v>0</v>
      </c>
      <c r="E361" s="70"/>
      <c r="F361" s="70"/>
      <c r="G361" s="70"/>
      <c r="H361" s="70"/>
      <c r="I361" s="70"/>
      <c r="J361" s="70"/>
      <c r="K361" s="70"/>
      <c r="L361" s="70"/>
      <c r="M361" s="70"/>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3"/>
      <c r="BE361" s="165" t="s">
        <v>22</v>
      </c>
      <c r="BF361" s="23">
        <v>23</v>
      </c>
      <c r="BG361" s="23">
        <v>8</v>
      </c>
      <c r="BH361" s="23">
        <v>3</v>
      </c>
      <c r="BI361" s="90" t="b">
        <f t="shared" si="517"/>
        <v>1</v>
      </c>
      <c r="BJ361" s="46" t="b">
        <f t="shared" si="526"/>
        <v>1</v>
      </c>
      <c r="BK361" s="166">
        <f t="shared" si="527"/>
        <v>7</v>
      </c>
      <c r="BL361" s="175">
        <f>IF(SUM(BL$354:BL360,BK361)&gt;$BU$4,0,BK361)</f>
        <v>7</v>
      </c>
      <c r="BM361" s="23">
        <f t="shared" si="502"/>
        <v>0</v>
      </c>
      <c r="BN361" s="90">
        <f t="shared" si="503"/>
        <v>0</v>
      </c>
      <c r="BO361" s="24">
        <f t="shared" si="522"/>
        <v>0</v>
      </c>
      <c r="BP361" s="168">
        <f t="shared" si="528"/>
        <v>0</v>
      </c>
      <c r="BQ361" s="171">
        <f t="shared" si="529"/>
        <v>0</v>
      </c>
      <c r="BR361" s="170">
        <f t="shared" si="504"/>
        <v>0</v>
      </c>
      <c r="BS361" s="168">
        <f t="shared" si="530"/>
        <v>0</v>
      </c>
      <c r="BT361" s="171">
        <f t="shared" si="531"/>
        <v>0</v>
      </c>
      <c r="BU361" s="170">
        <f t="shared" si="505"/>
        <v>0</v>
      </c>
      <c r="BV361" s="168">
        <f t="shared" si="532"/>
        <v>0</v>
      </c>
      <c r="BW361" s="171">
        <f t="shared" si="533"/>
        <v>0</v>
      </c>
      <c r="BX361" s="170">
        <f t="shared" si="506"/>
        <v>0</v>
      </c>
      <c r="BY361" s="168">
        <f t="shared" si="534"/>
        <v>0</v>
      </c>
      <c r="BZ361" s="171">
        <f t="shared" si="535"/>
        <v>0</v>
      </c>
      <c r="CA361" s="170">
        <f t="shared" si="507"/>
        <v>0</v>
      </c>
      <c r="CB361" s="90">
        <f t="shared" si="536"/>
        <v>0</v>
      </c>
      <c r="CC361" s="171">
        <f t="shared" si="537"/>
        <v>0</v>
      </c>
      <c r="CD361" s="170">
        <f t="shared" si="508"/>
        <v>0</v>
      </c>
      <c r="CE361" s="90">
        <f t="shared" si="538"/>
        <v>0</v>
      </c>
      <c r="CF361" s="171">
        <f t="shared" si="539"/>
        <v>0</v>
      </c>
      <c r="CG361" s="170">
        <f t="shared" si="509"/>
        <v>0</v>
      </c>
      <c r="CH361" s="90">
        <f t="shared" si="540"/>
        <v>0</v>
      </c>
      <c r="CI361" s="171">
        <f t="shared" si="541"/>
        <v>0</v>
      </c>
      <c r="CJ361" s="170">
        <f t="shared" si="510"/>
        <v>0</v>
      </c>
      <c r="CK361" s="90">
        <f t="shared" si="542"/>
        <v>0</v>
      </c>
      <c r="CL361" s="171">
        <f t="shared" si="543"/>
        <v>0</v>
      </c>
      <c r="CM361" s="170">
        <f t="shared" si="511"/>
        <v>0</v>
      </c>
      <c r="CN361" s="90">
        <f t="shared" si="544"/>
        <v>0</v>
      </c>
      <c r="CO361" s="171">
        <f t="shared" si="545"/>
        <v>0</v>
      </c>
      <c r="CP361" s="170">
        <f t="shared" si="512"/>
        <v>0</v>
      </c>
      <c r="CQ361" s="90">
        <f t="shared" si="546"/>
        <v>0</v>
      </c>
      <c r="CR361" s="171">
        <f t="shared" si="547"/>
        <v>0</v>
      </c>
      <c r="CS361" s="170">
        <f t="shared" si="513"/>
        <v>0</v>
      </c>
      <c r="CT361" s="90">
        <f t="shared" si="548"/>
        <v>0</v>
      </c>
      <c r="CU361" s="171">
        <f t="shared" si="549"/>
        <v>0</v>
      </c>
      <c r="CV361" s="170">
        <f t="shared" si="514"/>
        <v>0</v>
      </c>
      <c r="CW361" s="90">
        <f t="shared" si="550"/>
        <v>0</v>
      </c>
      <c r="CX361" s="171">
        <f t="shared" si="551"/>
        <v>0</v>
      </c>
      <c r="CY361" s="170">
        <f t="shared" si="515"/>
        <v>0</v>
      </c>
      <c r="CZ361" s="168">
        <f t="shared" si="516"/>
        <v>0</v>
      </c>
      <c r="DA361" s="172">
        <f t="shared" si="518"/>
        <v>0</v>
      </c>
      <c r="DB361" s="173">
        <f t="shared" si="519"/>
        <v>0</v>
      </c>
      <c r="DC361" s="172">
        <f t="shared" si="552"/>
        <v>0</v>
      </c>
      <c r="DD361" s="172">
        <f t="shared" si="552"/>
        <v>0</v>
      </c>
      <c r="DE361" s="172">
        <f t="shared" si="552"/>
        <v>0</v>
      </c>
      <c r="DF361" s="172">
        <f t="shared" si="521"/>
        <v>0</v>
      </c>
      <c r="DG361" s="1"/>
      <c r="DH361" s="1"/>
      <c r="DI361" s="3"/>
      <c r="DJ361" s="274"/>
      <c r="DK361" s="274"/>
      <c r="DL361" s="274"/>
      <c r="DM361" s="8"/>
      <c r="DN361" s="8"/>
      <c r="DO361" s="8"/>
      <c r="DP361" s="8"/>
      <c r="DQ361" s="3"/>
      <c r="DR361" s="8"/>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row>
    <row r="362" spans="1:155" s="566" customFormat="1" ht="18" customHeight="1">
      <c r="A362" s="188"/>
      <c r="B362" s="194" t="s">
        <v>191</v>
      </c>
      <c r="C362" s="324"/>
      <c r="D362" s="324">
        <f t="shared" si="525"/>
        <v>0</v>
      </c>
      <c r="E362" s="70"/>
      <c r="F362" s="70"/>
      <c r="G362" s="70"/>
      <c r="H362" s="70"/>
      <c r="I362" s="70"/>
      <c r="J362" s="70"/>
      <c r="K362" s="70"/>
      <c r="L362" s="70"/>
      <c r="M362" s="70"/>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3"/>
      <c r="BE362" s="165" t="s">
        <v>22</v>
      </c>
      <c r="BF362" s="23">
        <v>23</v>
      </c>
      <c r="BG362" s="23">
        <v>9</v>
      </c>
      <c r="BH362" s="23">
        <v>4</v>
      </c>
      <c r="BI362" s="90" t="b">
        <f t="shared" si="517"/>
        <v>1</v>
      </c>
      <c r="BJ362" s="46" t="b">
        <f t="shared" si="526"/>
        <v>0</v>
      </c>
      <c r="BK362" s="166">
        <f t="shared" si="527"/>
        <v>0</v>
      </c>
      <c r="BL362" s="175">
        <f>IF(SUM(BL$354:BL361,BK362)&gt;$BU$4,0,BK362)</f>
        <v>0</v>
      </c>
      <c r="BM362" s="23">
        <f t="shared" si="502"/>
        <v>0</v>
      </c>
      <c r="BN362" s="90">
        <f t="shared" si="503"/>
        <v>0</v>
      </c>
      <c r="BO362" s="24">
        <f t="shared" si="522"/>
        <v>0</v>
      </c>
      <c r="BP362" s="168">
        <f t="shared" si="528"/>
        <v>0</v>
      </c>
      <c r="BQ362" s="171">
        <f t="shared" si="529"/>
        <v>0</v>
      </c>
      <c r="BR362" s="170">
        <f t="shared" si="504"/>
        <v>0</v>
      </c>
      <c r="BS362" s="168">
        <f t="shared" si="530"/>
        <v>0</v>
      </c>
      <c r="BT362" s="171">
        <f t="shared" si="531"/>
        <v>0</v>
      </c>
      <c r="BU362" s="170">
        <f t="shared" si="505"/>
        <v>0</v>
      </c>
      <c r="BV362" s="168">
        <f t="shared" si="532"/>
        <v>0</v>
      </c>
      <c r="BW362" s="171">
        <f t="shared" si="533"/>
        <v>0</v>
      </c>
      <c r="BX362" s="170">
        <f t="shared" si="506"/>
        <v>0</v>
      </c>
      <c r="BY362" s="168">
        <f t="shared" si="534"/>
        <v>0</v>
      </c>
      <c r="BZ362" s="171">
        <f t="shared" si="535"/>
        <v>0</v>
      </c>
      <c r="CA362" s="170">
        <f t="shared" si="507"/>
        <v>0</v>
      </c>
      <c r="CB362" s="90">
        <f t="shared" si="536"/>
        <v>0</v>
      </c>
      <c r="CC362" s="171">
        <f t="shared" si="537"/>
        <v>0</v>
      </c>
      <c r="CD362" s="170">
        <f t="shared" si="508"/>
        <v>0</v>
      </c>
      <c r="CE362" s="90">
        <f t="shared" si="538"/>
        <v>0</v>
      </c>
      <c r="CF362" s="171">
        <f t="shared" si="539"/>
        <v>0</v>
      </c>
      <c r="CG362" s="170">
        <f t="shared" si="509"/>
        <v>0</v>
      </c>
      <c r="CH362" s="90">
        <f t="shared" si="540"/>
        <v>0</v>
      </c>
      <c r="CI362" s="171">
        <f t="shared" si="541"/>
        <v>0</v>
      </c>
      <c r="CJ362" s="170">
        <f t="shared" si="510"/>
        <v>0</v>
      </c>
      <c r="CK362" s="90">
        <f t="shared" si="542"/>
        <v>0</v>
      </c>
      <c r="CL362" s="171">
        <f t="shared" si="543"/>
        <v>0</v>
      </c>
      <c r="CM362" s="170">
        <f t="shared" si="511"/>
        <v>0</v>
      </c>
      <c r="CN362" s="90">
        <f t="shared" si="544"/>
        <v>0</v>
      </c>
      <c r="CO362" s="171">
        <f t="shared" si="545"/>
        <v>0</v>
      </c>
      <c r="CP362" s="170">
        <f t="shared" si="512"/>
        <v>0</v>
      </c>
      <c r="CQ362" s="90">
        <f t="shared" si="546"/>
        <v>0</v>
      </c>
      <c r="CR362" s="171">
        <f t="shared" si="547"/>
        <v>0</v>
      </c>
      <c r="CS362" s="170">
        <f t="shared" si="513"/>
        <v>0</v>
      </c>
      <c r="CT362" s="90">
        <f t="shared" si="548"/>
        <v>0</v>
      </c>
      <c r="CU362" s="171">
        <f t="shared" si="549"/>
        <v>0</v>
      </c>
      <c r="CV362" s="170">
        <f t="shared" si="514"/>
        <v>0</v>
      </c>
      <c r="CW362" s="90">
        <f t="shared" si="550"/>
        <v>0</v>
      </c>
      <c r="CX362" s="171">
        <f t="shared" si="551"/>
        <v>0</v>
      </c>
      <c r="CY362" s="170">
        <f t="shared" si="515"/>
        <v>0</v>
      </c>
      <c r="CZ362" s="168">
        <f t="shared" si="516"/>
        <v>0</v>
      </c>
      <c r="DA362" s="172">
        <f t="shared" si="518"/>
        <v>0</v>
      </c>
      <c r="DB362" s="173">
        <f t="shared" si="519"/>
        <v>0</v>
      </c>
      <c r="DC362" s="172">
        <f t="shared" si="552"/>
        <v>0</v>
      </c>
      <c r="DD362" s="172">
        <f t="shared" si="552"/>
        <v>0</v>
      </c>
      <c r="DE362" s="172">
        <f t="shared" si="552"/>
        <v>0</v>
      </c>
      <c r="DF362" s="172">
        <f t="shared" si="521"/>
        <v>0</v>
      </c>
      <c r="DG362" s="1"/>
      <c r="DH362" s="1"/>
      <c r="DI362" s="3"/>
      <c r="DJ362" s="8"/>
      <c r="DK362" s="8"/>
      <c r="DL362" s="8"/>
      <c r="DM362" s="8"/>
      <c r="DN362" s="8"/>
      <c r="DO362" s="8"/>
      <c r="DP362" s="8"/>
      <c r="DQ362" s="3"/>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row>
    <row r="363" spans="1:155" s="566" customFormat="1">
      <c r="A363" s="221"/>
      <c r="B363" s="194" t="s">
        <v>439</v>
      </c>
      <c r="C363" s="461"/>
      <c r="D363" s="461">
        <f>SUM(D351:D362)</f>
        <v>0</v>
      </c>
      <c r="E363" s="70"/>
      <c r="F363" s="70"/>
      <c r="G363" s="70"/>
      <c r="H363" s="70"/>
      <c r="I363" s="70"/>
      <c r="J363" s="70"/>
      <c r="K363" s="70"/>
      <c r="L363" s="70"/>
      <c r="M363" s="70"/>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3"/>
      <c r="BE363" s="165" t="s">
        <v>22</v>
      </c>
      <c r="BF363" s="23">
        <v>23</v>
      </c>
      <c r="BG363" s="23">
        <v>10</v>
      </c>
      <c r="BH363" s="23">
        <v>5</v>
      </c>
      <c r="BI363" s="90" t="b">
        <f t="shared" si="517"/>
        <v>1</v>
      </c>
      <c r="BJ363" s="46" t="b">
        <f t="shared" si="526"/>
        <v>1</v>
      </c>
      <c r="BK363" s="166">
        <f t="shared" si="527"/>
        <v>7</v>
      </c>
      <c r="BL363" s="175">
        <f>IF(SUM(BL$354:BL362,BK363)&gt;$BU$4,0,BK363)</f>
        <v>7</v>
      </c>
      <c r="BM363" s="23">
        <f t="shared" si="502"/>
        <v>0</v>
      </c>
      <c r="BN363" s="90">
        <f t="shared" si="503"/>
        <v>0</v>
      </c>
      <c r="BO363" s="24">
        <f t="shared" si="522"/>
        <v>0</v>
      </c>
      <c r="BP363" s="168">
        <f t="shared" si="528"/>
        <v>0</v>
      </c>
      <c r="BQ363" s="171">
        <f t="shared" si="529"/>
        <v>0</v>
      </c>
      <c r="BR363" s="170">
        <f t="shared" si="504"/>
        <v>0</v>
      </c>
      <c r="BS363" s="168">
        <f t="shared" si="530"/>
        <v>0</v>
      </c>
      <c r="BT363" s="171">
        <f t="shared" si="531"/>
        <v>0</v>
      </c>
      <c r="BU363" s="170">
        <f t="shared" si="505"/>
        <v>0</v>
      </c>
      <c r="BV363" s="168">
        <f t="shared" si="532"/>
        <v>0</v>
      </c>
      <c r="BW363" s="171">
        <f t="shared" si="533"/>
        <v>0</v>
      </c>
      <c r="BX363" s="170">
        <f t="shared" si="506"/>
        <v>0</v>
      </c>
      <c r="BY363" s="168">
        <f t="shared" si="534"/>
        <v>0</v>
      </c>
      <c r="BZ363" s="171">
        <f t="shared" si="535"/>
        <v>0</v>
      </c>
      <c r="CA363" s="170">
        <f t="shared" si="507"/>
        <v>0</v>
      </c>
      <c r="CB363" s="90">
        <f t="shared" si="536"/>
        <v>0</v>
      </c>
      <c r="CC363" s="171">
        <f t="shared" si="537"/>
        <v>0</v>
      </c>
      <c r="CD363" s="170">
        <f t="shared" si="508"/>
        <v>0</v>
      </c>
      <c r="CE363" s="90">
        <f t="shared" si="538"/>
        <v>0</v>
      </c>
      <c r="CF363" s="171">
        <f t="shared" si="539"/>
        <v>0</v>
      </c>
      <c r="CG363" s="170">
        <f t="shared" si="509"/>
        <v>0</v>
      </c>
      <c r="CH363" s="90">
        <f t="shared" si="540"/>
        <v>0</v>
      </c>
      <c r="CI363" s="171">
        <f t="shared" si="541"/>
        <v>0</v>
      </c>
      <c r="CJ363" s="170">
        <f t="shared" si="510"/>
        <v>0</v>
      </c>
      <c r="CK363" s="90">
        <f t="shared" si="542"/>
        <v>0</v>
      </c>
      <c r="CL363" s="171">
        <f t="shared" si="543"/>
        <v>0</v>
      </c>
      <c r="CM363" s="170">
        <f t="shared" si="511"/>
        <v>0</v>
      </c>
      <c r="CN363" s="90">
        <f t="shared" si="544"/>
        <v>0</v>
      </c>
      <c r="CO363" s="171">
        <f t="shared" si="545"/>
        <v>0</v>
      </c>
      <c r="CP363" s="170">
        <f t="shared" si="512"/>
        <v>0</v>
      </c>
      <c r="CQ363" s="90">
        <f t="shared" si="546"/>
        <v>0</v>
      </c>
      <c r="CR363" s="171">
        <f t="shared" si="547"/>
        <v>0</v>
      </c>
      <c r="CS363" s="170">
        <f t="shared" si="513"/>
        <v>0</v>
      </c>
      <c r="CT363" s="90">
        <f t="shared" si="548"/>
        <v>0</v>
      </c>
      <c r="CU363" s="171">
        <f t="shared" si="549"/>
        <v>0</v>
      </c>
      <c r="CV363" s="170">
        <f t="shared" si="514"/>
        <v>0</v>
      </c>
      <c r="CW363" s="90">
        <f t="shared" si="550"/>
        <v>0</v>
      </c>
      <c r="CX363" s="171">
        <f t="shared" si="551"/>
        <v>0</v>
      </c>
      <c r="CY363" s="170">
        <f t="shared" si="515"/>
        <v>0</v>
      </c>
      <c r="CZ363" s="168">
        <f t="shared" si="516"/>
        <v>0</v>
      </c>
      <c r="DA363" s="172">
        <f t="shared" si="518"/>
        <v>0</v>
      </c>
      <c r="DB363" s="173">
        <f t="shared" si="519"/>
        <v>0</v>
      </c>
      <c r="DC363" s="172">
        <f t="shared" si="552"/>
        <v>0</v>
      </c>
      <c r="DD363" s="172">
        <f t="shared" si="552"/>
        <v>0</v>
      </c>
      <c r="DE363" s="172">
        <f t="shared" si="552"/>
        <v>0</v>
      </c>
      <c r="DF363" s="172">
        <f t="shared" si="521"/>
        <v>0</v>
      </c>
      <c r="DG363" s="1"/>
      <c r="DH363" s="1"/>
      <c r="DI363" s="3"/>
      <c r="DJ363" s="642" t="s">
        <v>558</v>
      </c>
      <c r="DK363" s="642"/>
      <c r="DL363" s="8"/>
      <c r="DM363" s="8"/>
      <c r="DN363" s="8"/>
      <c r="DO363" s="8"/>
      <c r="DP363" s="8"/>
      <c r="DQ363" s="3"/>
      <c r="DR363" s="8"/>
      <c r="DS363" s="8"/>
      <c r="DT363" s="8"/>
      <c r="DU363" s="8"/>
      <c r="DV363" s="8"/>
      <c r="DW363" s="8"/>
      <c r="DX363" s="8"/>
      <c r="DY363" s="8"/>
      <c r="DZ363" s="8"/>
      <c r="EA363" s="8"/>
      <c r="EB363" s="8"/>
      <c r="EC363" s="8"/>
      <c r="ED363" s="8"/>
      <c r="EE363" s="8"/>
      <c r="EF363" s="8"/>
      <c r="EG363" s="8"/>
      <c r="EH363" s="8"/>
      <c r="EI363" s="8"/>
      <c r="EJ363" s="8"/>
      <c r="EK363" s="8"/>
      <c r="EL363" s="8"/>
      <c r="EM363" s="8"/>
      <c r="EN363" s="8"/>
      <c r="EO363" s="8"/>
      <c r="EP363" s="8"/>
      <c r="EQ363" s="8"/>
      <c r="ER363" s="8"/>
      <c r="ES363" s="8"/>
      <c r="ET363" s="8"/>
      <c r="EU363" s="8"/>
      <c r="EV363" s="8"/>
      <c r="EW363" s="8"/>
      <c r="EX363" s="8"/>
      <c r="EY363" s="8"/>
    </row>
    <row r="364" spans="1:155" s="566" customFormat="1" ht="15" customHeight="1">
      <c r="A364" s="188"/>
      <c r="B364" s="3"/>
      <c r="C364" s="3"/>
      <c r="D364" s="3"/>
      <c r="E364" s="70"/>
      <c r="F364" s="70"/>
      <c r="G364" s="70"/>
      <c r="H364" s="70"/>
      <c r="I364" s="70"/>
      <c r="J364" s="70"/>
      <c r="K364" s="70"/>
      <c r="L364" s="70"/>
      <c r="M364" s="70"/>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c r="AS364" s="44"/>
      <c r="AT364" s="44"/>
      <c r="AU364" s="44"/>
      <c r="AV364" s="44"/>
      <c r="AW364" s="44"/>
      <c r="AX364" s="44"/>
      <c r="AY364" s="44"/>
      <c r="AZ364" s="44"/>
      <c r="BA364" s="44"/>
      <c r="BB364" s="44"/>
      <c r="BC364" s="44"/>
      <c r="BD364" s="3"/>
      <c r="BE364" s="165" t="s">
        <v>22</v>
      </c>
      <c r="BF364" s="23">
        <v>23</v>
      </c>
      <c r="BG364" s="23">
        <v>11</v>
      </c>
      <c r="BH364" s="23">
        <v>6</v>
      </c>
      <c r="BI364" s="90" t="b">
        <f t="shared" si="517"/>
        <v>0</v>
      </c>
      <c r="BJ364" s="46" t="b">
        <f t="shared" si="526"/>
        <v>0</v>
      </c>
      <c r="BK364" s="166">
        <f t="shared" si="527"/>
        <v>0</v>
      </c>
      <c r="BL364" s="175">
        <f>IF(SUM(BL$354:BL363,BK364)&gt;$BU$4,0,BK364)</f>
        <v>0</v>
      </c>
      <c r="BM364" s="23">
        <f t="shared" si="502"/>
        <v>0</v>
      </c>
      <c r="BN364" s="90">
        <f t="shared" si="503"/>
        <v>0</v>
      </c>
      <c r="BO364" s="24">
        <f t="shared" si="522"/>
        <v>0</v>
      </c>
      <c r="BP364" s="168">
        <f t="shared" si="528"/>
        <v>0</v>
      </c>
      <c r="BQ364" s="171">
        <f t="shared" si="529"/>
        <v>0</v>
      </c>
      <c r="BR364" s="170">
        <f t="shared" si="504"/>
        <v>0</v>
      </c>
      <c r="BS364" s="168">
        <f t="shared" si="530"/>
        <v>0</v>
      </c>
      <c r="BT364" s="171">
        <f t="shared" si="531"/>
        <v>0</v>
      </c>
      <c r="BU364" s="170">
        <f t="shared" si="505"/>
        <v>0</v>
      </c>
      <c r="BV364" s="168">
        <f t="shared" si="532"/>
        <v>0</v>
      </c>
      <c r="BW364" s="171">
        <f t="shared" si="533"/>
        <v>0</v>
      </c>
      <c r="BX364" s="170">
        <f t="shared" si="506"/>
        <v>0</v>
      </c>
      <c r="BY364" s="168">
        <f t="shared" si="534"/>
        <v>0</v>
      </c>
      <c r="BZ364" s="171">
        <f t="shared" si="535"/>
        <v>0</v>
      </c>
      <c r="CA364" s="170">
        <f t="shared" si="507"/>
        <v>0</v>
      </c>
      <c r="CB364" s="90">
        <f t="shared" si="536"/>
        <v>0</v>
      </c>
      <c r="CC364" s="171">
        <f t="shared" si="537"/>
        <v>0</v>
      </c>
      <c r="CD364" s="170">
        <f t="shared" si="508"/>
        <v>0</v>
      </c>
      <c r="CE364" s="90">
        <f t="shared" si="538"/>
        <v>0</v>
      </c>
      <c r="CF364" s="171">
        <f t="shared" si="539"/>
        <v>0</v>
      </c>
      <c r="CG364" s="170">
        <f t="shared" si="509"/>
        <v>0</v>
      </c>
      <c r="CH364" s="90">
        <f t="shared" si="540"/>
        <v>0</v>
      </c>
      <c r="CI364" s="171">
        <f t="shared" si="541"/>
        <v>0</v>
      </c>
      <c r="CJ364" s="170">
        <f t="shared" si="510"/>
        <v>0</v>
      </c>
      <c r="CK364" s="90">
        <f t="shared" si="542"/>
        <v>0</v>
      </c>
      <c r="CL364" s="171">
        <f t="shared" si="543"/>
        <v>0</v>
      </c>
      <c r="CM364" s="170">
        <f t="shared" si="511"/>
        <v>0</v>
      </c>
      <c r="CN364" s="90">
        <f t="shared" si="544"/>
        <v>0</v>
      </c>
      <c r="CO364" s="171">
        <f t="shared" si="545"/>
        <v>0</v>
      </c>
      <c r="CP364" s="170">
        <f t="shared" si="512"/>
        <v>0</v>
      </c>
      <c r="CQ364" s="90">
        <f t="shared" si="546"/>
        <v>0</v>
      </c>
      <c r="CR364" s="171">
        <f t="shared" si="547"/>
        <v>0</v>
      </c>
      <c r="CS364" s="170">
        <f t="shared" si="513"/>
        <v>0</v>
      </c>
      <c r="CT364" s="90">
        <f t="shared" si="548"/>
        <v>0</v>
      </c>
      <c r="CU364" s="171">
        <f t="shared" si="549"/>
        <v>0</v>
      </c>
      <c r="CV364" s="170">
        <f t="shared" si="514"/>
        <v>0</v>
      </c>
      <c r="CW364" s="90">
        <f t="shared" si="550"/>
        <v>0</v>
      </c>
      <c r="CX364" s="171">
        <f t="shared" si="551"/>
        <v>0</v>
      </c>
      <c r="CY364" s="170">
        <f t="shared" si="515"/>
        <v>0</v>
      </c>
      <c r="CZ364" s="168">
        <f t="shared" si="516"/>
        <v>0</v>
      </c>
      <c r="DA364" s="172">
        <f t="shared" si="518"/>
        <v>0</v>
      </c>
      <c r="DB364" s="173">
        <f t="shared" si="519"/>
        <v>0</v>
      </c>
      <c r="DC364" s="172">
        <f t="shared" si="552"/>
        <v>0</v>
      </c>
      <c r="DD364" s="172">
        <f t="shared" si="552"/>
        <v>0</v>
      </c>
      <c r="DE364" s="172">
        <f t="shared" si="552"/>
        <v>0</v>
      </c>
      <c r="DF364" s="172">
        <f t="shared" si="521"/>
        <v>0</v>
      </c>
      <c r="DG364" s="1"/>
      <c r="DH364" s="1"/>
      <c r="DI364" s="3"/>
      <c r="DJ364" s="340" t="s">
        <v>559</v>
      </c>
      <c r="DK364" s="360">
        <v>0.5</v>
      </c>
      <c r="DL364" s="8"/>
      <c r="DM364" s="8"/>
      <c r="DN364" s="8"/>
      <c r="DO364" s="8"/>
      <c r="DP364" s="8"/>
      <c r="DQ364" s="3"/>
      <c r="DR364" s="8"/>
      <c r="DS364" s="8"/>
      <c r="DT364" s="8"/>
      <c r="DU364" s="8"/>
      <c r="DV364" s="8"/>
      <c r="DW364" s="8"/>
      <c r="DX364" s="8"/>
      <c r="DY364" s="8"/>
      <c r="DZ364" s="8"/>
      <c r="EA364" s="8"/>
      <c r="EB364" s="8"/>
      <c r="EC364" s="8"/>
      <c r="ED364" s="8"/>
      <c r="EE364" s="8"/>
      <c r="EF364" s="8"/>
      <c r="EG364" s="8"/>
      <c r="EH364" s="8"/>
      <c r="EI364" s="8"/>
      <c r="EJ364" s="8"/>
      <c r="EK364" s="8"/>
      <c r="EL364" s="8"/>
      <c r="EM364" s="8"/>
      <c r="EN364" s="8"/>
      <c r="EO364" s="8"/>
      <c r="EP364" s="8"/>
      <c r="EQ364" s="8"/>
      <c r="ER364" s="8"/>
      <c r="ES364" s="8"/>
      <c r="ET364" s="8"/>
      <c r="EU364" s="8"/>
      <c r="EV364" s="8"/>
      <c r="EW364" s="8"/>
      <c r="EX364" s="8"/>
      <c r="EY364" s="8"/>
    </row>
    <row r="365" spans="1:155" s="566" customFormat="1" hidden="1">
      <c r="A365" s="334"/>
      <c r="B365" s="205"/>
      <c r="C365" s="3"/>
      <c r="D365" s="3"/>
      <c r="E365" s="70"/>
      <c r="F365" s="70"/>
      <c r="G365" s="70"/>
      <c r="H365" s="70"/>
      <c r="I365" s="70"/>
      <c r="J365" s="70"/>
      <c r="K365" s="70"/>
      <c r="L365" s="70"/>
      <c r="M365" s="70"/>
      <c r="N365" s="14"/>
      <c r="O365" s="14"/>
      <c r="P365" s="14"/>
      <c r="Q365" s="462" t="s">
        <v>560</v>
      </c>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3"/>
      <c r="BE365" s="165" t="s">
        <v>22</v>
      </c>
      <c r="BF365" s="23">
        <v>23</v>
      </c>
      <c r="BG365" s="23">
        <v>12</v>
      </c>
      <c r="BH365" s="23">
        <v>7</v>
      </c>
      <c r="BI365" s="90" t="b">
        <f t="shared" si="517"/>
        <v>0</v>
      </c>
      <c r="BJ365" s="46" t="b">
        <f t="shared" si="526"/>
        <v>1</v>
      </c>
      <c r="BK365" s="166">
        <f t="shared" si="527"/>
        <v>7</v>
      </c>
      <c r="BL365" s="175">
        <f>IF(SUM(BL$354:BL364,BK365)&gt;$BU$4,0,BK365)</f>
        <v>7</v>
      </c>
      <c r="BM365" s="23">
        <f t="shared" si="502"/>
        <v>0</v>
      </c>
      <c r="BN365" s="90">
        <f t="shared" si="503"/>
        <v>0</v>
      </c>
      <c r="BO365" s="24">
        <f t="shared" si="522"/>
        <v>0</v>
      </c>
      <c r="BP365" s="168">
        <f t="shared" si="528"/>
        <v>0</v>
      </c>
      <c r="BQ365" s="171">
        <f t="shared" si="529"/>
        <v>0</v>
      </c>
      <c r="BR365" s="170">
        <f t="shared" si="504"/>
        <v>0</v>
      </c>
      <c r="BS365" s="168">
        <f t="shared" si="530"/>
        <v>0</v>
      </c>
      <c r="BT365" s="171">
        <f t="shared" si="531"/>
        <v>0</v>
      </c>
      <c r="BU365" s="170">
        <f t="shared" si="505"/>
        <v>0</v>
      </c>
      <c r="BV365" s="168">
        <f t="shared" si="532"/>
        <v>0</v>
      </c>
      <c r="BW365" s="171">
        <f t="shared" si="533"/>
        <v>0</v>
      </c>
      <c r="BX365" s="170">
        <f t="shared" si="506"/>
        <v>0</v>
      </c>
      <c r="BY365" s="168">
        <f t="shared" si="534"/>
        <v>0</v>
      </c>
      <c r="BZ365" s="171">
        <f t="shared" si="535"/>
        <v>0</v>
      </c>
      <c r="CA365" s="170">
        <f t="shared" si="507"/>
        <v>0</v>
      </c>
      <c r="CB365" s="90">
        <f t="shared" si="536"/>
        <v>0</v>
      </c>
      <c r="CC365" s="171">
        <f t="shared" si="537"/>
        <v>0</v>
      </c>
      <c r="CD365" s="170">
        <f t="shared" si="508"/>
        <v>0</v>
      </c>
      <c r="CE365" s="90">
        <f t="shared" si="538"/>
        <v>0</v>
      </c>
      <c r="CF365" s="171">
        <f t="shared" si="539"/>
        <v>0</v>
      </c>
      <c r="CG365" s="170">
        <f t="shared" si="509"/>
        <v>0</v>
      </c>
      <c r="CH365" s="90">
        <f t="shared" si="540"/>
        <v>0</v>
      </c>
      <c r="CI365" s="171">
        <f t="shared" si="541"/>
        <v>0</v>
      </c>
      <c r="CJ365" s="170">
        <f t="shared" si="510"/>
        <v>0</v>
      </c>
      <c r="CK365" s="90">
        <f t="shared" si="542"/>
        <v>0</v>
      </c>
      <c r="CL365" s="171">
        <f t="shared" si="543"/>
        <v>0</v>
      </c>
      <c r="CM365" s="170">
        <f t="shared" si="511"/>
        <v>0</v>
      </c>
      <c r="CN365" s="90">
        <f t="shared" si="544"/>
        <v>0</v>
      </c>
      <c r="CO365" s="171">
        <f t="shared" si="545"/>
        <v>0</v>
      </c>
      <c r="CP365" s="170">
        <f t="shared" si="512"/>
        <v>0</v>
      </c>
      <c r="CQ365" s="90">
        <f t="shared" si="546"/>
        <v>0</v>
      </c>
      <c r="CR365" s="171">
        <f t="shared" si="547"/>
        <v>0</v>
      </c>
      <c r="CS365" s="170">
        <f t="shared" si="513"/>
        <v>0</v>
      </c>
      <c r="CT365" s="90">
        <f t="shared" si="548"/>
        <v>0</v>
      </c>
      <c r="CU365" s="171">
        <f t="shared" si="549"/>
        <v>0</v>
      </c>
      <c r="CV365" s="170">
        <f t="shared" si="514"/>
        <v>0</v>
      </c>
      <c r="CW365" s="90">
        <f t="shared" si="550"/>
        <v>0</v>
      </c>
      <c r="CX365" s="171">
        <f t="shared" si="551"/>
        <v>0</v>
      </c>
      <c r="CY365" s="170">
        <f t="shared" si="515"/>
        <v>0</v>
      </c>
      <c r="CZ365" s="168">
        <f t="shared" si="516"/>
        <v>0</v>
      </c>
      <c r="DA365" s="172">
        <f t="shared" si="518"/>
        <v>0</v>
      </c>
      <c r="DB365" s="173">
        <f t="shared" si="519"/>
        <v>0</v>
      </c>
      <c r="DC365" s="172">
        <f t="shared" si="552"/>
        <v>0</v>
      </c>
      <c r="DD365" s="172">
        <f t="shared" si="552"/>
        <v>0</v>
      </c>
      <c r="DE365" s="172">
        <f t="shared" si="552"/>
        <v>0</v>
      </c>
      <c r="DF365" s="172">
        <f t="shared" si="521"/>
        <v>0</v>
      </c>
      <c r="DG365" s="1"/>
      <c r="DH365" s="1"/>
      <c r="DI365" s="3"/>
      <c r="DJ365" s="340" t="s">
        <v>561</v>
      </c>
      <c r="DK365" s="360" t="s">
        <v>562</v>
      </c>
      <c r="DL365" s="8"/>
      <c r="DM365" s="8"/>
      <c r="DN365" s="8"/>
      <c r="DO365" s="8"/>
      <c r="DP365" s="8"/>
      <c r="DQ365" s="3"/>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row>
    <row r="366" spans="1:155" s="566" customFormat="1" ht="20.25" hidden="1" customHeight="1">
      <c r="A366" s="463"/>
      <c r="B366" s="3"/>
      <c r="C366" s="3"/>
      <c r="D366" s="3"/>
      <c r="E366" s="70"/>
      <c r="F366" s="70"/>
      <c r="G366" s="70"/>
      <c r="H366" s="70"/>
      <c r="I366" s="70"/>
      <c r="J366" s="70"/>
      <c r="K366" s="70"/>
      <c r="L366" s="70"/>
      <c r="M366" s="70"/>
      <c r="N366" s="14"/>
      <c r="O366" s="14"/>
      <c r="P366" s="14"/>
      <c r="Q366" s="464"/>
      <c r="R366" s="464"/>
      <c r="S366" s="464"/>
      <c r="T366" s="464"/>
      <c r="U366" s="464"/>
      <c r="V366" s="464"/>
      <c r="W366" s="464"/>
      <c r="X366" s="464"/>
      <c r="Y366" s="464"/>
      <c r="Z366" s="464"/>
      <c r="AA366" s="464"/>
      <c r="AB366" s="643"/>
      <c r="AC366" s="465"/>
      <c r="AD366" s="465"/>
      <c r="AE366" s="465"/>
      <c r="AF366" s="465"/>
      <c r="AG366" s="465"/>
      <c r="AH366" s="465"/>
      <c r="AI366" s="465"/>
      <c r="AJ366" s="465"/>
      <c r="AK366" s="465"/>
      <c r="AL366" s="465"/>
      <c r="AM366" s="27"/>
      <c r="AN366" s="27"/>
      <c r="AO366" s="465"/>
      <c r="AP366" s="466"/>
      <c r="AQ366" s="467"/>
      <c r="AR366" s="467"/>
      <c r="AS366" s="467"/>
      <c r="AT366" s="467"/>
      <c r="AU366" s="467"/>
      <c r="AV366" s="467"/>
      <c r="AW366" s="467"/>
      <c r="AX366" s="467"/>
      <c r="AY366" s="467"/>
      <c r="AZ366" s="467"/>
      <c r="BA366" s="467"/>
      <c r="BB366" s="467"/>
      <c r="BC366" s="14"/>
      <c r="BD366" s="3"/>
      <c r="BE366" s="165"/>
      <c r="BF366" s="23"/>
      <c r="BG366" s="23"/>
      <c r="BH366" s="23"/>
      <c r="BI366" s="90"/>
      <c r="BJ366" s="46"/>
      <c r="BK366" s="166"/>
      <c r="BL366" s="175"/>
      <c r="BM366" s="23"/>
      <c r="BN366" s="90"/>
      <c r="BO366" s="24"/>
      <c r="BP366" s="168"/>
      <c r="BQ366" s="171"/>
      <c r="BR366" s="170"/>
      <c r="BS366" s="168"/>
      <c r="BT366" s="171"/>
      <c r="BU366" s="170"/>
      <c r="BV366" s="168"/>
      <c r="BW366" s="171"/>
      <c r="BX366" s="170"/>
      <c r="BY366" s="168"/>
      <c r="BZ366" s="171"/>
      <c r="CA366" s="170"/>
      <c r="CB366" s="90"/>
      <c r="CC366" s="171"/>
      <c r="CD366" s="170"/>
      <c r="CE366" s="90"/>
      <c r="CF366" s="171"/>
      <c r="CG366" s="170"/>
      <c r="CH366" s="90"/>
      <c r="CI366" s="171"/>
      <c r="CJ366" s="170"/>
      <c r="CK366" s="90"/>
      <c r="CL366" s="171"/>
      <c r="CM366" s="170"/>
      <c r="CN366" s="90"/>
      <c r="CO366" s="171"/>
      <c r="CP366" s="170"/>
      <c r="CQ366" s="90"/>
      <c r="CR366" s="171"/>
      <c r="CS366" s="170"/>
      <c r="CT366" s="90"/>
      <c r="CU366" s="171"/>
      <c r="CV366" s="170"/>
      <c r="CW366" s="90"/>
      <c r="CX366" s="171"/>
      <c r="CY366" s="170"/>
      <c r="CZ366" s="168"/>
      <c r="DA366" s="172"/>
      <c r="DB366" s="173"/>
      <c r="DC366" s="172"/>
      <c r="DD366" s="172"/>
      <c r="DE366" s="172"/>
      <c r="DF366" s="172"/>
      <c r="DG366" s="1"/>
      <c r="DH366" s="1"/>
      <c r="DI366" s="3"/>
      <c r="DJ366" s="340" t="s">
        <v>563</v>
      </c>
      <c r="DK366" s="360"/>
      <c r="DL366" s="8"/>
      <c r="DM366" s="8"/>
      <c r="DN366" s="8"/>
      <c r="DO366" s="8"/>
      <c r="DP366" s="8"/>
      <c r="DQ366" s="3"/>
      <c r="DR366" s="8"/>
      <c r="DS366" s="8"/>
      <c r="DT366" s="8"/>
      <c r="DU366" s="8"/>
      <c r="DV366" s="8"/>
      <c r="DW366" s="8"/>
      <c r="DX366" s="8"/>
      <c r="DY366" s="8"/>
      <c r="DZ366" s="8"/>
      <c r="EA366" s="8"/>
      <c r="EB366" s="8"/>
      <c r="EC366" s="8"/>
      <c r="ED366" s="8"/>
      <c r="EE366" s="8"/>
      <c r="EF366" s="8"/>
      <c r="EG366" s="8"/>
      <c r="EH366" s="8"/>
      <c r="EI366" s="8"/>
      <c r="EJ366" s="8"/>
      <c r="EK366" s="8"/>
      <c r="EL366" s="8"/>
      <c r="EM366" s="8"/>
      <c r="EN366" s="8"/>
      <c r="EO366" s="8"/>
      <c r="EP366" s="8"/>
      <c r="EQ366" s="8"/>
      <c r="ER366" s="8"/>
      <c r="ES366" s="8"/>
      <c r="ET366" s="8"/>
      <c r="EU366" s="8"/>
      <c r="EV366" s="8"/>
      <c r="EW366" s="8"/>
      <c r="EX366" s="8"/>
      <c r="EY366" s="8"/>
    </row>
    <row r="367" spans="1:155" s="566" customFormat="1" ht="15" hidden="1" customHeight="1">
      <c r="A367" s="468"/>
      <c r="B367" s="43"/>
      <c r="C367" s="44"/>
      <c r="D367" s="44"/>
      <c r="E367" s="44"/>
      <c r="F367" s="44"/>
      <c r="G367" s="44"/>
      <c r="H367" s="44"/>
      <c r="I367" s="44"/>
      <c r="J367" s="44"/>
      <c r="K367" s="44"/>
      <c r="L367" s="44"/>
      <c r="M367" s="44"/>
      <c r="N367" s="14"/>
      <c r="O367" s="14"/>
      <c r="P367" s="14"/>
      <c r="Q367" s="6"/>
      <c r="R367" s="6"/>
      <c r="S367" s="6"/>
      <c r="T367" s="6"/>
      <c r="U367" s="6"/>
      <c r="V367" s="6"/>
      <c r="W367" s="6"/>
      <c r="X367" s="6"/>
      <c r="Y367" s="6"/>
      <c r="Z367" s="6"/>
      <c r="AA367" s="6"/>
      <c r="AB367" s="643"/>
      <c r="AC367" s="190"/>
      <c r="AD367" s="190"/>
      <c r="AE367" s="190"/>
      <c r="AF367" s="190"/>
      <c r="AG367" s="190"/>
      <c r="AH367" s="190"/>
      <c r="AI367" s="190"/>
      <c r="AJ367" s="190"/>
      <c r="AK367" s="190"/>
      <c r="AL367" s="190"/>
      <c r="AM367" s="190"/>
      <c r="AN367" s="190"/>
      <c r="AO367" s="6"/>
      <c r="AP367" s="6"/>
      <c r="AQ367" s="190"/>
      <c r="AR367" s="190"/>
      <c r="AS367" s="190"/>
      <c r="AT367" s="190"/>
      <c r="AU367" s="190"/>
      <c r="AV367" s="190"/>
      <c r="AW367" s="190"/>
      <c r="AX367" s="190"/>
      <c r="AY367" s="190"/>
      <c r="AZ367" s="190"/>
      <c r="BA367" s="190"/>
      <c r="BB367" s="190"/>
      <c r="BC367" s="14"/>
      <c r="BD367" s="3"/>
      <c r="BE367" s="165"/>
      <c r="BF367" s="23"/>
      <c r="BG367" s="23"/>
      <c r="BH367" s="23"/>
      <c r="BI367" s="90"/>
      <c r="BJ367" s="46"/>
      <c r="BK367" s="166"/>
      <c r="BL367" s="175"/>
      <c r="BM367" s="23"/>
      <c r="BN367" s="90"/>
      <c r="BO367" s="24"/>
      <c r="BP367" s="168"/>
      <c r="BQ367" s="171"/>
      <c r="BR367" s="170"/>
      <c r="BS367" s="168"/>
      <c r="BT367" s="171"/>
      <c r="BU367" s="170"/>
      <c r="BV367" s="168"/>
      <c r="BW367" s="171"/>
      <c r="BX367" s="170"/>
      <c r="BY367" s="168"/>
      <c r="BZ367" s="171"/>
      <c r="CA367" s="170"/>
      <c r="CB367" s="90"/>
      <c r="CC367" s="171"/>
      <c r="CD367" s="170"/>
      <c r="CE367" s="90"/>
      <c r="CF367" s="171"/>
      <c r="CG367" s="170"/>
      <c r="CH367" s="90"/>
      <c r="CI367" s="171"/>
      <c r="CJ367" s="170"/>
      <c r="CK367" s="90"/>
      <c r="CL367" s="171"/>
      <c r="CM367" s="170"/>
      <c r="CN367" s="90"/>
      <c r="CO367" s="171"/>
      <c r="CP367" s="170"/>
      <c r="CQ367" s="90"/>
      <c r="CR367" s="171"/>
      <c r="CS367" s="170"/>
      <c r="CT367" s="90"/>
      <c r="CU367" s="171"/>
      <c r="CV367" s="170"/>
      <c r="CW367" s="90"/>
      <c r="CX367" s="171"/>
      <c r="CY367" s="170"/>
      <c r="CZ367" s="168"/>
      <c r="DA367" s="172"/>
      <c r="DB367" s="173"/>
      <c r="DC367" s="172"/>
      <c r="DD367" s="172"/>
      <c r="DE367" s="172"/>
      <c r="DF367" s="172"/>
      <c r="DG367" s="1"/>
      <c r="DH367" s="1"/>
      <c r="DI367" s="3"/>
      <c r="DJ367" s="469" t="s">
        <v>564</v>
      </c>
      <c r="DK367" s="360">
        <v>0.9</v>
      </c>
      <c r="DL367" s="8"/>
      <c r="DM367" s="8"/>
      <c r="DN367" s="8"/>
      <c r="DO367" s="8"/>
      <c r="DP367" s="8"/>
      <c r="DQ367" s="3"/>
      <c r="DR367" s="8"/>
      <c r="DS367" s="8"/>
      <c r="DT367" s="8"/>
      <c r="DU367" s="8"/>
      <c r="DV367" s="8"/>
      <c r="DW367" s="8"/>
      <c r="DX367" s="8"/>
      <c r="DY367" s="8"/>
      <c r="DZ367" s="8"/>
      <c r="EA367" s="8"/>
      <c r="EB367" s="8"/>
      <c r="EC367" s="8"/>
      <c r="ED367" s="8"/>
      <c r="EE367" s="8"/>
      <c r="EF367" s="8"/>
      <c r="EG367" s="8"/>
      <c r="EH367" s="8"/>
      <c r="EI367" s="8"/>
      <c r="EJ367" s="8"/>
      <c r="EK367" s="8"/>
      <c r="EL367" s="8"/>
      <c r="EM367" s="8"/>
      <c r="EN367" s="8"/>
      <c r="EO367" s="8"/>
      <c r="EP367" s="8"/>
      <c r="EQ367" s="8"/>
      <c r="ER367" s="8"/>
      <c r="ES367" s="8"/>
      <c r="ET367" s="8"/>
      <c r="EU367" s="8"/>
      <c r="EV367" s="8"/>
      <c r="EW367" s="8"/>
      <c r="EX367" s="8"/>
      <c r="EY367" s="8"/>
    </row>
    <row r="368" spans="1:155" s="566" customFormat="1" ht="15" hidden="1" customHeight="1">
      <c r="A368" s="101"/>
      <c r="B368" s="277"/>
      <c r="C368" s="335"/>
      <c r="D368" s="22"/>
      <c r="E368" s="22"/>
      <c r="F368" s="22"/>
      <c r="G368" s="335"/>
      <c r="H368" s="335"/>
      <c r="I368" s="335"/>
      <c r="J368" s="335"/>
      <c r="K368" s="335"/>
      <c r="L368" s="335"/>
      <c r="M368" s="335"/>
      <c r="N368" s="14"/>
      <c r="O368" s="14"/>
      <c r="P368" s="14"/>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14"/>
      <c r="AQ368" s="23"/>
      <c r="AR368" s="23"/>
      <c r="AS368" s="23"/>
      <c r="AT368" s="23"/>
      <c r="AU368" s="23"/>
      <c r="AV368" s="23"/>
      <c r="AW368" s="23"/>
      <c r="AX368" s="23"/>
      <c r="AY368" s="23"/>
      <c r="AZ368" s="23"/>
      <c r="BA368" s="23"/>
      <c r="BB368" s="23"/>
      <c r="BC368" s="14"/>
      <c r="BD368" s="3"/>
      <c r="BE368" s="165"/>
      <c r="BF368" s="23"/>
      <c r="BG368" s="23"/>
      <c r="BH368" s="23"/>
      <c r="BI368" s="90"/>
      <c r="BJ368" s="46"/>
      <c r="BK368" s="166"/>
      <c r="BL368" s="175"/>
      <c r="BM368" s="23"/>
      <c r="BN368" s="90"/>
      <c r="BO368" s="24"/>
      <c r="BP368" s="168"/>
      <c r="BQ368" s="171"/>
      <c r="BR368" s="170"/>
      <c r="BS368" s="168"/>
      <c r="BT368" s="171"/>
      <c r="BU368" s="170"/>
      <c r="BV368" s="168"/>
      <c r="BW368" s="171"/>
      <c r="BX368" s="170"/>
      <c r="BY368" s="168"/>
      <c r="BZ368" s="171"/>
      <c r="CA368" s="170"/>
      <c r="CB368" s="90"/>
      <c r="CC368" s="171"/>
      <c r="CD368" s="170"/>
      <c r="CE368" s="90"/>
      <c r="CF368" s="171"/>
      <c r="CG368" s="170"/>
      <c r="CH368" s="90"/>
      <c r="CI368" s="171"/>
      <c r="CJ368" s="170"/>
      <c r="CK368" s="90"/>
      <c r="CL368" s="171"/>
      <c r="CM368" s="170"/>
      <c r="CN368" s="90"/>
      <c r="CO368" s="171"/>
      <c r="CP368" s="170"/>
      <c r="CQ368" s="90"/>
      <c r="CR368" s="171"/>
      <c r="CS368" s="170"/>
      <c r="CT368" s="90"/>
      <c r="CU368" s="171"/>
      <c r="CV368" s="170"/>
      <c r="CW368" s="90"/>
      <c r="CX368" s="171"/>
      <c r="CY368" s="170"/>
      <c r="CZ368" s="168"/>
      <c r="DA368" s="172"/>
      <c r="DB368" s="173"/>
      <c r="DC368" s="172"/>
      <c r="DD368" s="172"/>
      <c r="DE368" s="172"/>
      <c r="DF368" s="172"/>
      <c r="DG368" s="1"/>
      <c r="DH368" s="1"/>
      <c r="DI368" s="3"/>
      <c r="DJ368" s="469" t="s">
        <v>565</v>
      </c>
      <c r="DK368" s="360">
        <v>0.9</v>
      </c>
      <c r="DL368" s="8"/>
      <c r="DM368" s="8"/>
      <c r="DN368" s="8"/>
      <c r="DO368" s="8"/>
      <c r="DP368" s="8"/>
      <c r="DQ368" s="3"/>
      <c r="DR368" s="8"/>
      <c r="DS368" s="8"/>
      <c r="DT368" s="8"/>
      <c r="DU368" s="8"/>
      <c r="DV368" s="8"/>
      <c r="DW368" s="8"/>
      <c r="DX368" s="8"/>
      <c r="DY368" s="8"/>
      <c r="DZ368" s="8"/>
      <c r="EA368" s="8"/>
      <c r="EB368" s="8"/>
      <c r="EC368" s="8"/>
      <c r="ED368" s="8"/>
      <c r="EE368" s="8"/>
      <c r="EF368" s="8"/>
      <c r="EG368" s="8"/>
      <c r="EH368" s="8"/>
      <c r="EI368" s="8"/>
      <c r="EJ368" s="8"/>
      <c r="EK368" s="8"/>
      <c r="EL368" s="8"/>
      <c r="EM368" s="8"/>
      <c r="EN368" s="8"/>
      <c r="EO368" s="8"/>
      <c r="EP368" s="8"/>
      <c r="EQ368" s="8"/>
      <c r="ER368" s="8"/>
      <c r="ES368" s="8"/>
      <c r="ET368" s="8"/>
      <c r="EU368" s="8"/>
      <c r="EV368" s="8"/>
      <c r="EW368" s="8"/>
      <c r="EX368" s="8"/>
      <c r="EY368" s="8"/>
    </row>
    <row r="369" spans="1:155" s="566" customFormat="1" ht="15" hidden="1" customHeight="1">
      <c r="A369" s="101"/>
      <c r="B369" s="351"/>
      <c r="C369" s="180"/>
      <c r="D369" s="180"/>
      <c r="E369" s="321"/>
      <c r="F369" s="70"/>
      <c r="G369" s="70"/>
      <c r="H369" s="70"/>
      <c r="I369" s="70"/>
      <c r="J369" s="70"/>
      <c r="K369" s="70"/>
      <c r="L369" s="70"/>
      <c r="M369" s="70"/>
      <c r="N369" s="14"/>
      <c r="O369" s="14"/>
      <c r="P369" s="234"/>
      <c r="Q369" s="23"/>
      <c r="R369" s="23"/>
      <c r="S369" s="23"/>
      <c r="T369" s="23"/>
      <c r="U369" s="23"/>
      <c r="V369" s="90"/>
      <c r="W369" s="90"/>
      <c r="X369" s="90"/>
      <c r="Y369" s="90"/>
      <c r="Z369" s="90"/>
      <c r="AA369" s="90"/>
      <c r="AB369" s="470"/>
      <c r="AC369" s="77"/>
      <c r="AD369" s="77"/>
      <c r="AE369" s="77"/>
      <c r="AF369" s="77"/>
      <c r="AG369" s="77"/>
      <c r="AH369" s="77"/>
      <c r="AI369" s="77"/>
      <c r="AJ369" s="77"/>
      <c r="AK369" s="77"/>
      <c r="AL369" s="77"/>
      <c r="AM369" s="77"/>
      <c r="AN369" s="77"/>
      <c r="AO369" s="471"/>
      <c r="AP369" s="472"/>
      <c r="AQ369" s="77"/>
      <c r="AR369" s="77"/>
      <c r="AS369" s="77"/>
      <c r="AT369" s="77"/>
      <c r="AU369" s="77"/>
      <c r="AV369" s="77"/>
      <c r="AW369" s="77"/>
      <c r="AX369" s="77"/>
      <c r="AY369" s="77"/>
      <c r="AZ369" s="77"/>
      <c r="BA369" s="77"/>
      <c r="BB369" s="77"/>
      <c r="BC369" s="14"/>
      <c r="BD369" s="3"/>
      <c r="BE369" s="165"/>
      <c r="BF369" s="23"/>
      <c r="BG369" s="23"/>
      <c r="BH369" s="23"/>
      <c r="BI369" s="90"/>
      <c r="BJ369" s="46"/>
      <c r="BK369" s="166"/>
      <c r="BL369" s="175"/>
      <c r="BM369" s="23"/>
      <c r="BN369" s="90"/>
      <c r="BO369" s="24"/>
      <c r="BP369" s="168"/>
      <c r="BQ369" s="171"/>
      <c r="BR369" s="170"/>
      <c r="BS369" s="168"/>
      <c r="BT369" s="171"/>
      <c r="BU369" s="170"/>
      <c r="BV369" s="168"/>
      <c r="BW369" s="171"/>
      <c r="BX369" s="170"/>
      <c r="BY369" s="168"/>
      <c r="BZ369" s="171"/>
      <c r="CA369" s="170"/>
      <c r="CB369" s="90"/>
      <c r="CC369" s="171"/>
      <c r="CD369" s="170"/>
      <c r="CE369" s="90"/>
      <c r="CF369" s="171"/>
      <c r="CG369" s="170"/>
      <c r="CH369" s="90"/>
      <c r="CI369" s="171"/>
      <c r="CJ369" s="170"/>
      <c r="CK369" s="90"/>
      <c r="CL369" s="171"/>
      <c r="CM369" s="170"/>
      <c r="CN369" s="90"/>
      <c r="CO369" s="171"/>
      <c r="CP369" s="170"/>
      <c r="CQ369" s="90"/>
      <c r="CR369" s="171"/>
      <c r="CS369" s="170"/>
      <c r="CT369" s="90"/>
      <c r="CU369" s="171"/>
      <c r="CV369" s="170"/>
      <c r="CW369" s="90"/>
      <c r="CX369" s="171"/>
      <c r="CY369" s="170"/>
      <c r="CZ369" s="168"/>
      <c r="DA369" s="172"/>
      <c r="DB369" s="173"/>
      <c r="DC369" s="172"/>
      <c r="DD369" s="172"/>
      <c r="DE369" s="172"/>
      <c r="DF369" s="172"/>
      <c r="DG369" s="1"/>
      <c r="DH369" s="1"/>
      <c r="DI369" s="3"/>
      <c r="DJ369" s="469" t="s">
        <v>566</v>
      </c>
      <c r="DK369" s="360">
        <v>0.8</v>
      </c>
      <c r="DL369" s="8"/>
      <c r="DM369" s="8"/>
      <c r="DN369" s="8"/>
      <c r="DO369" s="8"/>
      <c r="DP369" s="8"/>
      <c r="DQ369" s="3"/>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row>
    <row r="370" spans="1:155" s="566" customFormat="1" ht="15" hidden="1" customHeight="1">
      <c r="A370" s="186"/>
      <c r="B370" s="27"/>
      <c r="C370" s="27"/>
      <c r="D370" s="27"/>
      <c r="E370" s="27"/>
      <c r="F370" s="27"/>
      <c r="G370" s="70"/>
      <c r="H370" s="70"/>
      <c r="I370" s="70"/>
      <c r="J370" s="70"/>
      <c r="K370" s="70"/>
      <c r="L370" s="70"/>
      <c r="M370" s="70"/>
      <c r="N370" s="14"/>
      <c r="O370" s="14"/>
      <c r="P370" s="234"/>
      <c r="Q370" s="23"/>
      <c r="R370" s="23"/>
      <c r="S370" s="23"/>
      <c r="T370" s="23"/>
      <c r="U370" s="23"/>
      <c r="V370" s="90"/>
      <c r="W370" s="90"/>
      <c r="X370" s="90"/>
      <c r="Y370" s="90"/>
      <c r="Z370" s="90"/>
      <c r="AA370" s="90"/>
      <c r="AB370" s="470"/>
      <c r="AC370" s="77"/>
      <c r="AD370" s="77"/>
      <c r="AE370" s="77"/>
      <c r="AF370" s="77"/>
      <c r="AG370" s="77"/>
      <c r="AH370" s="77"/>
      <c r="AI370" s="77"/>
      <c r="AJ370" s="77"/>
      <c r="AK370" s="77"/>
      <c r="AL370" s="77"/>
      <c r="AM370" s="77"/>
      <c r="AN370" s="77"/>
      <c r="AO370" s="471"/>
      <c r="AP370" s="472"/>
      <c r="AQ370" s="77"/>
      <c r="AR370" s="77"/>
      <c r="AS370" s="77"/>
      <c r="AT370" s="77"/>
      <c r="AU370" s="77"/>
      <c r="AV370" s="77"/>
      <c r="AW370" s="77"/>
      <c r="AX370" s="77"/>
      <c r="AY370" s="77"/>
      <c r="AZ370" s="77"/>
      <c r="BA370" s="77"/>
      <c r="BB370" s="77"/>
      <c r="BC370" s="14"/>
      <c r="BD370" s="3"/>
      <c r="BE370" s="165"/>
      <c r="BF370" s="23"/>
      <c r="BG370" s="23"/>
      <c r="BH370" s="23"/>
      <c r="BI370" s="90"/>
      <c r="BJ370" s="46"/>
      <c r="BK370" s="166"/>
      <c r="BL370" s="175"/>
      <c r="BM370" s="23"/>
      <c r="BN370" s="90"/>
      <c r="BO370" s="24"/>
      <c r="BP370" s="168"/>
      <c r="BQ370" s="171"/>
      <c r="BR370" s="170"/>
      <c r="BS370" s="168"/>
      <c r="BT370" s="171"/>
      <c r="BU370" s="170"/>
      <c r="BV370" s="168"/>
      <c r="BW370" s="171"/>
      <c r="BX370" s="170"/>
      <c r="BY370" s="168"/>
      <c r="BZ370" s="171"/>
      <c r="CA370" s="170"/>
      <c r="CB370" s="90"/>
      <c r="CC370" s="171"/>
      <c r="CD370" s="170"/>
      <c r="CE370" s="90"/>
      <c r="CF370" s="171"/>
      <c r="CG370" s="170"/>
      <c r="CH370" s="90"/>
      <c r="CI370" s="171"/>
      <c r="CJ370" s="170"/>
      <c r="CK370" s="90"/>
      <c r="CL370" s="171"/>
      <c r="CM370" s="170"/>
      <c r="CN370" s="90"/>
      <c r="CO370" s="171"/>
      <c r="CP370" s="170"/>
      <c r="CQ370" s="90"/>
      <c r="CR370" s="171"/>
      <c r="CS370" s="170"/>
      <c r="CT370" s="90"/>
      <c r="CU370" s="171"/>
      <c r="CV370" s="170"/>
      <c r="CW370" s="90"/>
      <c r="CX370" s="171"/>
      <c r="CY370" s="170"/>
      <c r="CZ370" s="168"/>
      <c r="DA370" s="172"/>
      <c r="DB370" s="173"/>
      <c r="DC370" s="172"/>
      <c r="DD370" s="172"/>
      <c r="DE370" s="172"/>
      <c r="DF370" s="172"/>
      <c r="DG370" s="1"/>
      <c r="DH370" s="1"/>
      <c r="DI370" s="3"/>
      <c r="DJ370" s="469" t="s">
        <v>567</v>
      </c>
      <c r="DK370" s="360">
        <v>0.65</v>
      </c>
      <c r="DL370" s="8"/>
      <c r="DM370" s="8"/>
      <c r="DN370" s="8"/>
      <c r="DO370" s="8"/>
      <c r="DP370" s="8"/>
      <c r="DQ370" s="3"/>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row>
    <row r="371" spans="1:155" s="566" customFormat="1" ht="15" hidden="1" customHeight="1">
      <c r="A371" s="101"/>
      <c r="B371" s="473"/>
      <c r="C371" s="473"/>
      <c r="D371" s="473"/>
      <c r="E371" s="473"/>
      <c r="F371" s="474"/>
      <c r="G371" s="70"/>
      <c r="H371" s="70"/>
      <c r="I371" s="70"/>
      <c r="J371" s="70"/>
      <c r="K371" s="70"/>
      <c r="L371" s="70"/>
      <c r="M371" s="70"/>
      <c r="N371" s="14"/>
      <c r="O371" s="14"/>
      <c r="P371" s="234"/>
      <c r="Q371" s="23"/>
      <c r="R371" s="23"/>
      <c r="S371" s="23"/>
      <c r="T371" s="23"/>
      <c r="U371" s="23"/>
      <c r="V371" s="90"/>
      <c r="W371" s="90"/>
      <c r="X371" s="90"/>
      <c r="Y371" s="90"/>
      <c r="Z371" s="90"/>
      <c r="AA371" s="90"/>
      <c r="AB371" s="470"/>
      <c r="AC371" s="77"/>
      <c r="AD371" s="77"/>
      <c r="AE371" s="77"/>
      <c r="AF371" s="77"/>
      <c r="AG371" s="77"/>
      <c r="AH371" s="77"/>
      <c r="AI371" s="77"/>
      <c r="AJ371" s="77"/>
      <c r="AK371" s="77"/>
      <c r="AL371" s="77"/>
      <c r="AM371" s="77"/>
      <c r="AN371" s="77"/>
      <c r="AO371" s="471"/>
      <c r="AP371" s="472"/>
      <c r="AQ371" s="77"/>
      <c r="AR371" s="77"/>
      <c r="AS371" s="77"/>
      <c r="AT371" s="77"/>
      <c r="AU371" s="77"/>
      <c r="AV371" s="77"/>
      <c r="AW371" s="77"/>
      <c r="AX371" s="77"/>
      <c r="AY371" s="77"/>
      <c r="AZ371" s="77"/>
      <c r="BA371" s="77"/>
      <c r="BB371" s="77"/>
      <c r="BC371" s="14"/>
      <c r="BD371" s="3"/>
      <c r="BE371" s="165"/>
      <c r="BF371" s="23"/>
      <c r="BG371" s="23"/>
      <c r="BH371" s="23"/>
      <c r="BI371" s="90"/>
      <c r="BJ371" s="46"/>
      <c r="BK371" s="166"/>
      <c r="BL371" s="175"/>
      <c r="BM371" s="23"/>
      <c r="BN371" s="90"/>
      <c r="BO371" s="24"/>
      <c r="BP371" s="168"/>
      <c r="BQ371" s="171"/>
      <c r="BR371" s="170"/>
      <c r="BS371" s="168"/>
      <c r="BT371" s="171"/>
      <c r="BU371" s="170"/>
      <c r="BV371" s="168"/>
      <c r="BW371" s="171"/>
      <c r="BX371" s="170"/>
      <c r="BY371" s="168"/>
      <c r="BZ371" s="171"/>
      <c r="CA371" s="170"/>
      <c r="CB371" s="90"/>
      <c r="CC371" s="171"/>
      <c r="CD371" s="170"/>
      <c r="CE371" s="90"/>
      <c r="CF371" s="171"/>
      <c r="CG371" s="170"/>
      <c r="CH371" s="90"/>
      <c r="CI371" s="171"/>
      <c r="CJ371" s="170"/>
      <c r="CK371" s="90"/>
      <c r="CL371" s="171"/>
      <c r="CM371" s="170"/>
      <c r="CN371" s="90"/>
      <c r="CO371" s="171"/>
      <c r="CP371" s="170"/>
      <c r="CQ371" s="90"/>
      <c r="CR371" s="171"/>
      <c r="CS371" s="170"/>
      <c r="CT371" s="90"/>
      <c r="CU371" s="171"/>
      <c r="CV371" s="170"/>
      <c r="CW371" s="90"/>
      <c r="CX371" s="171"/>
      <c r="CY371" s="170"/>
      <c r="CZ371" s="168"/>
      <c r="DA371" s="172"/>
      <c r="DB371" s="173"/>
      <c r="DC371" s="172"/>
      <c r="DD371" s="172"/>
      <c r="DE371" s="172"/>
      <c r="DF371" s="172"/>
      <c r="DG371" s="1"/>
      <c r="DH371" s="1"/>
      <c r="DI371" s="3"/>
      <c r="DJ371" s="8"/>
      <c r="DK371" s="8"/>
      <c r="DL371" s="8"/>
      <c r="DM371" s="8"/>
      <c r="DN371" s="8"/>
      <c r="DO371" s="8"/>
      <c r="DP371" s="8"/>
      <c r="DQ371" s="3"/>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row>
    <row r="372" spans="1:155" s="566" customFormat="1" ht="15" hidden="1" customHeight="1">
      <c r="A372" s="101"/>
      <c r="B372" s="628"/>
      <c r="C372" s="628"/>
      <c r="D372" s="628"/>
      <c r="E372" s="475"/>
      <c r="F372" s="475"/>
      <c r="G372" s="476"/>
      <c r="H372" s="476"/>
      <c r="I372" s="476"/>
      <c r="J372" s="476"/>
      <c r="K372" s="476"/>
      <c r="L372" s="476"/>
      <c r="M372" s="476"/>
      <c r="N372" s="14"/>
      <c r="O372" s="14"/>
      <c r="P372" s="234"/>
      <c r="Q372" s="23"/>
      <c r="R372" s="23"/>
      <c r="S372" s="23"/>
      <c r="T372" s="23"/>
      <c r="U372" s="23"/>
      <c r="V372" s="90"/>
      <c r="W372" s="90"/>
      <c r="X372" s="90"/>
      <c r="Y372" s="90"/>
      <c r="Z372" s="90"/>
      <c r="AA372" s="90"/>
      <c r="AB372" s="470"/>
      <c r="AC372" s="77"/>
      <c r="AD372" s="77"/>
      <c r="AE372" s="77"/>
      <c r="AF372" s="77"/>
      <c r="AG372" s="77"/>
      <c r="AH372" s="77"/>
      <c r="AI372" s="77"/>
      <c r="AJ372" s="77"/>
      <c r="AK372" s="77"/>
      <c r="AL372" s="77"/>
      <c r="AM372" s="77"/>
      <c r="AN372" s="77"/>
      <c r="AO372" s="471"/>
      <c r="AP372" s="472"/>
      <c r="AQ372" s="77"/>
      <c r="AR372" s="77"/>
      <c r="AS372" s="77"/>
      <c r="AT372" s="77"/>
      <c r="AU372" s="77"/>
      <c r="AV372" s="77"/>
      <c r="AW372" s="77"/>
      <c r="AX372" s="77"/>
      <c r="AY372" s="77"/>
      <c r="AZ372" s="77"/>
      <c r="BA372" s="77"/>
      <c r="BB372" s="77"/>
      <c r="BC372" s="14"/>
      <c r="BD372" s="3"/>
      <c r="BE372" s="165"/>
      <c r="BF372" s="23"/>
      <c r="BG372" s="23"/>
      <c r="BH372" s="23"/>
      <c r="BI372" s="90"/>
      <c r="BJ372" s="46"/>
      <c r="BK372" s="166"/>
      <c r="BL372" s="175"/>
      <c r="BM372" s="23"/>
      <c r="BN372" s="90"/>
      <c r="BO372" s="24"/>
      <c r="BP372" s="168"/>
      <c r="BQ372" s="171"/>
      <c r="BR372" s="170"/>
      <c r="BS372" s="168"/>
      <c r="BT372" s="171"/>
      <c r="BU372" s="170"/>
      <c r="BV372" s="168"/>
      <c r="BW372" s="171"/>
      <c r="BX372" s="170"/>
      <c r="BY372" s="168"/>
      <c r="BZ372" s="171"/>
      <c r="CA372" s="170"/>
      <c r="CB372" s="90"/>
      <c r="CC372" s="171"/>
      <c r="CD372" s="170"/>
      <c r="CE372" s="90"/>
      <c r="CF372" s="171"/>
      <c r="CG372" s="170"/>
      <c r="CH372" s="90"/>
      <c r="CI372" s="171"/>
      <c r="CJ372" s="170"/>
      <c r="CK372" s="90"/>
      <c r="CL372" s="171"/>
      <c r="CM372" s="170"/>
      <c r="CN372" s="90"/>
      <c r="CO372" s="171"/>
      <c r="CP372" s="170"/>
      <c r="CQ372" s="90"/>
      <c r="CR372" s="171"/>
      <c r="CS372" s="170"/>
      <c r="CT372" s="90"/>
      <c r="CU372" s="171"/>
      <c r="CV372" s="170"/>
      <c r="CW372" s="90"/>
      <c r="CX372" s="171"/>
      <c r="CY372" s="170"/>
      <c r="CZ372" s="168"/>
      <c r="DA372" s="172"/>
      <c r="DB372" s="173"/>
      <c r="DC372" s="172"/>
      <c r="DD372" s="172"/>
      <c r="DE372" s="172"/>
      <c r="DF372" s="172"/>
      <c r="DG372" s="1"/>
      <c r="DH372" s="1"/>
      <c r="DI372" s="3"/>
      <c r="DJ372" s="8"/>
      <c r="DK372" s="8"/>
      <c r="DL372" s="8"/>
      <c r="DM372" s="8"/>
      <c r="DN372" s="8"/>
      <c r="DO372" s="8"/>
      <c r="DP372" s="8"/>
      <c r="DQ372" s="3"/>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row>
    <row r="373" spans="1:155" s="566" customFormat="1" ht="15" hidden="1" customHeight="1">
      <c r="A373" s="468"/>
      <c r="B373" s="190"/>
      <c r="C373" s="631"/>
      <c r="D373" s="631"/>
      <c r="E373" s="631"/>
      <c r="F373" s="631"/>
      <c r="G373" s="70"/>
      <c r="H373" s="70"/>
      <c r="I373" s="70"/>
      <c r="J373" s="70"/>
      <c r="K373" s="70"/>
      <c r="L373" s="70"/>
      <c r="M373" s="70"/>
      <c r="N373" s="14"/>
      <c r="O373" s="14"/>
      <c r="P373" s="234"/>
      <c r="Q373" s="23"/>
      <c r="R373" s="23"/>
      <c r="S373" s="23"/>
      <c r="T373" s="23"/>
      <c r="U373" s="23"/>
      <c r="V373" s="90"/>
      <c r="W373" s="90"/>
      <c r="X373" s="90"/>
      <c r="Y373" s="90"/>
      <c r="Z373" s="90"/>
      <c r="AA373" s="90"/>
      <c r="AB373" s="470"/>
      <c r="AC373" s="77"/>
      <c r="AD373" s="77"/>
      <c r="AE373" s="77"/>
      <c r="AF373" s="77"/>
      <c r="AG373" s="77"/>
      <c r="AH373" s="77"/>
      <c r="AI373" s="77"/>
      <c r="AJ373" s="77"/>
      <c r="AK373" s="77"/>
      <c r="AL373" s="77"/>
      <c r="AM373" s="77"/>
      <c r="AN373" s="77"/>
      <c r="AO373" s="471"/>
      <c r="AP373" s="472"/>
      <c r="AQ373" s="77"/>
      <c r="AR373" s="77"/>
      <c r="AS373" s="77"/>
      <c r="AT373" s="77"/>
      <c r="AU373" s="77"/>
      <c r="AV373" s="77"/>
      <c r="AW373" s="77"/>
      <c r="AX373" s="77"/>
      <c r="AY373" s="77"/>
      <c r="AZ373" s="77"/>
      <c r="BA373" s="77"/>
      <c r="BB373" s="77"/>
      <c r="BC373" s="14"/>
      <c r="BD373" s="3"/>
      <c r="BE373" s="165"/>
      <c r="BF373" s="23"/>
      <c r="BG373" s="23"/>
      <c r="BH373" s="23"/>
      <c r="BI373" s="90"/>
      <c r="BJ373" s="46"/>
      <c r="BK373" s="166"/>
      <c r="BL373" s="175"/>
      <c r="BM373" s="23"/>
      <c r="BN373" s="90"/>
      <c r="BO373" s="24"/>
      <c r="BP373" s="168"/>
      <c r="BQ373" s="171"/>
      <c r="BR373" s="170"/>
      <c r="BS373" s="168"/>
      <c r="BT373" s="171"/>
      <c r="BU373" s="170"/>
      <c r="BV373" s="168"/>
      <c r="BW373" s="171"/>
      <c r="BX373" s="170"/>
      <c r="BY373" s="168"/>
      <c r="BZ373" s="171"/>
      <c r="CA373" s="170"/>
      <c r="CB373" s="90"/>
      <c r="CC373" s="171"/>
      <c r="CD373" s="170"/>
      <c r="CE373" s="90"/>
      <c r="CF373" s="171"/>
      <c r="CG373" s="170"/>
      <c r="CH373" s="90"/>
      <c r="CI373" s="171"/>
      <c r="CJ373" s="170"/>
      <c r="CK373" s="90"/>
      <c r="CL373" s="171"/>
      <c r="CM373" s="170"/>
      <c r="CN373" s="90"/>
      <c r="CO373" s="171"/>
      <c r="CP373" s="170"/>
      <c r="CQ373" s="90"/>
      <c r="CR373" s="171"/>
      <c r="CS373" s="170"/>
      <c r="CT373" s="90"/>
      <c r="CU373" s="171"/>
      <c r="CV373" s="170"/>
      <c r="CW373" s="90"/>
      <c r="CX373" s="171"/>
      <c r="CY373" s="170"/>
      <c r="CZ373" s="168"/>
      <c r="DA373" s="172"/>
      <c r="DB373" s="173"/>
      <c r="DC373" s="172"/>
      <c r="DD373" s="172"/>
      <c r="DE373" s="172"/>
      <c r="DF373" s="172"/>
      <c r="DG373" s="1"/>
      <c r="DH373" s="1"/>
      <c r="DI373" s="3"/>
      <c r="DJ373" s="8"/>
      <c r="DK373" s="8"/>
      <c r="DL373" s="8"/>
      <c r="DM373" s="8"/>
      <c r="DN373" s="8"/>
      <c r="DO373" s="8"/>
      <c r="DP373" s="8"/>
      <c r="DQ373" s="3"/>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row>
    <row r="374" spans="1:155" s="566" customFormat="1" ht="15" hidden="1" customHeight="1">
      <c r="A374" s="477"/>
      <c r="B374" s="190"/>
      <c r="C374" s="631"/>
      <c r="D374" s="631"/>
      <c r="E374" s="631"/>
      <c r="F374" s="631"/>
      <c r="G374" s="70"/>
      <c r="H374" s="70"/>
      <c r="I374" s="70"/>
      <c r="J374" s="70"/>
      <c r="K374" s="70"/>
      <c r="L374" s="70"/>
      <c r="M374" s="70"/>
      <c r="N374" s="14"/>
      <c r="O374" s="14"/>
      <c r="P374" s="234"/>
      <c r="Q374" s="23"/>
      <c r="R374" s="23"/>
      <c r="S374" s="23"/>
      <c r="T374" s="23"/>
      <c r="U374" s="23"/>
      <c r="V374" s="90"/>
      <c r="W374" s="90"/>
      <c r="X374" s="90"/>
      <c r="Y374" s="90"/>
      <c r="Z374" s="90"/>
      <c r="AA374" s="90"/>
      <c r="AB374" s="470"/>
      <c r="AC374" s="77"/>
      <c r="AD374" s="77"/>
      <c r="AE374" s="77"/>
      <c r="AF374" s="77"/>
      <c r="AG374" s="77"/>
      <c r="AH374" s="77"/>
      <c r="AI374" s="77"/>
      <c r="AJ374" s="77"/>
      <c r="AK374" s="77"/>
      <c r="AL374" s="77"/>
      <c r="AM374" s="77"/>
      <c r="AN374" s="77"/>
      <c r="AO374" s="471"/>
      <c r="AP374" s="472"/>
      <c r="AQ374" s="77"/>
      <c r="AR374" s="77"/>
      <c r="AS374" s="77"/>
      <c r="AT374" s="77"/>
      <c r="AU374" s="77"/>
      <c r="AV374" s="77"/>
      <c r="AW374" s="77"/>
      <c r="AX374" s="77"/>
      <c r="AY374" s="77"/>
      <c r="AZ374" s="77"/>
      <c r="BA374" s="77"/>
      <c r="BB374" s="77"/>
      <c r="BC374" s="14"/>
      <c r="BD374" s="3"/>
      <c r="BE374" s="165"/>
      <c r="BF374" s="23"/>
      <c r="BG374" s="23"/>
      <c r="BH374" s="23"/>
      <c r="BI374" s="90"/>
      <c r="BJ374" s="46"/>
      <c r="BK374" s="166"/>
      <c r="BL374" s="175"/>
      <c r="BM374" s="23"/>
      <c r="BN374" s="90"/>
      <c r="BO374" s="24"/>
      <c r="BP374" s="168"/>
      <c r="BQ374" s="171"/>
      <c r="BR374" s="170"/>
      <c r="BS374" s="168"/>
      <c r="BT374" s="171"/>
      <c r="BU374" s="170"/>
      <c r="BV374" s="168"/>
      <c r="BW374" s="171"/>
      <c r="BX374" s="170"/>
      <c r="BY374" s="168"/>
      <c r="BZ374" s="171"/>
      <c r="CA374" s="170"/>
      <c r="CB374" s="90"/>
      <c r="CC374" s="171"/>
      <c r="CD374" s="170"/>
      <c r="CE374" s="90"/>
      <c r="CF374" s="171"/>
      <c r="CG374" s="170"/>
      <c r="CH374" s="90"/>
      <c r="CI374" s="171"/>
      <c r="CJ374" s="170"/>
      <c r="CK374" s="90"/>
      <c r="CL374" s="171"/>
      <c r="CM374" s="170"/>
      <c r="CN374" s="90"/>
      <c r="CO374" s="171"/>
      <c r="CP374" s="170"/>
      <c r="CQ374" s="90"/>
      <c r="CR374" s="171"/>
      <c r="CS374" s="170"/>
      <c r="CT374" s="90"/>
      <c r="CU374" s="171"/>
      <c r="CV374" s="170"/>
      <c r="CW374" s="90"/>
      <c r="CX374" s="171"/>
      <c r="CY374" s="170"/>
      <c r="CZ374" s="168"/>
      <c r="DA374" s="172"/>
      <c r="DB374" s="173"/>
      <c r="DC374" s="172"/>
      <c r="DD374" s="172"/>
      <c r="DE374" s="172"/>
      <c r="DF374" s="172"/>
      <c r="DG374" s="1"/>
      <c r="DH374" s="1"/>
      <c r="DI374" s="3"/>
      <c r="DJ374" s="8"/>
      <c r="DK374" s="8"/>
      <c r="DL374" s="8"/>
      <c r="DM374" s="8"/>
      <c r="DN374" s="8"/>
      <c r="DO374" s="8"/>
      <c r="DP374" s="8"/>
      <c r="DQ374" s="3"/>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row>
    <row r="375" spans="1:155" s="566" customFormat="1" ht="18" hidden="1" customHeight="1">
      <c r="A375" s="188"/>
      <c r="B375" s="190"/>
      <c r="C375" s="478"/>
      <c r="D375" s="345"/>
      <c r="E375" s="255"/>
      <c r="F375" s="345"/>
      <c r="G375" s="70"/>
      <c r="H375" s="27"/>
      <c r="I375" s="27"/>
      <c r="J375" s="27"/>
      <c r="K375" s="27"/>
      <c r="L375" s="180"/>
      <c r="M375" s="180"/>
      <c r="N375" s="14"/>
      <c r="O375" s="14"/>
      <c r="P375" s="234"/>
      <c r="Q375" s="23"/>
      <c r="R375" s="23"/>
      <c r="S375" s="23"/>
      <c r="T375" s="23"/>
      <c r="U375" s="23"/>
      <c r="V375" s="90"/>
      <c r="W375" s="90"/>
      <c r="X375" s="90"/>
      <c r="Y375" s="90"/>
      <c r="Z375" s="90"/>
      <c r="AA375" s="90"/>
      <c r="AB375" s="470"/>
      <c r="AC375" s="77"/>
      <c r="AD375" s="77"/>
      <c r="AE375" s="77"/>
      <c r="AF375" s="77"/>
      <c r="AG375" s="77"/>
      <c r="AH375" s="77"/>
      <c r="AI375" s="77"/>
      <c r="AJ375" s="77"/>
      <c r="AK375" s="77"/>
      <c r="AL375" s="77"/>
      <c r="AM375" s="77"/>
      <c r="AN375" s="77"/>
      <c r="AO375" s="471"/>
      <c r="AP375" s="472"/>
      <c r="AQ375" s="77"/>
      <c r="AR375" s="77"/>
      <c r="AS375" s="77"/>
      <c r="AT375" s="77"/>
      <c r="AU375" s="77"/>
      <c r="AV375" s="77"/>
      <c r="AW375" s="77"/>
      <c r="AX375" s="77"/>
      <c r="AY375" s="77"/>
      <c r="AZ375" s="77"/>
      <c r="BA375" s="77"/>
      <c r="BB375" s="77"/>
      <c r="BC375" s="14"/>
      <c r="BD375" s="3"/>
      <c r="BE375" s="165"/>
      <c r="BF375" s="23"/>
      <c r="BG375" s="23"/>
      <c r="BH375" s="23"/>
      <c r="BI375" s="90"/>
      <c r="BJ375" s="46"/>
      <c r="BK375" s="166"/>
      <c r="BL375" s="175"/>
      <c r="BM375" s="23"/>
      <c r="BN375" s="90"/>
      <c r="BO375" s="24"/>
      <c r="BP375" s="168"/>
      <c r="BQ375" s="171"/>
      <c r="BR375" s="170"/>
      <c r="BS375" s="168"/>
      <c r="BT375" s="171"/>
      <c r="BU375" s="170"/>
      <c r="BV375" s="168"/>
      <c r="BW375" s="171"/>
      <c r="BX375" s="170"/>
      <c r="BY375" s="168"/>
      <c r="BZ375" s="171"/>
      <c r="CA375" s="170"/>
      <c r="CB375" s="90"/>
      <c r="CC375" s="171"/>
      <c r="CD375" s="170"/>
      <c r="CE375" s="90"/>
      <c r="CF375" s="171"/>
      <c r="CG375" s="170"/>
      <c r="CH375" s="90"/>
      <c r="CI375" s="171"/>
      <c r="CJ375" s="170"/>
      <c r="CK375" s="90"/>
      <c r="CL375" s="171"/>
      <c r="CM375" s="170"/>
      <c r="CN375" s="90"/>
      <c r="CO375" s="171"/>
      <c r="CP375" s="170"/>
      <c r="CQ375" s="90"/>
      <c r="CR375" s="171"/>
      <c r="CS375" s="170"/>
      <c r="CT375" s="90"/>
      <c r="CU375" s="171"/>
      <c r="CV375" s="170"/>
      <c r="CW375" s="90"/>
      <c r="CX375" s="171"/>
      <c r="CY375" s="170"/>
      <c r="CZ375" s="168"/>
      <c r="DA375" s="172"/>
      <c r="DB375" s="173"/>
      <c r="DC375" s="172"/>
      <c r="DD375" s="172"/>
      <c r="DE375" s="172"/>
      <c r="DF375" s="172"/>
      <c r="DG375" s="1"/>
      <c r="DH375" s="1"/>
      <c r="DI375" s="3"/>
      <c r="DJ375" s="8"/>
      <c r="DK375" s="8"/>
      <c r="DL375" s="8"/>
      <c r="DM375" s="8"/>
      <c r="DN375" s="8"/>
      <c r="DO375" s="8"/>
      <c r="DP375" s="8"/>
      <c r="DQ375" s="3"/>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row>
    <row r="376" spans="1:155" s="566" customFormat="1" ht="18" hidden="1" customHeight="1">
      <c r="A376" s="188"/>
      <c r="B376" s="190"/>
      <c r="C376" s="478"/>
      <c r="D376" s="345"/>
      <c r="E376" s="255"/>
      <c r="F376" s="345"/>
      <c r="G376" s="70"/>
      <c r="H376" s="27"/>
      <c r="I376" s="27"/>
      <c r="J376" s="27"/>
      <c r="K376" s="27"/>
      <c r="L376" s="180"/>
      <c r="M376" s="180"/>
      <c r="N376" s="14"/>
      <c r="O376" s="14"/>
      <c r="P376" s="234"/>
      <c r="Q376" s="23"/>
      <c r="R376" s="23"/>
      <c r="S376" s="23"/>
      <c r="T376" s="23"/>
      <c r="U376" s="23"/>
      <c r="V376" s="90"/>
      <c r="W376" s="90"/>
      <c r="X376" s="90"/>
      <c r="Y376" s="90"/>
      <c r="Z376" s="90"/>
      <c r="AA376" s="90"/>
      <c r="AB376" s="470"/>
      <c r="AC376" s="77"/>
      <c r="AD376" s="77"/>
      <c r="AE376" s="77"/>
      <c r="AF376" s="77"/>
      <c r="AG376" s="77"/>
      <c r="AH376" s="77"/>
      <c r="AI376" s="77"/>
      <c r="AJ376" s="77"/>
      <c r="AK376" s="77"/>
      <c r="AL376" s="77"/>
      <c r="AM376" s="77"/>
      <c r="AN376" s="77"/>
      <c r="AO376" s="471"/>
      <c r="AP376" s="472"/>
      <c r="AQ376" s="77"/>
      <c r="AR376" s="77"/>
      <c r="AS376" s="77"/>
      <c r="AT376" s="77"/>
      <c r="AU376" s="77"/>
      <c r="AV376" s="77"/>
      <c r="AW376" s="77"/>
      <c r="AX376" s="77"/>
      <c r="AY376" s="77"/>
      <c r="AZ376" s="77"/>
      <c r="BA376" s="77"/>
      <c r="BB376" s="77"/>
      <c r="BC376" s="14"/>
      <c r="BD376" s="3"/>
      <c r="BE376" s="165"/>
      <c r="BF376" s="23"/>
      <c r="BG376" s="23"/>
      <c r="BH376" s="23"/>
      <c r="BI376" s="90"/>
      <c r="BJ376" s="46"/>
      <c r="BK376" s="166"/>
      <c r="BL376" s="175"/>
      <c r="BM376" s="23"/>
      <c r="BN376" s="90"/>
      <c r="BO376" s="24"/>
      <c r="BP376" s="168"/>
      <c r="BQ376" s="171"/>
      <c r="BR376" s="170"/>
      <c r="BS376" s="168"/>
      <c r="BT376" s="171"/>
      <c r="BU376" s="170"/>
      <c r="BV376" s="168"/>
      <c r="BW376" s="171"/>
      <c r="BX376" s="170"/>
      <c r="BY376" s="168"/>
      <c r="BZ376" s="171"/>
      <c r="CA376" s="170"/>
      <c r="CB376" s="90"/>
      <c r="CC376" s="171"/>
      <c r="CD376" s="170"/>
      <c r="CE376" s="90"/>
      <c r="CF376" s="171"/>
      <c r="CG376" s="170"/>
      <c r="CH376" s="90"/>
      <c r="CI376" s="171"/>
      <c r="CJ376" s="170"/>
      <c r="CK376" s="90"/>
      <c r="CL376" s="171"/>
      <c r="CM376" s="170"/>
      <c r="CN376" s="90"/>
      <c r="CO376" s="171"/>
      <c r="CP376" s="170"/>
      <c r="CQ376" s="90"/>
      <c r="CR376" s="171"/>
      <c r="CS376" s="170"/>
      <c r="CT376" s="90"/>
      <c r="CU376" s="171"/>
      <c r="CV376" s="170"/>
      <c r="CW376" s="90"/>
      <c r="CX376" s="171"/>
      <c r="CY376" s="170"/>
      <c r="CZ376" s="168"/>
      <c r="DA376" s="172"/>
      <c r="DB376" s="173"/>
      <c r="DC376" s="172"/>
      <c r="DD376" s="172"/>
      <c r="DE376" s="172"/>
      <c r="DF376" s="172"/>
      <c r="DG376" s="1"/>
      <c r="DH376" s="1"/>
      <c r="DI376" s="3"/>
      <c r="DJ376" s="8"/>
      <c r="DK376" s="8"/>
      <c r="DL376" s="8"/>
      <c r="DM376" s="8"/>
      <c r="DN376" s="8"/>
      <c r="DO376" s="8"/>
      <c r="DP376" s="8"/>
      <c r="DQ376" s="3"/>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row>
    <row r="377" spans="1:155" s="566" customFormat="1" ht="18" hidden="1" customHeight="1">
      <c r="A377" s="188"/>
      <c r="B377" s="190"/>
      <c r="C377" s="478"/>
      <c r="D377" s="345"/>
      <c r="E377" s="255"/>
      <c r="F377" s="345"/>
      <c r="G377" s="70"/>
      <c r="H377" s="27"/>
      <c r="I377" s="27"/>
      <c r="J377" s="27"/>
      <c r="K377" s="27"/>
      <c r="L377" s="180"/>
      <c r="M377" s="180"/>
      <c r="N377" s="14"/>
      <c r="O377" s="479"/>
      <c r="P377" s="234"/>
      <c r="Q377" s="23"/>
      <c r="R377" s="23"/>
      <c r="S377" s="23"/>
      <c r="T377" s="23"/>
      <c r="U377" s="23"/>
      <c r="V377" s="90"/>
      <c r="W377" s="90"/>
      <c r="X377" s="90"/>
      <c r="Y377" s="90"/>
      <c r="Z377" s="90"/>
      <c r="AA377" s="90"/>
      <c r="AB377" s="470"/>
      <c r="AC377" s="77"/>
      <c r="AD377" s="77"/>
      <c r="AE377" s="77"/>
      <c r="AF377" s="77"/>
      <c r="AG377" s="77"/>
      <c r="AH377" s="77"/>
      <c r="AI377" s="77"/>
      <c r="AJ377" s="77"/>
      <c r="AK377" s="77"/>
      <c r="AL377" s="77"/>
      <c r="AM377" s="77"/>
      <c r="AN377" s="77"/>
      <c r="AO377" s="471"/>
      <c r="AP377" s="472"/>
      <c r="AQ377" s="77"/>
      <c r="AR377" s="77"/>
      <c r="AS377" s="77"/>
      <c r="AT377" s="77"/>
      <c r="AU377" s="77"/>
      <c r="AV377" s="77"/>
      <c r="AW377" s="77"/>
      <c r="AX377" s="77"/>
      <c r="AY377" s="77"/>
      <c r="AZ377" s="77"/>
      <c r="BA377" s="77"/>
      <c r="BB377" s="77"/>
      <c r="BC377" s="14"/>
      <c r="BD377" s="3"/>
      <c r="BE377" s="165"/>
      <c r="BF377" s="23"/>
      <c r="BG377" s="23"/>
      <c r="BH377" s="23"/>
      <c r="BI377" s="90"/>
      <c r="BJ377" s="46"/>
      <c r="BK377" s="166"/>
      <c r="BL377" s="175"/>
      <c r="BM377" s="23"/>
      <c r="BN377" s="90"/>
      <c r="BO377" s="24"/>
      <c r="BP377" s="168"/>
      <c r="BQ377" s="171"/>
      <c r="BR377" s="170"/>
      <c r="BS377" s="168"/>
      <c r="BT377" s="171"/>
      <c r="BU377" s="170"/>
      <c r="BV377" s="168"/>
      <c r="BW377" s="171"/>
      <c r="BX377" s="170"/>
      <c r="BY377" s="168"/>
      <c r="BZ377" s="171"/>
      <c r="CA377" s="170"/>
      <c r="CB377" s="90"/>
      <c r="CC377" s="171"/>
      <c r="CD377" s="170"/>
      <c r="CE377" s="90"/>
      <c r="CF377" s="171"/>
      <c r="CG377" s="170"/>
      <c r="CH377" s="90"/>
      <c r="CI377" s="171"/>
      <c r="CJ377" s="170"/>
      <c r="CK377" s="90"/>
      <c r="CL377" s="171"/>
      <c r="CM377" s="170"/>
      <c r="CN377" s="90"/>
      <c r="CO377" s="171"/>
      <c r="CP377" s="170"/>
      <c r="CQ377" s="90"/>
      <c r="CR377" s="171"/>
      <c r="CS377" s="170"/>
      <c r="CT377" s="90"/>
      <c r="CU377" s="171"/>
      <c r="CV377" s="170"/>
      <c r="CW377" s="90"/>
      <c r="CX377" s="171"/>
      <c r="CY377" s="170"/>
      <c r="CZ377" s="168"/>
      <c r="DA377" s="172"/>
      <c r="DB377" s="173"/>
      <c r="DC377" s="172"/>
      <c r="DD377" s="172"/>
      <c r="DE377" s="172"/>
      <c r="DF377" s="172"/>
      <c r="DG377" s="1"/>
      <c r="DH377" s="1"/>
      <c r="DI377" s="3"/>
      <c r="DJ377" s="8"/>
      <c r="DK377" s="8"/>
      <c r="DL377" s="8"/>
      <c r="DM377" s="8"/>
      <c r="DN377" s="8"/>
      <c r="DO377" s="8"/>
      <c r="DP377" s="8"/>
      <c r="DQ377" s="3"/>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row>
    <row r="378" spans="1:155" s="574" customFormat="1" ht="18" hidden="1" customHeight="1">
      <c r="A378" s="188"/>
      <c r="B378" s="190"/>
      <c r="C378" s="478"/>
      <c r="D378" s="345"/>
      <c r="E378" s="255"/>
      <c r="F378" s="345"/>
      <c r="G378" s="70"/>
      <c r="H378" s="27"/>
      <c r="I378" s="27"/>
      <c r="J378" s="27"/>
      <c r="K378" s="27"/>
      <c r="L378" s="180"/>
      <c r="M378" s="180"/>
      <c r="N378" s="14"/>
      <c r="O378" s="479"/>
      <c r="P378" s="234"/>
      <c r="Q378" s="23"/>
      <c r="R378" s="23"/>
      <c r="S378" s="23"/>
      <c r="T378" s="23"/>
      <c r="U378" s="23"/>
      <c r="V378" s="90"/>
      <c r="W378" s="90"/>
      <c r="X378" s="90"/>
      <c r="Y378" s="90"/>
      <c r="Z378" s="90"/>
      <c r="AA378" s="90"/>
      <c r="AB378" s="470"/>
      <c r="AC378" s="77"/>
      <c r="AD378" s="77"/>
      <c r="AE378" s="77"/>
      <c r="AF378" s="77"/>
      <c r="AG378" s="77"/>
      <c r="AH378" s="77"/>
      <c r="AI378" s="77"/>
      <c r="AJ378" s="77"/>
      <c r="AK378" s="77"/>
      <c r="AL378" s="77"/>
      <c r="AM378" s="77"/>
      <c r="AN378" s="77"/>
      <c r="AO378" s="471"/>
      <c r="AP378" s="472"/>
      <c r="AQ378" s="77"/>
      <c r="AR378" s="77"/>
      <c r="AS378" s="77"/>
      <c r="AT378" s="77"/>
      <c r="AU378" s="77"/>
      <c r="AV378" s="77"/>
      <c r="AW378" s="77"/>
      <c r="AX378" s="77"/>
      <c r="AY378" s="77"/>
      <c r="AZ378" s="77"/>
      <c r="BA378" s="77"/>
      <c r="BB378" s="77"/>
      <c r="BC378" s="14"/>
      <c r="BD378" s="3"/>
      <c r="BE378" s="165"/>
      <c r="BF378" s="23"/>
      <c r="BG378" s="23"/>
      <c r="BH378" s="23"/>
      <c r="BI378" s="90"/>
      <c r="BJ378" s="46"/>
      <c r="BK378" s="166"/>
      <c r="BL378" s="175"/>
      <c r="BM378" s="23"/>
      <c r="BN378" s="90"/>
      <c r="BO378" s="24"/>
      <c r="BP378" s="168"/>
      <c r="BQ378" s="171"/>
      <c r="BR378" s="170"/>
      <c r="BS378" s="168"/>
      <c r="BT378" s="171"/>
      <c r="BU378" s="170"/>
      <c r="BV378" s="168"/>
      <c r="BW378" s="171"/>
      <c r="BX378" s="170"/>
      <c r="BY378" s="168"/>
      <c r="BZ378" s="171"/>
      <c r="CA378" s="170"/>
      <c r="CB378" s="90"/>
      <c r="CC378" s="171"/>
      <c r="CD378" s="170"/>
      <c r="CE378" s="90"/>
      <c r="CF378" s="171"/>
      <c r="CG378" s="170"/>
      <c r="CH378" s="90"/>
      <c r="CI378" s="171"/>
      <c r="CJ378" s="170"/>
      <c r="CK378" s="90"/>
      <c r="CL378" s="171"/>
      <c r="CM378" s="170"/>
      <c r="CN378" s="90"/>
      <c r="CO378" s="171"/>
      <c r="CP378" s="170"/>
      <c r="CQ378" s="90"/>
      <c r="CR378" s="171"/>
      <c r="CS378" s="170"/>
      <c r="CT378" s="90"/>
      <c r="CU378" s="171"/>
      <c r="CV378" s="170"/>
      <c r="CW378" s="90"/>
      <c r="CX378" s="171"/>
      <c r="CY378" s="170"/>
      <c r="CZ378" s="168"/>
      <c r="DA378" s="172"/>
      <c r="DB378" s="173"/>
      <c r="DC378" s="172"/>
      <c r="DD378" s="172"/>
      <c r="DE378" s="172"/>
      <c r="DF378" s="172"/>
      <c r="DG378" s="1"/>
      <c r="DH378" s="1"/>
      <c r="DI378" s="3"/>
      <c r="DJ378" s="8"/>
      <c r="DK378" s="8"/>
      <c r="DL378" s="8"/>
      <c r="DM378" s="8"/>
      <c r="DN378" s="8"/>
      <c r="DO378" s="8"/>
      <c r="DP378" s="8"/>
      <c r="DQ378" s="3"/>
      <c r="DR378" s="8"/>
      <c r="DS378" s="8"/>
      <c r="DT378" s="8"/>
      <c r="DU378" s="8"/>
      <c r="DV378" s="8"/>
      <c r="DW378" s="8"/>
      <c r="DX378" s="8"/>
      <c r="DY378" s="8"/>
      <c r="DZ378" s="8"/>
      <c r="EA378" s="8"/>
      <c r="EB378" s="8"/>
      <c r="EC378" s="8"/>
      <c r="ED378" s="8"/>
      <c r="EE378" s="8"/>
      <c r="EF378" s="8"/>
      <c r="EG378" s="8"/>
      <c r="EH378" s="8"/>
      <c r="EI378" s="8"/>
      <c r="EJ378" s="8"/>
      <c r="EK378" s="8"/>
      <c r="EL378" s="8"/>
      <c r="EM378" s="8"/>
      <c r="EN378" s="8"/>
      <c r="EO378" s="8"/>
      <c r="EP378" s="8"/>
      <c r="EQ378" s="8"/>
      <c r="ER378" s="8"/>
      <c r="ES378" s="8"/>
      <c r="ET378" s="8"/>
      <c r="EU378" s="8"/>
      <c r="EV378" s="8"/>
      <c r="EW378" s="8"/>
      <c r="EX378" s="7"/>
      <c r="EY378" s="7"/>
    </row>
    <row r="379" spans="1:155" s="566" customFormat="1" ht="18" hidden="1" customHeight="1">
      <c r="A379" s="188"/>
      <c r="B379" s="190"/>
      <c r="C379" s="478"/>
      <c r="D379" s="345"/>
      <c r="E379" s="255"/>
      <c r="F379" s="345"/>
      <c r="G379" s="70"/>
      <c r="H379" s="27"/>
      <c r="I379" s="27"/>
      <c r="J379" s="27"/>
      <c r="K379" s="27"/>
      <c r="L379" s="180"/>
      <c r="M379" s="180"/>
      <c r="N379" s="14"/>
      <c r="O379" s="479"/>
      <c r="P379" s="234"/>
      <c r="Q379" s="23"/>
      <c r="R379" s="23"/>
      <c r="S379" s="23"/>
      <c r="T379" s="23"/>
      <c r="U379" s="23"/>
      <c r="V379" s="90"/>
      <c r="W379" s="90"/>
      <c r="X379" s="90"/>
      <c r="Y379" s="90"/>
      <c r="Z379" s="90"/>
      <c r="AA379" s="90"/>
      <c r="AB379" s="470"/>
      <c r="AC379" s="77"/>
      <c r="AD379" s="77"/>
      <c r="AE379" s="77"/>
      <c r="AF379" s="77"/>
      <c r="AG379" s="77"/>
      <c r="AH379" s="77"/>
      <c r="AI379" s="77"/>
      <c r="AJ379" s="77"/>
      <c r="AK379" s="77"/>
      <c r="AL379" s="77"/>
      <c r="AM379" s="77"/>
      <c r="AN379" s="77"/>
      <c r="AO379" s="471"/>
      <c r="AP379" s="472"/>
      <c r="AQ379" s="77"/>
      <c r="AR379" s="77"/>
      <c r="AS379" s="77"/>
      <c r="AT379" s="77"/>
      <c r="AU379" s="77"/>
      <c r="AV379" s="77"/>
      <c r="AW379" s="77"/>
      <c r="AX379" s="77"/>
      <c r="AY379" s="77"/>
      <c r="AZ379" s="77"/>
      <c r="BA379" s="77"/>
      <c r="BB379" s="77"/>
      <c r="BC379" s="14"/>
      <c r="BD379" s="3"/>
      <c r="BE379" s="165"/>
      <c r="BF379" s="23"/>
      <c r="BG379" s="23"/>
      <c r="BH379" s="23"/>
      <c r="BI379" s="90"/>
      <c r="BJ379" s="46"/>
      <c r="BK379" s="166"/>
      <c r="BL379" s="175"/>
      <c r="BM379" s="23"/>
      <c r="BN379" s="90"/>
      <c r="BO379" s="24"/>
      <c r="BP379" s="168"/>
      <c r="BQ379" s="171"/>
      <c r="BR379" s="170"/>
      <c r="BS379" s="168"/>
      <c r="BT379" s="171"/>
      <c r="BU379" s="170"/>
      <c r="BV379" s="168"/>
      <c r="BW379" s="171"/>
      <c r="BX379" s="170"/>
      <c r="BY379" s="168"/>
      <c r="BZ379" s="171"/>
      <c r="CA379" s="170"/>
      <c r="CB379" s="90"/>
      <c r="CC379" s="171"/>
      <c r="CD379" s="170"/>
      <c r="CE379" s="90"/>
      <c r="CF379" s="171"/>
      <c r="CG379" s="170"/>
      <c r="CH379" s="90"/>
      <c r="CI379" s="171"/>
      <c r="CJ379" s="170"/>
      <c r="CK379" s="90"/>
      <c r="CL379" s="171"/>
      <c r="CM379" s="170"/>
      <c r="CN379" s="90"/>
      <c r="CO379" s="171"/>
      <c r="CP379" s="170"/>
      <c r="CQ379" s="90"/>
      <c r="CR379" s="171"/>
      <c r="CS379" s="170"/>
      <c r="CT379" s="90"/>
      <c r="CU379" s="171"/>
      <c r="CV379" s="170"/>
      <c r="CW379" s="90"/>
      <c r="CX379" s="171"/>
      <c r="CY379" s="170"/>
      <c r="CZ379" s="168"/>
      <c r="DA379" s="172"/>
      <c r="DB379" s="173"/>
      <c r="DC379" s="172"/>
      <c r="DD379" s="172"/>
      <c r="DE379" s="172"/>
      <c r="DF379" s="172"/>
      <c r="DG379" s="1"/>
      <c r="DH379" s="1"/>
      <c r="DI379" s="3"/>
      <c r="DJ379" s="8"/>
      <c r="DK379" s="8"/>
      <c r="DL379" s="8"/>
      <c r="DM379" s="8"/>
      <c r="DN379" s="8"/>
      <c r="DO379" s="8"/>
      <c r="DP379" s="8"/>
      <c r="DQ379" s="3"/>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7"/>
      <c r="EY379" s="7"/>
    </row>
    <row r="380" spans="1:155" s="566" customFormat="1" ht="18" hidden="1" customHeight="1">
      <c r="A380" s="188"/>
      <c r="B380" s="190"/>
      <c r="C380" s="478"/>
      <c r="D380" s="345"/>
      <c r="E380" s="255"/>
      <c r="F380" s="345"/>
      <c r="G380" s="3"/>
      <c r="H380" s="27"/>
      <c r="I380" s="27"/>
      <c r="J380" s="27"/>
      <c r="K380" s="27"/>
      <c r="L380" s="180"/>
      <c r="M380" s="180"/>
      <c r="N380" s="14"/>
      <c r="O380" s="479"/>
      <c r="P380" s="234"/>
      <c r="Q380" s="23"/>
      <c r="R380" s="23"/>
      <c r="S380" s="23"/>
      <c r="T380" s="23"/>
      <c r="U380" s="23"/>
      <c r="V380" s="90"/>
      <c r="W380" s="90"/>
      <c r="X380" s="90"/>
      <c r="Y380" s="90"/>
      <c r="Z380" s="90"/>
      <c r="AA380" s="90"/>
      <c r="AB380" s="470"/>
      <c r="AC380" s="77"/>
      <c r="AD380" s="77"/>
      <c r="AE380" s="77"/>
      <c r="AF380" s="77"/>
      <c r="AG380" s="77"/>
      <c r="AH380" s="77"/>
      <c r="AI380" s="77"/>
      <c r="AJ380" s="77"/>
      <c r="AK380" s="77"/>
      <c r="AL380" s="77"/>
      <c r="AM380" s="77"/>
      <c r="AN380" s="77"/>
      <c r="AO380" s="471"/>
      <c r="AP380" s="472"/>
      <c r="AQ380" s="77"/>
      <c r="AR380" s="77"/>
      <c r="AS380" s="77"/>
      <c r="AT380" s="77"/>
      <c r="AU380" s="77"/>
      <c r="AV380" s="77"/>
      <c r="AW380" s="77"/>
      <c r="AX380" s="77"/>
      <c r="AY380" s="77"/>
      <c r="AZ380" s="77"/>
      <c r="BA380" s="77"/>
      <c r="BB380" s="77"/>
      <c r="BC380" s="14"/>
      <c r="BD380" s="3"/>
      <c r="BE380" s="165"/>
      <c r="BF380" s="23"/>
      <c r="BG380" s="23"/>
      <c r="BH380" s="23"/>
      <c r="BI380" s="90"/>
      <c r="BJ380" s="46"/>
      <c r="BK380" s="166"/>
      <c r="BL380" s="175"/>
      <c r="BM380" s="23"/>
      <c r="BN380" s="90"/>
      <c r="BO380" s="24"/>
      <c r="BP380" s="168"/>
      <c r="BQ380" s="171"/>
      <c r="BR380" s="170"/>
      <c r="BS380" s="168"/>
      <c r="BT380" s="171"/>
      <c r="BU380" s="170"/>
      <c r="BV380" s="168"/>
      <c r="BW380" s="171"/>
      <c r="BX380" s="170"/>
      <c r="BY380" s="168"/>
      <c r="BZ380" s="171"/>
      <c r="CA380" s="170"/>
      <c r="CB380" s="90"/>
      <c r="CC380" s="171"/>
      <c r="CD380" s="170"/>
      <c r="CE380" s="90"/>
      <c r="CF380" s="171"/>
      <c r="CG380" s="170"/>
      <c r="CH380" s="90"/>
      <c r="CI380" s="171"/>
      <c r="CJ380" s="170"/>
      <c r="CK380" s="90"/>
      <c r="CL380" s="171"/>
      <c r="CM380" s="170"/>
      <c r="CN380" s="90"/>
      <c r="CO380" s="171"/>
      <c r="CP380" s="170"/>
      <c r="CQ380" s="90"/>
      <c r="CR380" s="171"/>
      <c r="CS380" s="170"/>
      <c r="CT380" s="90"/>
      <c r="CU380" s="171"/>
      <c r="CV380" s="170"/>
      <c r="CW380" s="90"/>
      <c r="CX380" s="171"/>
      <c r="CY380" s="170"/>
      <c r="CZ380" s="168"/>
      <c r="DA380" s="172"/>
      <c r="DB380" s="173"/>
      <c r="DC380" s="172"/>
      <c r="DD380" s="172"/>
      <c r="DE380" s="172"/>
      <c r="DF380" s="172"/>
      <c r="DG380" s="1"/>
      <c r="DH380" s="1"/>
      <c r="DI380" s="3"/>
      <c r="DJ380" s="8"/>
      <c r="DK380" s="8"/>
      <c r="DL380" s="8"/>
      <c r="DM380" s="8"/>
      <c r="DN380" s="8"/>
      <c r="DO380" s="8"/>
      <c r="DP380" s="8"/>
      <c r="DQ380" s="3"/>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7"/>
      <c r="EY380" s="7"/>
    </row>
    <row r="381" spans="1:155" s="566" customFormat="1" ht="18" hidden="1" customHeight="1">
      <c r="A381" s="188"/>
      <c r="B381" s="190"/>
      <c r="C381" s="478"/>
      <c r="D381" s="345"/>
      <c r="E381" s="255"/>
      <c r="F381" s="345"/>
      <c r="G381" s="3"/>
      <c r="H381" s="27"/>
      <c r="I381" s="27"/>
      <c r="J381" s="27"/>
      <c r="K381" s="27"/>
      <c r="L381" s="180"/>
      <c r="M381" s="180"/>
      <c r="N381" s="14"/>
      <c r="O381" s="479"/>
      <c r="P381" s="234"/>
      <c r="Q381" s="481"/>
      <c r="R381" s="481"/>
      <c r="S381" s="481"/>
      <c r="T381" s="481"/>
      <c r="U381" s="481"/>
      <c r="V381" s="482"/>
      <c r="W381" s="482"/>
      <c r="X381" s="482"/>
      <c r="Y381" s="482"/>
      <c r="Z381" s="482"/>
      <c r="AA381" s="482"/>
      <c r="AB381" s="483"/>
      <c r="AC381" s="481"/>
      <c r="AD381" s="481"/>
      <c r="AE381" s="481"/>
      <c r="AF381" s="481"/>
      <c r="AG381" s="481"/>
      <c r="AH381" s="481"/>
      <c r="AI381" s="481"/>
      <c r="AJ381" s="481"/>
      <c r="AK381" s="481"/>
      <c r="AL381" s="481"/>
      <c r="AM381" s="481"/>
      <c r="AN381" s="481"/>
      <c r="AO381" s="484"/>
      <c r="AP381" s="467"/>
      <c r="AQ381" s="481"/>
      <c r="AR381" s="481"/>
      <c r="AS381" s="481"/>
      <c r="AT381" s="481"/>
      <c r="AU381" s="481"/>
      <c r="AV381" s="481"/>
      <c r="AW381" s="481"/>
      <c r="AX381" s="481"/>
      <c r="AY381" s="481"/>
      <c r="AZ381" s="481"/>
      <c r="BA381" s="481"/>
      <c r="BB381" s="481"/>
      <c r="BC381" s="14"/>
      <c r="BD381" s="3"/>
      <c r="BE381" s="165"/>
      <c r="BF381" s="23"/>
      <c r="BG381" s="23"/>
      <c r="BH381" s="23"/>
      <c r="BI381" s="90"/>
      <c r="BJ381" s="46"/>
      <c r="BK381" s="166"/>
      <c r="BL381" s="175"/>
      <c r="BM381" s="23"/>
      <c r="BN381" s="90"/>
      <c r="BO381" s="24"/>
      <c r="BP381" s="168"/>
      <c r="BQ381" s="171"/>
      <c r="BR381" s="170"/>
      <c r="BS381" s="168"/>
      <c r="BT381" s="171"/>
      <c r="BU381" s="170"/>
      <c r="BV381" s="168"/>
      <c r="BW381" s="171"/>
      <c r="BX381" s="170"/>
      <c r="BY381" s="168"/>
      <c r="BZ381" s="171"/>
      <c r="CA381" s="170"/>
      <c r="CB381" s="90"/>
      <c r="CC381" s="171"/>
      <c r="CD381" s="170"/>
      <c r="CE381" s="90"/>
      <c r="CF381" s="171"/>
      <c r="CG381" s="170"/>
      <c r="CH381" s="90"/>
      <c r="CI381" s="171"/>
      <c r="CJ381" s="170"/>
      <c r="CK381" s="90"/>
      <c r="CL381" s="171"/>
      <c r="CM381" s="170"/>
      <c r="CN381" s="90"/>
      <c r="CO381" s="171"/>
      <c r="CP381" s="170"/>
      <c r="CQ381" s="90"/>
      <c r="CR381" s="171"/>
      <c r="CS381" s="170"/>
      <c r="CT381" s="90"/>
      <c r="CU381" s="171"/>
      <c r="CV381" s="170"/>
      <c r="CW381" s="90"/>
      <c r="CX381" s="171"/>
      <c r="CY381" s="170"/>
      <c r="CZ381" s="168"/>
      <c r="DA381" s="172"/>
      <c r="DB381" s="173"/>
      <c r="DC381" s="172"/>
      <c r="DD381" s="172"/>
      <c r="DE381" s="172"/>
      <c r="DF381" s="172"/>
      <c r="DG381" s="1"/>
      <c r="DH381" s="1"/>
      <c r="DI381" s="3"/>
      <c r="DJ381" s="8"/>
      <c r="DK381" s="8"/>
      <c r="DL381" s="8"/>
      <c r="DM381" s="8"/>
      <c r="DN381" s="8"/>
      <c r="DO381" s="8"/>
      <c r="DP381" s="8"/>
      <c r="DQ381" s="3"/>
      <c r="DR381" s="7"/>
      <c r="DS381" s="8"/>
      <c r="DT381" s="8"/>
      <c r="DU381" s="8"/>
      <c r="DV381" s="8"/>
      <c r="DW381" s="8"/>
      <c r="DX381" s="8"/>
      <c r="DY381" s="8"/>
      <c r="DZ381" s="8"/>
      <c r="EA381" s="8"/>
      <c r="EB381" s="8"/>
      <c r="EC381" s="8"/>
      <c r="ED381" s="8"/>
      <c r="EE381" s="8"/>
      <c r="EF381" s="8"/>
      <c r="EG381" s="8"/>
      <c r="EH381" s="8"/>
      <c r="EI381" s="8"/>
      <c r="EJ381" s="8"/>
      <c r="EK381" s="8"/>
      <c r="EL381" s="8"/>
      <c r="EM381" s="8"/>
      <c r="EN381" s="8"/>
      <c r="EO381" s="8"/>
      <c r="EP381" s="8"/>
      <c r="EQ381" s="8"/>
      <c r="ER381" s="8"/>
      <c r="ES381" s="8"/>
      <c r="ET381" s="8"/>
      <c r="EU381" s="8"/>
      <c r="EV381" s="8"/>
      <c r="EW381" s="8"/>
      <c r="EX381" s="7"/>
      <c r="EY381" s="7"/>
    </row>
    <row r="382" spans="1:155" s="566" customFormat="1" ht="18" hidden="1" customHeight="1">
      <c r="A382" s="188"/>
      <c r="B382" s="190"/>
      <c r="C382" s="478"/>
      <c r="D382" s="345"/>
      <c r="E382" s="255"/>
      <c r="F382" s="345"/>
      <c r="G382" s="3"/>
      <c r="H382" s="27"/>
      <c r="I382" s="27"/>
      <c r="J382" s="27"/>
      <c r="K382" s="27"/>
      <c r="L382" s="180"/>
      <c r="M382" s="180"/>
      <c r="N382" s="14"/>
      <c r="O382" s="479"/>
      <c r="P382" s="234"/>
      <c r="Q382" s="481"/>
      <c r="R382" s="481"/>
      <c r="S382" s="481"/>
      <c r="T382" s="481"/>
      <c r="U382" s="481"/>
      <c r="V382" s="482"/>
      <c r="W382" s="482"/>
      <c r="X382" s="482"/>
      <c r="Y382" s="482"/>
      <c r="Z382" s="482"/>
      <c r="AA382" s="482"/>
      <c r="AB382" s="483"/>
      <c r="AC382" s="481"/>
      <c r="AD382" s="481"/>
      <c r="AE382" s="481"/>
      <c r="AF382" s="481"/>
      <c r="AG382" s="481"/>
      <c r="AH382" s="481"/>
      <c r="AI382" s="481"/>
      <c r="AJ382" s="481"/>
      <c r="AK382" s="481"/>
      <c r="AL382" s="481"/>
      <c r="AM382" s="481"/>
      <c r="AN382" s="481"/>
      <c r="AO382" s="484"/>
      <c r="AP382" s="467"/>
      <c r="AQ382" s="481"/>
      <c r="AR382" s="481"/>
      <c r="AS382" s="481"/>
      <c r="AT382" s="481"/>
      <c r="AU382" s="481"/>
      <c r="AV382" s="481"/>
      <c r="AW382" s="481"/>
      <c r="AX382" s="481"/>
      <c r="AY382" s="481"/>
      <c r="AZ382" s="481"/>
      <c r="BA382" s="481"/>
      <c r="BB382" s="481"/>
      <c r="BC382" s="14"/>
      <c r="BD382" s="3"/>
      <c r="BE382" s="165"/>
      <c r="BF382" s="23"/>
      <c r="BG382" s="23"/>
      <c r="BH382" s="23"/>
      <c r="BI382" s="90"/>
      <c r="BJ382" s="46"/>
      <c r="BK382" s="166"/>
      <c r="BL382" s="175"/>
      <c r="BM382" s="23"/>
      <c r="BN382" s="90"/>
      <c r="BO382" s="24"/>
      <c r="BP382" s="168"/>
      <c r="BQ382" s="171"/>
      <c r="BR382" s="170"/>
      <c r="BS382" s="168"/>
      <c r="BT382" s="171"/>
      <c r="BU382" s="170"/>
      <c r="BV382" s="168"/>
      <c r="BW382" s="171"/>
      <c r="BX382" s="170"/>
      <c r="BY382" s="168"/>
      <c r="BZ382" s="171"/>
      <c r="CA382" s="170"/>
      <c r="CB382" s="90"/>
      <c r="CC382" s="171"/>
      <c r="CD382" s="170"/>
      <c r="CE382" s="90"/>
      <c r="CF382" s="171"/>
      <c r="CG382" s="170"/>
      <c r="CH382" s="90"/>
      <c r="CI382" s="171"/>
      <c r="CJ382" s="170"/>
      <c r="CK382" s="90"/>
      <c r="CL382" s="171"/>
      <c r="CM382" s="170"/>
      <c r="CN382" s="90"/>
      <c r="CO382" s="171"/>
      <c r="CP382" s="170"/>
      <c r="CQ382" s="90"/>
      <c r="CR382" s="171"/>
      <c r="CS382" s="170"/>
      <c r="CT382" s="90"/>
      <c r="CU382" s="171"/>
      <c r="CV382" s="170"/>
      <c r="CW382" s="90"/>
      <c r="CX382" s="171"/>
      <c r="CY382" s="170"/>
      <c r="CZ382" s="168"/>
      <c r="DA382" s="172"/>
      <c r="DB382" s="173"/>
      <c r="DC382" s="172"/>
      <c r="DD382" s="172"/>
      <c r="DE382" s="172"/>
      <c r="DF382" s="172"/>
      <c r="DG382" s="1"/>
      <c r="DH382" s="1"/>
      <c r="DI382" s="3"/>
      <c r="DJ382" s="8"/>
      <c r="DK382" s="8"/>
      <c r="DL382" s="8"/>
      <c r="DM382" s="8"/>
      <c r="DN382" s="8"/>
      <c r="DO382" s="8"/>
      <c r="DP382" s="8"/>
      <c r="DQ382" s="3"/>
      <c r="DR382" s="7"/>
      <c r="DS382" s="8"/>
      <c r="DT382" s="8"/>
      <c r="DU382" s="8"/>
      <c r="DV382" s="8"/>
      <c r="DW382" s="8"/>
      <c r="DX382" s="8"/>
      <c r="DY382" s="8"/>
      <c r="DZ382" s="8"/>
      <c r="EA382" s="8"/>
      <c r="EB382" s="8"/>
      <c r="EC382" s="8"/>
      <c r="ED382" s="8"/>
      <c r="EE382" s="8"/>
      <c r="EF382" s="8"/>
      <c r="EG382" s="8"/>
      <c r="EH382" s="8"/>
      <c r="EI382" s="8"/>
      <c r="EJ382" s="8"/>
      <c r="EK382" s="8"/>
      <c r="EL382" s="8"/>
      <c r="EM382" s="8"/>
      <c r="EN382" s="8"/>
      <c r="EO382" s="8"/>
      <c r="EP382" s="8"/>
      <c r="EQ382" s="8"/>
      <c r="ER382" s="8"/>
      <c r="ES382" s="8"/>
      <c r="ET382" s="8"/>
      <c r="EU382" s="8"/>
      <c r="EV382" s="8"/>
      <c r="EW382" s="8"/>
      <c r="EX382" s="7"/>
      <c r="EY382" s="7"/>
    </row>
    <row r="383" spans="1:155" s="566" customFormat="1" ht="18" hidden="1" customHeight="1">
      <c r="A383" s="188"/>
      <c r="B383" s="190"/>
      <c r="C383" s="478"/>
      <c r="D383" s="345"/>
      <c r="E383" s="255"/>
      <c r="F383" s="345"/>
      <c r="G383" s="3"/>
      <c r="H383" s="27"/>
      <c r="I383" s="27"/>
      <c r="J383" s="27"/>
      <c r="K383" s="27"/>
      <c r="L383" s="180"/>
      <c r="M383" s="180"/>
      <c r="N383" s="479"/>
      <c r="O383" s="479"/>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3"/>
      <c r="BE383" s="165"/>
      <c r="BF383" s="23"/>
      <c r="BG383" s="23"/>
      <c r="BH383" s="23"/>
      <c r="BI383" s="90"/>
      <c r="BJ383" s="46"/>
      <c r="BK383" s="166"/>
      <c r="BL383" s="175"/>
      <c r="BM383" s="23"/>
      <c r="BN383" s="90"/>
      <c r="BO383" s="24"/>
      <c r="BP383" s="168"/>
      <c r="BQ383" s="171"/>
      <c r="BR383" s="170"/>
      <c r="BS383" s="168"/>
      <c r="BT383" s="171"/>
      <c r="BU383" s="170"/>
      <c r="BV383" s="168"/>
      <c r="BW383" s="171"/>
      <c r="BX383" s="170"/>
      <c r="BY383" s="168"/>
      <c r="BZ383" s="171"/>
      <c r="CA383" s="170"/>
      <c r="CB383" s="90"/>
      <c r="CC383" s="171"/>
      <c r="CD383" s="170"/>
      <c r="CE383" s="90"/>
      <c r="CF383" s="171"/>
      <c r="CG383" s="170"/>
      <c r="CH383" s="90"/>
      <c r="CI383" s="171"/>
      <c r="CJ383" s="170"/>
      <c r="CK383" s="90"/>
      <c r="CL383" s="171"/>
      <c r="CM383" s="170"/>
      <c r="CN383" s="90"/>
      <c r="CO383" s="171"/>
      <c r="CP383" s="170"/>
      <c r="CQ383" s="90"/>
      <c r="CR383" s="171"/>
      <c r="CS383" s="170"/>
      <c r="CT383" s="90"/>
      <c r="CU383" s="171"/>
      <c r="CV383" s="170"/>
      <c r="CW383" s="90"/>
      <c r="CX383" s="171"/>
      <c r="CY383" s="170"/>
      <c r="CZ383" s="168"/>
      <c r="DA383" s="172"/>
      <c r="DB383" s="173"/>
      <c r="DC383" s="172"/>
      <c r="DD383" s="172"/>
      <c r="DE383" s="172"/>
      <c r="DF383" s="172"/>
      <c r="DG383" s="1"/>
      <c r="DH383" s="1"/>
      <c r="DI383" s="27"/>
      <c r="DJ383" s="8"/>
      <c r="DK383" s="8"/>
      <c r="DL383" s="8"/>
      <c r="DM383" s="8"/>
      <c r="DN383" s="8"/>
      <c r="DO383" s="8"/>
      <c r="DP383" s="7"/>
      <c r="DQ383" s="2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row>
    <row r="384" spans="1:155" s="566" customFormat="1" ht="18" hidden="1" customHeight="1" thickBot="1">
      <c r="A384" s="188"/>
      <c r="B384" s="190"/>
      <c r="C384" s="478"/>
      <c r="D384" s="345"/>
      <c r="E384" s="255"/>
      <c r="F384" s="345"/>
      <c r="G384" s="3"/>
      <c r="H384" s="27"/>
      <c r="I384" s="27"/>
      <c r="J384" s="27"/>
      <c r="K384" s="27"/>
      <c r="L384" s="180"/>
      <c r="M384" s="180"/>
      <c r="N384" s="14"/>
      <c r="O384" s="485"/>
      <c r="P384" s="234"/>
      <c r="Q384" s="77"/>
      <c r="R384" s="77"/>
      <c r="S384" s="77"/>
      <c r="T384" s="77"/>
      <c r="U384" s="77"/>
      <c r="V384" s="77"/>
      <c r="W384" s="77"/>
      <c r="X384" s="77"/>
      <c r="Y384" s="77"/>
      <c r="Z384" s="77"/>
      <c r="AA384" s="77"/>
      <c r="AB384" s="470"/>
      <c r="AC384" s="77"/>
      <c r="AD384" s="77"/>
      <c r="AE384" s="77"/>
      <c r="AF384" s="77"/>
      <c r="AG384" s="77"/>
      <c r="AH384" s="77"/>
      <c r="AI384" s="77"/>
      <c r="AJ384" s="77"/>
      <c r="AK384" s="77"/>
      <c r="AL384" s="77"/>
      <c r="AM384" s="77"/>
      <c r="AN384" s="77"/>
      <c r="AO384" s="471"/>
      <c r="AP384" s="486"/>
      <c r="AQ384" s="77"/>
      <c r="AR384" s="77"/>
      <c r="AS384" s="77"/>
      <c r="AT384" s="77"/>
      <c r="AU384" s="77"/>
      <c r="AV384" s="77"/>
      <c r="AW384" s="77"/>
      <c r="AX384" s="77"/>
      <c r="AY384" s="77"/>
      <c r="AZ384" s="77"/>
      <c r="BA384" s="77"/>
      <c r="BB384" s="77"/>
      <c r="BC384" s="14"/>
      <c r="BD384" s="3"/>
      <c r="BE384" s="165"/>
      <c r="BF384" s="23"/>
      <c r="BG384" s="23"/>
      <c r="BH384" s="23"/>
      <c r="BI384" s="90"/>
      <c r="BJ384" s="46"/>
      <c r="BK384" s="166"/>
      <c r="BL384" s="167"/>
      <c r="BM384" s="23"/>
      <c r="BN384" s="90"/>
      <c r="BO384" s="24"/>
      <c r="BP384" s="168"/>
      <c r="BQ384" s="171"/>
      <c r="BR384" s="170"/>
      <c r="BS384" s="487"/>
      <c r="BT384" s="171"/>
      <c r="BU384" s="488"/>
      <c r="BV384" s="487"/>
      <c r="BW384" s="489"/>
      <c r="BX384" s="488"/>
      <c r="BY384" s="487"/>
      <c r="BZ384" s="489"/>
      <c r="CA384" s="488"/>
      <c r="CB384" s="487"/>
      <c r="CC384" s="489"/>
      <c r="CD384" s="488"/>
      <c r="CE384" s="487"/>
      <c r="CF384" s="489"/>
      <c r="CG384" s="488"/>
      <c r="CH384" s="487"/>
      <c r="CI384" s="489"/>
      <c r="CJ384" s="488"/>
      <c r="CK384" s="90"/>
      <c r="CL384" s="171"/>
      <c r="CM384" s="490"/>
      <c r="CN384" s="90"/>
      <c r="CO384" s="171"/>
      <c r="CP384" s="490"/>
      <c r="CQ384" s="90"/>
      <c r="CR384" s="171"/>
      <c r="CS384" s="170"/>
      <c r="CT384" s="90"/>
      <c r="CU384" s="171"/>
      <c r="CV384" s="490"/>
      <c r="CW384" s="90"/>
      <c r="CX384" s="171"/>
      <c r="CY384" s="490"/>
      <c r="CZ384" s="491"/>
      <c r="DA384" s="172"/>
      <c r="DB384" s="492"/>
      <c r="DC384" s="172"/>
      <c r="DD384" s="172"/>
      <c r="DE384" s="172"/>
      <c r="DF384" s="172"/>
      <c r="DG384" s="1"/>
      <c r="DH384" s="1"/>
      <c r="DI384" s="27"/>
      <c r="DJ384" s="8"/>
      <c r="DK384" s="8"/>
      <c r="DL384" s="8"/>
      <c r="DM384" s="7"/>
      <c r="DN384" s="7"/>
      <c r="DO384" s="7"/>
      <c r="DP384" s="7"/>
      <c r="DQ384" s="2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row>
    <row r="385" spans="1:155" s="566" customFormat="1" ht="18" hidden="1" customHeight="1">
      <c r="A385" s="188"/>
      <c r="B385" s="190"/>
      <c r="C385" s="478"/>
      <c r="D385" s="345"/>
      <c r="E385" s="255"/>
      <c r="F385" s="345"/>
      <c r="G385" s="3"/>
      <c r="H385" s="27"/>
      <c r="I385" s="27"/>
      <c r="J385" s="27"/>
      <c r="K385" s="27"/>
      <c r="L385" s="180"/>
      <c r="M385" s="180"/>
      <c r="N385" s="493"/>
      <c r="O385" s="479"/>
      <c r="P385" s="494"/>
      <c r="Q385" s="495"/>
      <c r="R385" s="479"/>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3"/>
      <c r="BE385" s="26"/>
      <c r="BF385" s="26"/>
      <c r="BG385" s="26"/>
      <c r="BH385" s="1"/>
      <c r="BI385" s="2"/>
      <c r="BJ385" s="2"/>
      <c r="BK385" s="2"/>
      <c r="BL385" s="2"/>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2"/>
      <c r="DA385" s="2"/>
      <c r="DB385" s="2"/>
      <c r="DC385" s="2"/>
      <c r="DD385" s="2"/>
      <c r="DE385" s="2"/>
      <c r="DF385" s="2"/>
      <c r="DG385" s="1"/>
      <c r="DH385" s="1"/>
      <c r="DI385" s="27"/>
      <c r="DJ385" s="7"/>
      <c r="DK385" s="7"/>
      <c r="DL385" s="7"/>
      <c r="DM385" s="7"/>
      <c r="DN385" s="7"/>
      <c r="DO385" s="7"/>
      <c r="DP385" s="7"/>
      <c r="DQ385" s="2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row>
    <row r="386" spans="1:155" s="566" customFormat="1" ht="15.75" hidden="1" customHeight="1">
      <c r="A386" s="188"/>
      <c r="B386" s="641"/>
      <c r="C386" s="641"/>
      <c r="D386" s="641"/>
      <c r="E386" s="641"/>
      <c r="F386" s="496"/>
      <c r="G386" s="351"/>
      <c r="H386" s="27"/>
      <c r="I386" s="27"/>
      <c r="J386" s="27"/>
      <c r="K386" s="27"/>
      <c r="L386" s="180"/>
      <c r="M386" s="180"/>
      <c r="N386" s="493"/>
      <c r="O386" s="479"/>
      <c r="P386" s="494"/>
      <c r="Q386" s="495"/>
      <c r="R386" s="479"/>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3"/>
      <c r="BE386" s="26"/>
      <c r="BF386" s="26"/>
      <c r="BG386" s="26"/>
      <c r="BH386" s="1"/>
      <c r="BI386" s="2"/>
      <c r="BJ386" s="2"/>
      <c r="BK386" s="2"/>
      <c r="BL386" s="2"/>
      <c r="BM386" s="2"/>
      <c r="BN386" s="2"/>
      <c r="BO386" s="2"/>
      <c r="BP386" s="497"/>
      <c r="BQ386" s="498"/>
      <c r="BR386" s="499"/>
      <c r="BS386" s="2"/>
      <c r="BT386" s="49"/>
      <c r="BU386" s="499"/>
      <c r="BV386" s="2"/>
      <c r="BW386" s="2"/>
      <c r="BX386" s="499"/>
      <c r="BY386" s="2"/>
      <c r="BZ386" s="2"/>
      <c r="CA386" s="499"/>
      <c r="CB386" s="141"/>
      <c r="CC386" s="141"/>
      <c r="CD386" s="499"/>
      <c r="CE386" s="141"/>
      <c r="CF386" s="141"/>
      <c r="CG386" s="499"/>
      <c r="CH386" s="141"/>
      <c r="CI386" s="500"/>
      <c r="CJ386" s="499"/>
      <c r="CK386" s="141"/>
      <c r="CL386" s="500"/>
      <c r="CM386" s="499"/>
      <c r="CN386" s="141"/>
      <c r="CO386" s="500"/>
      <c r="CP386" s="499"/>
      <c r="CQ386" s="141"/>
      <c r="CR386" s="500"/>
      <c r="CS386" s="499"/>
      <c r="CT386" s="141"/>
      <c r="CU386" s="500"/>
      <c r="CV386" s="499"/>
      <c r="CW386" s="141"/>
      <c r="CX386" s="500"/>
      <c r="CY386" s="499"/>
      <c r="CZ386" s="141"/>
      <c r="DA386" s="141"/>
      <c r="DB386" s="141"/>
      <c r="DC386" s="2"/>
      <c r="DD386" s="2"/>
      <c r="DE386" s="501"/>
      <c r="DF386" s="502"/>
      <c r="DG386" s="1"/>
      <c r="DH386" s="1"/>
      <c r="DI386" s="27"/>
      <c r="DJ386" s="7"/>
      <c r="DK386" s="7"/>
      <c r="DL386" s="7"/>
      <c r="DM386" s="7"/>
      <c r="DN386" s="7"/>
      <c r="DO386" s="7"/>
      <c r="DP386" s="7"/>
      <c r="DQ386" s="2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row>
    <row r="387" spans="1:155" s="566" customFormat="1" ht="15.75" hidden="1" customHeight="1">
      <c r="A387" s="188"/>
      <c r="B387" s="628"/>
      <c r="C387" s="628"/>
      <c r="D387" s="628"/>
      <c r="E387" s="628"/>
      <c r="F387" s="628"/>
      <c r="G387" s="70"/>
      <c r="H387" s="27"/>
      <c r="I387" s="27"/>
      <c r="J387" s="27"/>
      <c r="K387" s="27"/>
      <c r="L387" s="180"/>
      <c r="M387" s="180"/>
      <c r="N387" s="493"/>
      <c r="O387" s="479"/>
      <c r="P387" s="494"/>
      <c r="Q387" s="495"/>
      <c r="R387" s="479"/>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3"/>
      <c r="BE387" s="26"/>
      <c r="BF387" s="26"/>
      <c r="BG387" s="26"/>
      <c r="BH387" s="1"/>
      <c r="BI387" s="2"/>
      <c r="BJ387" s="2"/>
      <c r="BK387" s="2"/>
      <c r="BL387" s="2"/>
      <c r="BM387" s="2"/>
      <c r="BN387" s="2"/>
      <c r="BO387" s="2"/>
      <c r="BP387" s="2"/>
      <c r="BQ387" s="2"/>
      <c r="BR387" s="499"/>
      <c r="BS387" s="2"/>
      <c r="BT387" s="2"/>
      <c r="BU387" s="499"/>
      <c r="BV387" s="2"/>
      <c r="BW387" s="2"/>
      <c r="BX387" s="499"/>
      <c r="BY387" s="2"/>
      <c r="BZ387" s="2"/>
      <c r="CA387" s="499"/>
      <c r="CB387" s="141"/>
      <c r="CC387" s="141"/>
      <c r="CD387" s="499"/>
      <c r="CE387" s="141"/>
      <c r="CF387" s="141"/>
      <c r="CG387" s="499"/>
      <c r="CH387" s="141"/>
      <c r="CI387" s="141"/>
      <c r="CJ387" s="499"/>
      <c r="CK387" s="141"/>
      <c r="CL387" s="141"/>
      <c r="CM387" s="499"/>
      <c r="CN387" s="141"/>
      <c r="CO387" s="141"/>
      <c r="CP387" s="499"/>
      <c r="CQ387" s="141"/>
      <c r="CR387" s="141"/>
      <c r="CS387" s="499"/>
      <c r="CT387" s="141"/>
      <c r="CU387" s="141"/>
      <c r="CV387" s="499"/>
      <c r="CW387" s="141"/>
      <c r="CX387" s="141"/>
      <c r="CY387" s="499"/>
      <c r="CZ387" s="501"/>
      <c r="DA387" s="141"/>
      <c r="DB387" s="141"/>
      <c r="DC387" s="2"/>
      <c r="DD387" s="2"/>
      <c r="DE387" s="501"/>
      <c r="DF387" s="502"/>
      <c r="DG387" s="1"/>
      <c r="DH387" s="1"/>
      <c r="DI387" s="27"/>
      <c r="DJ387" s="7"/>
      <c r="DK387" s="7"/>
      <c r="DL387" s="7"/>
      <c r="DM387" s="7"/>
      <c r="DN387" s="7"/>
      <c r="DO387" s="7"/>
      <c r="DP387" s="7"/>
      <c r="DQ387" s="2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row>
    <row r="388" spans="1:155" s="566" customFormat="1" ht="57.75" hidden="1" customHeight="1">
      <c r="A388" s="188"/>
      <c r="B388" s="190"/>
      <c r="C388" s="190"/>
      <c r="D388" s="190"/>
      <c r="E388" s="27"/>
      <c r="F388" s="27"/>
      <c r="G388" s="70"/>
      <c r="H388" s="27"/>
      <c r="I388" s="27"/>
      <c r="J388" s="27"/>
      <c r="K388" s="27"/>
      <c r="L388" s="180"/>
      <c r="M388" s="180"/>
      <c r="N388" s="493" t="s">
        <v>568</v>
      </c>
      <c r="O388" s="479"/>
      <c r="P388" s="494"/>
      <c r="Q388" s="495"/>
      <c r="R388" s="479"/>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3"/>
      <c r="BE388" s="26"/>
      <c r="BF388" s="26"/>
      <c r="BG388" s="26"/>
      <c r="BH388" s="1"/>
      <c r="BI388" s="2"/>
      <c r="BJ388" s="2"/>
      <c r="BK388" s="2"/>
      <c r="BL388" s="2"/>
      <c r="BM388" s="2"/>
      <c r="BN388" s="2"/>
      <c r="BO388" s="2"/>
      <c r="BP388" s="2"/>
      <c r="BQ388" s="2"/>
      <c r="BR388" s="499"/>
      <c r="BS388" s="2"/>
      <c r="BT388" s="2"/>
      <c r="BU388" s="499"/>
      <c r="BV388" s="2"/>
      <c r="BW388" s="2"/>
      <c r="BX388" s="499"/>
      <c r="BY388" s="2"/>
      <c r="BZ388" s="2"/>
      <c r="CA388" s="499"/>
      <c r="CB388" s="141"/>
      <c r="CC388" s="141"/>
      <c r="CD388" s="499"/>
      <c r="CE388" s="141"/>
      <c r="CF388" s="141"/>
      <c r="CG388" s="499"/>
      <c r="CH388" s="141"/>
      <c r="CI388" s="141"/>
      <c r="CJ388" s="499"/>
      <c r="CK388" s="141"/>
      <c r="CL388" s="141"/>
      <c r="CM388" s="499"/>
      <c r="CN388" s="141"/>
      <c r="CO388" s="141"/>
      <c r="CP388" s="499"/>
      <c r="CQ388" s="141"/>
      <c r="CR388" s="141"/>
      <c r="CS388" s="499"/>
      <c r="CT388" s="141"/>
      <c r="CU388" s="141"/>
      <c r="CV388" s="499"/>
      <c r="CW388" s="141"/>
      <c r="CX388" s="141"/>
      <c r="CY388" s="499"/>
      <c r="CZ388" s="141"/>
      <c r="DA388" s="141"/>
      <c r="DB388" s="141"/>
      <c r="DC388" s="2"/>
      <c r="DD388" s="2"/>
      <c r="DE388" s="501"/>
      <c r="DF388" s="502"/>
      <c r="DG388" s="1"/>
      <c r="DH388" s="1"/>
      <c r="DI388" s="27"/>
      <c r="DJ388" s="7"/>
      <c r="DK388" s="7"/>
      <c r="DL388" s="7"/>
      <c r="DM388" s="7"/>
      <c r="DN388" s="7"/>
      <c r="DO388" s="7"/>
      <c r="DP388" s="7"/>
      <c r="DQ388" s="2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row>
    <row r="389" spans="1:155" s="566" customFormat="1" ht="20.25" hidden="1" customHeight="1">
      <c r="A389" s="188"/>
      <c r="B389" s="190"/>
      <c r="C389" s="255"/>
      <c r="D389" s="345"/>
      <c r="E389" s="503"/>
      <c r="F389" s="27"/>
      <c r="G389" s="70"/>
      <c r="H389" s="27"/>
      <c r="I389" s="27"/>
      <c r="J389" s="27"/>
      <c r="K389" s="27"/>
      <c r="L389" s="180"/>
      <c r="M389" s="180"/>
      <c r="N389" s="493" t="b">
        <f>AND(F404="yes",N385)</f>
        <v>0</v>
      </c>
      <c r="O389" s="479"/>
      <c r="P389" s="462" t="s">
        <v>569</v>
      </c>
      <c r="Q389" s="14"/>
      <c r="R389" s="14"/>
      <c r="S389" s="14"/>
      <c r="T389" s="479"/>
      <c r="U389" s="479"/>
      <c r="V389" s="479"/>
      <c r="W389" s="479"/>
      <c r="X389" s="479"/>
      <c r="Y389" s="14"/>
      <c r="Z389" s="14"/>
      <c r="AA389" s="14"/>
      <c r="AB389" s="14"/>
      <c r="AC389" s="14"/>
      <c r="AD389" s="14"/>
      <c r="AE389" s="14"/>
      <c r="AF389" s="14"/>
      <c r="AG389" s="14"/>
      <c r="AH389" s="504" t="s">
        <v>570</v>
      </c>
      <c r="AI389" s="481"/>
      <c r="AJ389" s="505"/>
      <c r="AK389" s="14"/>
      <c r="AL389" s="14"/>
      <c r="AM389" s="14"/>
      <c r="AN389" s="14"/>
      <c r="AO389" s="14"/>
      <c r="AP389" s="14"/>
      <c r="AQ389" s="14"/>
      <c r="AR389" s="14"/>
      <c r="AS389" s="14"/>
      <c r="AT389" s="14"/>
      <c r="AU389" s="14"/>
      <c r="AV389" s="14"/>
      <c r="AW389" s="14"/>
      <c r="AX389" s="14"/>
      <c r="AY389" s="14"/>
      <c r="AZ389" s="14"/>
      <c r="BA389" s="14"/>
      <c r="BB389" s="14"/>
      <c r="BC389" s="14"/>
      <c r="BD389" s="3"/>
      <c r="BE389" s="26"/>
      <c r="BF389" s="26"/>
      <c r="BG389" s="26"/>
      <c r="BH389" s="1"/>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141"/>
      <c r="CI389" s="141"/>
      <c r="CJ389" s="502"/>
      <c r="CK389" s="501"/>
      <c r="CL389" s="141"/>
      <c r="CM389" s="502"/>
      <c r="CN389" s="501"/>
      <c r="CO389" s="141"/>
      <c r="CP389" s="502"/>
      <c r="CQ389" s="501"/>
      <c r="CR389" s="141"/>
      <c r="CS389" s="502"/>
      <c r="CT389" s="501"/>
      <c r="CU389" s="141"/>
      <c r="CV389" s="502"/>
      <c r="CW389" s="501"/>
      <c r="CX389" s="141"/>
      <c r="CY389" s="502"/>
      <c r="CZ389" s="2"/>
      <c r="DA389" s="2"/>
      <c r="DB389" s="2"/>
      <c r="DC389" s="2"/>
      <c r="DD389" s="2"/>
      <c r="DE389" s="2"/>
      <c r="DF389" s="2"/>
      <c r="DG389" s="1"/>
      <c r="DH389" s="1"/>
      <c r="DI389" s="27"/>
      <c r="DJ389" s="7"/>
      <c r="DK389" s="7"/>
      <c r="DL389" s="7"/>
      <c r="DM389" s="7"/>
      <c r="DN389" s="7"/>
      <c r="DO389" s="7"/>
      <c r="DP389" s="7"/>
      <c r="DQ389" s="2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row>
    <row r="390" spans="1:155" s="566" customFormat="1" ht="20.25" hidden="1" customHeight="1">
      <c r="A390" s="188"/>
      <c r="B390" s="190"/>
      <c r="C390" s="255"/>
      <c r="D390" s="345"/>
      <c r="E390" s="27"/>
      <c r="F390" s="27"/>
      <c r="G390" s="70"/>
      <c r="H390" s="27"/>
      <c r="I390" s="27"/>
      <c r="J390" s="27"/>
      <c r="K390" s="27"/>
      <c r="L390" s="180"/>
      <c r="M390" s="180"/>
      <c r="N390" s="493" t="s">
        <v>571</v>
      </c>
      <c r="O390" s="479"/>
      <c r="P390" s="14"/>
      <c r="Q390" s="14"/>
      <c r="R390" s="14"/>
      <c r="S390" s="14"/>
      <c r="T390" s="479"/>
      <c r="U390" s="479"/>
      <c r="V390" s="479"/>
      <c r="W390" s="479"/>
      <c r="X390" s="479"/>
      <c r="Y390" s="14"/>
      <c r="Z390" s="14"/>
      <c r="AA390" s="14"/>
      <c r="AB390" s="14"/>
      <c r="AC390" s="14"/>
      <c r="AD390" s="14"/>
      <c r="AE390" s="14"/>
      <c r="AF390" s="14"/>
      <c r="AG390" s="14"/>
      <c r="AH390" s="479" t="s">
        <v>572</v>
      </c>
      <c r="AI390" s="479" t="s">
        <v>573</v>
      </c>
      <c r="AJ390" s="505" t="s">
        <v>574</v>
      </c>
      <c r="AK390" s="505"/>
      <c r="AL390" s="505"/>
      <c r="AM390" s="505"/>
      <c r="AN390" s="505"/>
      <c r="AO390" s="14"/>
      <c r="AP390" s="14"/>
      <c r="AQ390" s="14"/>
      <c r="AR390" s="14"/>
      <c r="AS390" s="14"/>
      <c r="AT390" s="14"/>
      <c r="AU390" s="14"/>
      <c r="AV390" s="14"/>
      <c r="AW390" s="14"/>
      <c r="AX390" s="14"/>
      <c r="AY390" s="14"/>
      <c r="AZ390" s="14"/>
      <c r="BA390" s="14"/>
      <c r="BB390" s="14"/>
      <c r="BC390" s="14"/>
      <c r="BD390" s="3"/>
      <c r="BE390" s="26"/>
      <c r="BF390" s="26"/>
      <c r="BG390" s="26"/>
      <c r="BH390" s="1"/>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1"/>
      <c r="DH390" s="1"/>
      <c r="DI390" s="27"/>
      <c r="DJ390" s="7"/>
      <c r="DK390" s="7"/>
      <c r="DL390" s="7"/>
      <c r="DM390" s="7"/>
      <c r="DN390" s="7"/>
      <c r="DO390" s="7"/>
      <c r="DP390" s="7"/>
      <c r="DQ390" s="2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row>
    <row r="391" spans="1:155" s="566" customFormat="1" ht="20.25" hidden="1" customHeight="1">
      <c r="A391" s="188"/>
      <c r="B391" s="190"/>
      <c r="C391" s="255"/>
      <c r="D391" s="345"/>
      <c r="E391" s="27"/>
      <c r="F391" s="27"/>
      <c r="G391" s="70"/>
      <c r="H391" s="27"/>
      <c r="I391" s="27"/>
      <c r="J391" s="27"/>
      <c r="K391" s="27"/>
      <c r="L391" s="180"/>
      <c r="M391" s="180"/>
      <c r="N391" s="493" t="b">
        <f>AND(F430="yes",N385)</f>
        <v>0</v>
      </c>
      <c r="O391" s="14"/>
      <c r="P391" s="14"/>
      <c r="Q391" s="6" t="s">
        <v>575</v>
      </c>
      <c r="R391" s="14"/>
      <c r="S391" s="14"/>
      <c r="T391" s="14"/>
      <c r="U391" s="14"/>
      <c r="V391" s="14"/>
      <c r="W391" s="14"/>
      <c r="X391" s="14"/>
      <c r="Y391" s="485"/>
      <c r="Z391" s="485"/>
      <c r="AA391" s="485"/>
      <c r="AB391" s="485"/>
      <c r="AC391" s="485"/>
      <c r="AD391" s="485"/>
      <c r="AE391" s="14"/>
      <c r="AF391" s="14"/>
      <c r="AG391" s="485"/>
      <c r="AH391" s="485"/>
      <c r="AI391" s="485" t="s">
        <v>576</v>
      </c>
      <c r="AJ391" s="485"/>
      <c r="AK391" s="505"/>
      <c r="AL391" s="505"/>
      <c r="AM391" s="505"/>
      <c r="AN391" s="505"/>
      <c r="AO391" s="479"/>
      <c r="AP391" s="506"/>
      <c r="AQ391" s="479"/>
      <c r="AR391" s="479"/>
      <c r="AS391" s="479"/>
      <c r="AT391" s="479"/>
      <c r="AU391" s="479"/>
      <c r="AV391" s="479"/>
      <c r="AW391" s="14"/>
      <c r="AX391" s="14"/>
      <c r="AY391" s="14"/>
      <c r="AZ391" s="14"/>
      <c r="BA391" s="14"/>
      <c r="BB391" s="14"/>
      <c r="BC391" s="14"/>
      <c r="BD391" s="3"/>
      <c r="BE391" s="26"/>
      <c r="BF391" s="26"/>
      <c r="BG391" s="26"/>
      <c r="BH391" s="1"/>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1"/>
      <c r="DH391" s="1"/>
      <c r="DI391" s="27"/>
      <c r="DJ391" s="7"/>
      <c r="DK391" s="7"/>
      <c r="DL391" s="7"/>
      <c r="DM391" s="7"/>
      <c r="DN391" s="7"/>
      <c r="DO391" s="7"/>
      <c r="DP391" s="7"/>
      <c r="DQ391" s="2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row>
    <row r="392" spans="1:155" s="566" customFormat="1" ht="20.25" hidden="1" customHeight="1">
      <c r="A392" s="188"/>
      <c r="B392" s="190"/>
      <c r="C392" s="255"/>
      <c r="D392" s="345"/>
      <c r="E392" s="27"/>
      <c r="F392" s="27"/>
      <c r="G392" s="70"/>
      <c r="H392" s="27"/>
      <c r="I392" s="27"/>
      <c r="J392" s="27"/>
      <c r="K392" s="27"/>
      <c r="L392" s="180"/>
      <c r="M392" s="180"/>
      <c r="N392" s="14"/>
      <c r="O392" s="14"/>
      <c r="P392" s="14"/>
      <c r="Q392" s="6" t="s">
        <v>213</v>
      </c>
      <c r="R392" s="6" t="s">
        <v>217</v>
      </c>
      <c r="S392" s="6" t="s">
        <v>107</v>
      </c>
      <c r="T392" s="6" t="s">
        <v>108</v>
      </c>
      <c r="U392" s="6" t="s">
        <v>109</v>
      </c>
      <c r="V392" s="6" t="s">
        <v>76</v>
      </c>
      <c r="W392" s="6">
        <f>B456</f>
        <v>0</v>
      </c>
      <c r="X392" s="6">
        <f>B457</f>
        <v>0</v>
      </c>
      <c r="Y392" s="6">
        <f>B458</f>
        <v>0</v>
      </c>
      <c r="Z392" s="6">
        <f>B459</f>
        <v>0</v>
      </c>
      <c r="AA392" s="6">
        <f>B460</f>
        <v>0</v>
      </c>
      <c r="AB392" s="6">
        <f>B461</f>
        <v>0</v>
      </c>
      <c r="AC392" s="6" t="s">
        <v>439</v>
      </c>
      <c r="AD392" s="6" t="s">
        <v>577</v>
      </c>
      <c r="AE392" s="14"/>
      <c r="AF392" s="14"/>
      <c r="AG392" s="637"/>
      <c r="AH392" s="479"/>
      <c r="AI392" s="507">
        <f>DA387</f>
        <v>0</v>
      </c>
      <c r="AJ392" s="505"/>
      <c r="AK392" s="505"/>
      <c r="AL392" s="505"/>
      <c r="AM392" s="505"/>
      <c r="AN392" s="505"/>
      <c r="AO392" s="636"/>
      <c r="AP392" s="636"/>
      <c r="AQ392" s="636"/>
      <c r="AR392" s="636"/>
      <c r="AS392" s="508"/>
      <c r="AT392" s="508"/>
      <c r="AU392" s="508"/>
      <c r="AV392" s="637"/>
      <c r="AW392" s="14"/>
      <c r="AX392" s="14"/>
      <c r="AY392" s="14"/>
      <c r="AZ392" s="14"/>
      <c r="BA392" s="14"/>
      <c r="BB392" s="14"/>
      <c r="BC392" s="14"/>
      <c r="BD392" s="3"/>
      <c r="BE392" s="26"/>
      <c r="BF392" s="26"/>
      <c r="BG392" s="26"/>
      <c r="BH392" s="1"/>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1"/>
      <c r="DH392" s="1"/>
      <c r="DI392" s="27"/>
      <c r="DJ392" s="7"/>
      <c r="DK392" s="7"/>
      <c r="DL392" s="7"/>
      <c r="DM392" s="7"/>
      <c r="DN392" s="7"/>
      <c r="DO392" s="7"/>
      <c r="DP392" s="7"/>
      <c r="DQ392" s="27"/>
      <c r="DR392" s="509"/>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row>
    <row r="393" spans="1:155" s="566" customFormat="1" ht="20.25" hidden="1" customHeight="1">
      <c r="A393" s="188"/>
      <c r="B393" s="190"/>
      <c r="C393" s="255"/>
      <c r="D393" s="345"/>
      <c r="E393" s="27"/>
      <c r="F393" s="27"/>
      <c r="G393" s="70"/>
      <c r="H393" s="27"/>
      <c r="I393" s="27"/>
      <c r="J393" s="27"/>
      <c r="K393" s="27"/>
      <c r="L393" s="180"/>
      <c r="M393" s="180"/>
      <c r="N393" s="14"/>
      <c r="O393" s="14"/>
      <c r="P393" s="14"/>
      <c r="Q393" s="6"/>
      <c r="R393" s="6"/>
      <c r="S393" s="6"/>
      <c r="T393" s="6"/>
      <c r="U393" s="6"/>
      <c r="V393" s="6"/>
      <c r="W393" s="6"/>
      <c r="X393" s="6"/>
      <c r="Y393" s="6"/>
      <c r="Z393" s="6"/>
      <c r="AA393" s="6"/>
      <c r="AB393" s="6"/>
      <c r="AC393" s="6"/>
      <c r="AD393" s="6"/>
      <c r="AE393" s="14"/>
      <c r="AF393" s="14"/>
      <c r="AG393" s="637"/>
      <c r="AH393" s="479"/>
      <c r="AI393" s="510"/>
      <c r="AJ393" s="505"/>
      <c r="AK393" s="505"/>
      <c r="AL393" s="505"/>
      <c r="AM393" s="505"/>
      <c r="AN393" s="505"/>
      <c r="AO393" s="636"/>
      <c r="AP393" s="636"/>
      <c r="AQ393" s="636"/>
      <c r="AR393" s="636"/>
      <c r="AS393" s="508"/>
      <c r="AT393" s="508"/>
      <c r="AU393" s="508"/>
      <c r="AV393" s="637"/>
      <c r="AW393" s="14"/>
      <c r="AX393" s="14"/>
      <c r="AY393" s="14"/>
      <c r="AZ393" s="14"/>
      <c r="BA393" s="14"/>
      <c r="BB393" s="14"/>
      <c r="BC393" s="14"/>
      <c r="BD393" s="3"/>
      <c r="BE393" s="26"/>
      <c r="BF393" s="26"/>
      <c r="BG393" s="26"/>
      <c r="BH393" s="1"/>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1"/>
      <c r="DH393" s="1"/>
      <c r="DI393" s="27"/>
      <c r="DJ393" s="7"/>
      <c r="DK393" s="7"/>
      <c r="DL393" s="7"/>
      <c r="DM393" s="7"/>
      <c r="DN393" s="7"/>
      <c r="DO393" s="7"/>
      <c r="DP393" s="7"/>
      <c r="DQ393" s="2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row>
    <row r="394" spans="1:155" s="566" customFormat="1" ht="20.25" hidden="1" customHeight="1">
      <c r="A394" s="188"/>
      <c r="B394" s="190"/>
      <c r="C394" s="255"/>
      <c r="D394" s="345"/>
      <c r="E394" s="27"/>
      <c r="F394" s="27"/>
      <c r="G394" s="70"/>
      <c r="H394" s="27"/>
      <c r="I394" s="27"/>
      <c r="J394" s="27"/>
      <c r="K394" s="27"/>
      <c r="L394" s="180"/>
      <c r="M394" s="180"/>
      <c r="N394" s="14"/>
      <c r="O394" s="14"/>
      <c r="P394" s="234" t="s">
        <v>168</v>
      </c>
      <c r="Q394" s="23">
        <f t="shared" ref="Q394:Q405" si="553">$C$450*Q334</f>
        <v>0</v>
      </c>
      <c r="R394" s="23">
        <f t="shared" ref="R394:R405" si="554">$C$451*R334</f>
        <v>0</v>
      </c>
      <c r="S394" s="23">
        <f t="shared" ref="S394:S405" si="555">$C$452*S334</f>
        <v>0</v>
      </c>
      <c r="T394" s="23">
        <f t="shared" ref="T394:T405" si="556">$C$453*T334</f>
        <v>0</v>
      </c>
      <c r="U394" s="23">
        <f t="shared" ref="U394:U405" si="557">$C$454*(U334+V334)</f>
        <v>0</v>
      </c>
      <c r="V394" s="23">
        <f t="shared" ref="V394:V405" si="558">$C$455*X334</f>
        <v>0</v>
      </c>
      <c r="W394" s="23">
        <f t="shared" ref="W394:W405" si="559">$C$456*Y334</f>
        <v>0</v>
      </c>
      <c r="X394" s="23">
        <f t="shared" ref="X394:X405" si="560">$C$457*Z334</f>
        <v>0</v>
      </c>
      <c r="Y394" s="23">
        <f t="shared" ref="Y394:Y405" si="561">$C$458*AA334</f>
        <v>0</v>
      </c>
      <c r="Z394" s="23">
        <f t="shared" ref="Z394:Z405" si="562">$C$459*AB334</f>
        <v>0</v>
      </c>
      <c r="AA394" s="23">
        <f t="shared" ref="AA394:AA405" si="563">$C$460*AC334</f>
        <v>0</v>
      </c>
      <c r="AB394" s="23">
        <f t="shared" ref="AB394:AB405" si="564">$C$461*AD334</f>
        <v>0</v>
      </c>
      <c r="AC394" s="23">
        <f>SUM(Q394:AB394)</f>
        <v>0</v>
      </c>
      <c r="AD394" s="23">
        <f t="shared" ref="AD394:AD405" si="565">IF(AC394-F434&lt;0,AC394,F434)*$N$391</f>
        <v>0</v>
      </c>
      <c r="AE394" s="14"/>
      <c r="AF394" s="14"/>
      <c r="AG394" s="637"/>
      <c r="AH394" s="479"/>
      <c r="AI394" s="510"/>
      <c r="AJ394" s="505"/>
      <c r="AK394" s="505"/>
      <c r="AL394" s="505"/>
      <c r="AM394" s="505"/>
      <c r="AN394" s="505"/>
      <c r="AO394" s="636"/>
      <c r="AP394" s="636"/>
      <c r="AQ394" s="636"/>
      <c r="AR394" s="636"/>
      <c r="AS394" s="508"/>
      <c r="AT394" s="508"/>
      <c r="AU394" s="508"/>
      <c r="AV394" s="637"/>
      <c r="AW394" s="14"/>
      <c r="AX394" s="14"/>
      <c r="AY394" s="14"/>
      <c r="AZ394" s="14"/>
      <c r="BA394" s="14"/>
      <c r="BB394" s="14"/>
      <c r="BC394" s="14"/>
      <c r="BD394" s="3"/>
      <c r="BE394" s="26"/>
      <c r="BF394" s="26"/>
      <c r="BG394" s="26"/>
      <c r="BH394" s="1"/>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1"/>
      <c r="DH394" s="1"/>
      <c r="DI394" s="480"/>
      <c r="DJ394" s="7"/>
      <c r="DK394" s="7"/>
      <c r="DL394" s="7"/>
      <c r="DM394" s="7"/>
      <c r="DN394" s="7"/>
      <c r="DO394" s="7"/>
      <c r="DP394" s="509"/>
      <c r="DQ394" s="480"/>
      <c r="DR394" s="7"/>
      <c r="DS394" s="509"/>
      <c r="DT394" s="509"/>
      <c r="DU394" s="509"/>
      <c r="DV394" s="509"/>
      <c r="DW394" s="509"/>
      <c r="DX394" s="509"/>
      <c r="DY394" s="509"/>
      <c r="DZ394" s="509"/>
      <c r="EA394" s="509"/>
      <c r="EB394" s="509"/>
      <c r="EC394" s="509"/>
      <c r="ED394" s="509"/>
      <c r="EE394" s="509"/>
      <c r="EF394" s="509"/>
      <c r="EG394" s="509"/>
      <c r="EH394" s="509"/>
      <c r="EI394" s="509"/>
      <c r="EJ394" s="509"/>
      <c r="EK394" s="509"/>
      <c r="EL394" s="509"/>
      <c r="EM394" s="509"/>
      <c r="EN394" s="509"/>
      <c r="EO394" s="509"/>
      <c r="EP394" s="509"/>
      <c r="EQ394" s="509"/>
      <c r="ER394" s="509"/>
      <c r="ES394" s="509"/>
      <c r="ET394" s="509"/>
      <c r="EU394" s="509"/>
      <c r="EV394" s="509"/>
      <c r="EW394" s="509"/>
      <c r="EX394" s="509"/>
      <c r="EY394" s="509"/>
    </row>
    <row r="395" spans="1:155" s="566" customFormat="1" ht="20.25" hidden="1" customHeight="1">
      <c r="A395" s="188"/>
      <c r="B395" s="190"/>
      <c r="C395" s="255"/>
      <c r="D395" s="345"/>
      <c r="E395" s="27"/>
      <c r="F395" s="27"/>
      <c r="G395" s="70"/>
      <c r="H395" s="27"/>
      <c r="I395" s="27"/>
      <c r="J395" s="27"/>
      <c r="K395" s="27"/>
      <c r="L395" s="180"/>
      <c r="M395" s="180"/>
      <c r="N395" s="14"/>
      <c r="O395" s="14"/>
      <c r="P395" s="234" t="s">
        <v>172</v>
      </c>
      <c r="Q395" s="23">
        <f t="shared" si="553"/>
        <v>0</v>
      </c>
      <c r="R395" s="23">
        <f t="shared" si="554"/>
        <v>0</v>
      </c>
      <c r="S395" s="23">
        <f t="shared" si="555"/>
        <v>0</v>
      </c>
      <c r="T395" s="23">
        <f t="shared" si="556"/>
        <v>0</v>
      </c>
      <c r="U395" s="23">
        <f t="shared" si="557"/>
        <v>0</v>
      </c>
      <c r="V395" s="23">
        <f t="shared" si="558"/>
        <v>0</v>
      </c>
      <c r="W395" s="23">
        <f t="shared" si="559"/>
        <v>0</v>
      </c>
      <c r="X395" s="23">
        <f t="shared" si="560"/>
        <v>0</v>
      </c>
      <c r="Y395" s="23">
        <f t="shared" si="561"/>
        <v>0</v>
      </c>
      <c r="Z395" s="23">
        <f t="shared" si="562"/>
        <v>0</v>
      </c>
      <c r="AA395" s="23">
        <f t="shared" si="563"/>
        <v>0</v>
      </c>
      <c r="AB395" s="23">
        <f t="shared" si="564"/>
        <v>0</v>
      </c>
      <c r="AC395" s="23">
        <f t="shared" ref="AC395:AC405" si="566">SUM(Q395:AB395)</f>
        <v>0</v>
      </c>
      <c r="AD395" s="23">
        <f t="shared" si="565"/>
        <v>0</v>
      </c>
      <c r="AE395" s="14"/>
      <c r="AF395" s="14"/>
      <c r="AG395" s="637"/>
      <c r="AH395" s="479"/>
      <c r="AI395" s="510"/>
      <c r="AJ395" s="505"/>
      <c r="AK395" s="505"/>
      <c r="AL395" s="505"/>
      <c r="AM395" s="505"/>
      <c r="AN395" s="505"/>
      <c r="AO395" s="636"/>
      <c r="AP395" s="636"/>
      <c r="AQ395" s="636"/>
      <c r="AR395" s="636"/>
      <c r="AS395" s="508"/>
      <c r="AT395" s="508"/>
      <c r="AU395" s="508"/>
      <c r="AV395" s="637"/>
      <c r="AW395" s="14"/>
      <c r="AX395" s="14"/>
      <c r="AY395" s="14"/>
      <c r="AZ395" s="14"/>
      <c r="BA395" s="14"/>
      <c r="BB395" s="14"/>
      <c r="BC395" s="14"/>
      <c r="BD395" s="3"/>
      <c r="BE395" s="26"/>
      <c r="BF395" s="26"/>
      <c r="BG395" s="26"/>
      <c r="BH395" s="1"/>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1"/>
      <c r="DH395" s="1"/>
      <c r="DI395" s="27"/>
      <c r="DJ395" s="7"/>
      <c r="DK395" s="7"/>
      <c r="DL395" s="7"/>
      <c r="DM395" s="509"/>
      <c r="DN395" s="509"/>
      <c r="DO395" s="509"/>
      <c r="DP395" s="7"/>
      <c r="DQ395" s="2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row>
    <row r="396" spans="1:155" s="566" customFormat="1" ht="20.25" hidden="1" customHeight="1">
      <c r="A396" s="188"/>
      <c r="B396" s="190"/>
      <c r="C396" s="255"/>
      <c r="D396" s="345"/>
      <c r="E396" s="27"/>
      <c r="F396" s="27"/>
      <c r="G396" s="70"/>
      <c r="H396" s="27"/>
      <c r="I396" s="27"/>
      <c r="J396" s="27"/>
      <c r="K396" s="27"/>
      <c r="L396" s="180"/>
      <c r="M396" s="180"/>
      <c r="N396" s="14"/>
      <c r="O396" s="14"/>
      <c r="P396" s="234" t="s">
        <v>177</v>
      </c>
      <c r="Q396" s="23">
        <f t="shared" si="553"/>
        <v>0</v>
      </c>
      <c r="R396" s="23">
        <f t="shared" si="554"/>
        <v>0</v>
      </c>
      <c r="S396" s="23">
        <f t="shared" si="555"/>
        <v>0</v>
      </c>
      <c r="T396" s="23">
        <f t="shared" si="556"/>
        <v>0</v>
      </c>
      <c r="U396" s="23">
        <f t="shared" si="557"/>
        <v>0</v>
      </c>
      <c r="V396" s="23">
        <f t="shared" si="558"/>
        <v>0</v>
      </c>
      <c r="W396" s="23">
        <f t="shared" si="559"/>
        <v>0</v>
      </c>
      <c r="X396" s="23">
        <f t="shared" si="560"/>
        <v>0</v>
      </c>
      <c r="Y396" s="23">
        <f t="shared" si="561"/>
        <v>0</v>
      </c>
      <c r="Z396" s="23">
        <f t="shared" si="562"/>
        <v>0</v>
      </c>
      <c r="AA396" s="23">
        <f t="shared" si="563"/>
        <v>0</v>
      </c>
      <c r="AB396" s="23">
        <f t="shared" si="564"/>
        <v>0</v>
      </c>
      <c r="AC396" s="23">
        <f t="shared" si="566"/>
        <v>0</v>
      </c>
      <c r="AD396" s="23">
        <f t="shared" si="565"/>
        <v>0</v>
      </c>
      <c r="AE396" s="14"/>
      <c r="AF396" s="14"/>
      <c r="AG396" s="637"/>
      <c r="AH396" s="479"/>
      <c r="AI396" s="510"/>
      <c r="AJ396" s="505"/>
      <c r="AK396" s="505"/>
      <c r="AL396" s="505"/>
      <c r="AM396" s="505"/>
      <c r="AN396" s="505"/>
      <c r="AO396" s="636"/>
      <c r="AP396" s="636"/>
      <c r="AQ396" s="636"/>
      <c r="AR396" s="636"/>
      <c r="AS396" s="508"/>
      <c r="AT396" s="508"/>
      <c r="AU396" s="508"/>
      <c r="AV396" s="637"/>
      <c r="AW396" s="14"/>
      <c r="AX396" s="14"/>
      <c r="AY396" s="14"/>
      <c r="AZ396" s="14"/>
      <c r="BA396" s="14"/>
      <c r="BB396" s="14"/>
      <c r="BC396" s="14"/>
      <c r="BD396" s="3"/>
      <c r="BE396" s="26"/>
      <c r="BF396" s="26"/>
      <c r="BG396" s="26"/>
      <c r="BH396" s="1"/>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1"/>
      <c r="DH396" s="1"/>
      <c r="DI396" s="27"/>
      <c r="DJ396" s="509"/>
      <c r="DK396" s="509"/>
      <c r="DL396" s="509"/>
      <c r="DM396" s="7"/>
      <c r="DN396" s="7"/>
      <c r="DO396" s="7"/>
      <c r="DP396" s="7"/>
      <c r="DQ396" s="2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row>
    <row r="397" spans="1:155" s="566" customFormat="1" ht="20.25" hidden="1" customHeight="1">
      <c r="A397" s="188"/>
      <c r="B397" s="190"/>
      <c r="C397" s="255"/>
      <c r="D397" s="345"/>
      <c r="E397" s="27"/>
      <c r="F397" s="27"/>
      <c r="G397" s="70"/>
      <c r="H397" s="27"/>
      <c r="I397" s="27"/>
      <c r="J397" s="27"/>
      <c r="K397" s="27"/>
      <c r="L397" s="180"/>
      <c r="M397" s="180"/>
      <c r="N397" s="14"/>
      <c r="O397" s="14"/>
      <c r="P397" s="234" t="s">
        <v>180</v>
      </c>
      <c r="Q397" s="23">
        <f t="shared" si="553"/>
        <v>0</v>
      </c>
      <c r="R397" s="23">
        <f t="shared" si="554"/>
        <v>0</v>
      </c>
      <c r="S397" s="23">
        <f t="shared" si="555"/>
        <v>0</v>
      </c>
      <c r="T397" s="23">
        <f t="shared" si="556"/>
        <v>0</v>
      </c>
      <c r="U397" s="23">
        <f t="shared" si="557"/>
        <v>0</v>
      </c>
      <c r="V397" s="23">
        <f t="shared" si="558"/>
        <v>0</v>
      </c>
      <c r="W397" s="23">
        <f t="shared" si="559"/>
        <v>0</v>
      </c>
      <c r="X397" s="23">
        <f t="shared" si="560"/>
        <v>0</v>
      </c>
      <c r="Y397" s="23">
        <f t="shared" si="561"/>
        <v>0</v>
      </c>
      <c r="Z397" s="23">
        <f t="shared" si="562"/>
        <v>0</v>
      </c>
      <c r="AA397" s="23">
        <f t="shared" si="563"/>
        <v>0</v>
      </c>
      <c r="AB397" s="23">
        <f t="shared" si="564"/>
        <v>0</v>
      </c>
      <c r="AC397" s="23">
        <f t="shared" si="566"/>
        <v>0</v>
      </c>
      <c r="AD397" s="23">
        <f t="shared" si="565"/>
        <v>0</v>
      </c>
      <c r="AE397" s="14"/>
      <c r="AF397" s="14"/>
      <c r="AG397" s="637"/>
      <c r="AH397" s="479"/>
      <c r="AI397" s="510" t="s">
        <v>578</v>
      </c>
      <c r="AJ397" s="505" t="s">
        <v>579</v>
      </c>
      <c r="AK397" s="505"/>
      <c r="AL397" s="505"/>
      <c r="AM397" s="505"/>
      <c r="AN397" s="505"/>
      <c r="AO397" s="636"/>
      <c r="AP397" s="636"/>
      <c r="AQ397" s="636"/>
      <c r="AR397" s="636"/>
      <c r="AS397" s="508"/>
      <c r="AT397" s="508"/>
      <c r="AU397" s="508"/>
      <c r="AV397" s="637"/>
      <c r="AW397" s="14"/>
      <c r="AX397" s="14"/>
      <c r="AY397" s="14"/>
      <c r="AZ397" s="14"/>
      <c r="BA397" s="14"/>
      <c r="BB397" s="14"/>
      <c r="BC397" s="14"/>
      <c r="BD397" s="3"/>
      <c r="BE397" s="26"/>
      <c r="BF397" s="26"/>
      <c r="BG397" s="26"/>
      <c r="BH397" s="1"/>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1"/>
      <c r="DH397" s="511"/>
      <c r="DI397" s="27"/>
      <c r="DJ397" s="7"/>
      <c r="DK397" s="7"/>
      <c r="DL397" s="7"/>
      <c r="DM397" s="7"/>
      <c r="DN397" s="7"/>
      <c r="DO397" s="7"/>
      <c r="DP397" s="7"/>
      <c r="DQ397" s="2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row>
    <row r="398" spans="1:155" s="566" customFormat="1" ht="20.25" hidden="1" customHeight="1">
      <c r="A398" s="188"/>
      <c r="B398" s="190"/>
      <c r="C398" s="255"/>
      <c r="D398" s="345"/>
      <c r="E398" s="27"/>
      <c r="F398" s="27"/>
      <c r="G398" s="70"/>
      <c r="H398" s="27"/>
      <c r="I398" s="27"/>
      <c r="J398" s="27"/>
      <c r="K398" s="27"/>
      <c r="L398" s="180"/>
      <c r="M398" s="180"/>
      <c r="N398" s="14"/>
      <c r="O398" s="14"/>
      <c r="P398" s="234" t="s">
        <v>15</v>
      </c>
      <c r="Q398" s="23">
        <f t="shared" si="553"/>
        <v>0</v>
      </c>
      <c r="R398" s="23">
        <f t="shared" si="554"/>
        <v>0</v>
      </c>
      <c r="S398" s="23">
        <f t="shared" si="555"/>
        <v>0</v>
      </c>
      <c r="T398" s="23">
        <f t="shared" si="556"/>
        <v>0</v>
      </c>
      <c r="U398" s="23">
        <f t="shared" si="557"/>
        <v>0</v>
      </c>
      <c r="V398" s="23">
        <f t="shared" si="558"/>
        <v>0</v>
      </c>
      <c r="W398" s="23">
        <f t="shared" si="559"/>
        <v>0</v>
      </c>
      <c r="X398" s="23">
        <f t="shared" si="560"/>
        <v>0</v>
      </c>
      <c r="Y398" s="23">
        <f t="shared" si="561"/>
        <v>0</v>
      </c>
      <c r="Z398" s="23">
        <f t="shared" si="562"/>
        <v>0</v>
      </c>
      <c r="AA398" s="23">
        <f t="shared" si="563"/>
        <v>0</v>
      </c>
      <c r="AB398" s="23">
        <f t="shared" si="564"/>
        <v>0</v>
      </c>
      <c r="AC398" s="23">
        <f t="shared" si="566"/>
        <v>0</v>
      </c>
      <c r="AD398" s="23">
        <f t="shared" si="565"/>
        <v>0</v>
      </c>
      <c r="AE398" s="14"/>
      <c r="AF398" s="14"/>
      <c r="AG398" s="637"/>
      <c r="AH398" s="190" t="s">
        <v>580</v>
      </c>
      <c r="AI398" s="190" t="s">
        <v>581</v>
      </c>
      <c r="AJ398" s="190" t="s">
        <v>581</v>
      </c>
      <c r="AK398" s="190" t="s">
        <v>582</v>
      </c>
      <c r="AL398" s="190"/>
      <c r="AM398" s="190"/>
      <c r="AN398" s="190"/>
      <c r="AO398" s="636"/>
      <c r="AP398" s="636"/>
      <c r="AQ398" s="636"/>
      <c r="AR398" s="636"/>
      <c r="AS398" s="508"/>
      <c r="AT398" s="508"/>
      <c r="AU398" s="508"/>
      <c r="AV398" s="637"/>
      <c r="AW398" s="14"/>
      <c r="AX398" s="14"/>
      <c r="AY398" s="14"/>
      <c r="AZ398" s="14"/>
      <c r="BA398" s="14"/>
      <c r="BB398" s="14"/>
      <c r="BC398" s="14"/>
      <c r="BD398" s="3"/>
      <c r="BE398" s="26"/>
      <c r="BF398" s="26"/>
      <c r="BG398" s="26"/>
      <c r="BH398" s="1"/>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1"/>
      <c r="DH398" s="1"/>
      <c r="DI398" s="27"/>
      <c r="DJ398" s="7"/>
      <c r="DK398" s="7"/>
      <c r="DL398" s="7"/>
      <c r="DM398" s="7"/>
      <c r="DN398" s="7"/>
      <c r="DO398" s="7"/>
      <c r="DP398" s="7"/>
      <c r="DQ398" s="2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row>
    <row r="399" spans="1:155" s="566" customFormat="1" ht="20.25" hidden="1" customHeight="1">
      <c r="A399" s="188"/>
      <c r="B399" s="190"/>
      <c r="C399" s="255"/>
      <c r="D399" s="345"/>
      <c r="E399" s="27"/>
      <c r="F399" s="27"/>
      <c r="G399" s="70"/>
      <c r="H399" s="27"/>
      <c r="I399" s="27"/>
      <c r="J399" s="27"/>
      <c r="K399" s="27"/>
      <c r="L399" s="180"/>
      <c r="M399" s="180"/>
      <c r="N399" s="14" t="s">
        <v>583</v>
      </c>
      <c r="O399" s="493"/>
      <c r="P399" s="234" t="s">
        <v>185</v>
      </c>
      <c r="Q399" s="23">
        <f t="shared" si="553"/>
        <v>0</v>
      </c>
      <c r="R399" s="23">
        <f t="shared" si="554"/>
        <v>0</v>
      </c>
      <c r="S399" s="23">
        <f t="shared" si="555"/>
        <v>0</v>
      </c>
      <c r="T399" s="23">
        <f t="shared" si="556"/>
        <v>0</v>
      </c>
      <c r="U399" s="23">
        <f t="shared" si="557"/>
        <v>0</v>
      </c>
      <c r="V399" s="23">
        <f t="shared" si="558"/>
        <v>0</v>
      </c>
      <c r="W399" s="23">
        <f t="shared" si="559"/>
        <v>0</v>
      </c>
      <c r="X399" s="23">
        <f t="shared" si="560"/>
        <v>0</v>
      </c>
      <c r="Y399" s="23">
        <f t="shared" si="561"/>
        <v>0</v>
      </c>
      <c r="Z399" s="23">
        <f t="shared" si="562"/>
        <v>0</v>
      </c>
      <c r="AA399" s="23">
        <f t="shared" si="563"/>
        <v>0</v>
      </c>
      <c r="AB399" s="23">
        <f t="shared" si="564"/>
        <v>0</v>
      </c>
      <c r="AC399" s="23">
        <f t="shared" si="566"/>
        <v>0</v>
      </c>
      <c r="AD399" s="23">
        <f t="shared" si="565"/>
        <v>0</v>
      </c>
      <c r="AE399" s="14"/>
      <c r="AF399" s="14"/>
      <c r="AG399" s="324" t="str">
        <f t="shared" ref="AG399:AH410" si="567">B337</f>
        <v>WC</v>
      </c>
      <c r="AH399" s="324">
        <f t="shared" si="567"/>
        <v>0</v>
      </c>
      <c r="AI399" s="324">
        <f>BR386</f>
        <v>0</v>
      </c>
      <c r="AJ399" s="324">
        <f t="shared" ref="AJ399:AJ410" si="568">IF(C450*AH399-D389*E450-E415*D450&gt;0,C450*AH399-D389*E450-E415*D450,0)</f>
        <v>0</v>
      </c>
      <c r="AK399" s="512">
        <f>AD408</f>
        <v>0</v>
      </c>
      <c r="AL399" s="513"/>
      <c r="AM399" s="513"/>
      <c r="AN399" s="513"/>
      <c r="AO399" s="505"/>
      <c r="AP399" s="505"/>
      <c r="AQ399" s="505"/>
      <c r="AR399" s="505"/>
      <c r="AS399" s="505"/>
      <c r="AT399" s="505"/>
      <c r="AU399" s="505"/>
      <c r="AV399" s="505"/>
      <c r="AW399" s="14"/>
      <c r="AX399" s="14"/>
      <c r="AY399" s="14"/>
      <c r="AZ399" s="14"/>
      <c r="BA399" s="14"/>
      <c r="BB399" s="14"/>
      <c r="BC399" s="14"/>
      <c r="BD399" s="3"/>
      <c r="BE399" s="26"/>
      <c r="BF399" s="26"/>
      <c r="BG399" s="26"/>
      <c r="BH399" s="1"/>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1"/>
      <c r="DH399" s="1"/>
      <c r="DI399" s="27"/>
      <c r="DJ399" s="7"/>
      <c r="DK399" s="7"/>
      <c r="DL399" s="7"/>
      <c r="DM399" s="7"/>
      <c r="DN399" s="7"/>
      <c r="DO399" s="7"/>
      <c r="DP399" s="7"/>
      <c r="DQ399" s="2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row>
    <row r="400" spans="1:155" s="566" customFormat="1" ht="20.25" hidden="1" customHeight="1">
      <c r="A400" s="188"/>
      <c r="B400" s="190"/>
      <c r="C400" s="255"/>
      <c r="D400" s="345"/>
      <c r="E400" s="27"/>
      <c r="F400" s="27"/>
      <c r="G400" s="70"/>
      <c r="H400" s="27"/>
      <c r="I400" s="27"/>
      <c r="J400" s="27"/>
      <c r="K400" s="27"/>
      <c r="L400" s="180"/>
      <c r="M400" s="180"/>
      <c r="N400" s="14">
        <f>IFERROR((F407*E407+F408*E408+F409*E409+F410*E410)/N402,0)</f>
        <v>0</v>
      </c>
      <c r="O400" s="14"/>
      <c r="P400" s="234" t="s">
        <v>186</v>
      </c>
      <c r="Q400" s="23">
        <f t="shared" si="553"/>
        <v>0</v>
      </c>
      <c r="R400" s="23">
        <f t="shared" si="554"/>
        <v>0</v>
      </c>
      <c r="S400" s="23">
        <f t="shared" si="555"/>
        <v>0</v>
      </c>
      <c r="T400" s="23">
        <f t="shared" si="556"/>
        <v>0</v>
      </c>
      <c r="U400" s="23">
        <f t="shared" si="557"/>
        <v>0</v>
      </c>
      <c r="V400" s="23">
        <f t="shared" si="558"/>
        <v>0</v>
      </c>
      <c r="W400" s="23">
        <f t="shared" si="559"/>
        <v>0</v>
      </c>
      <c r="X400" s="23">
        <f t="shared" si="560"/>
        <v>0</v>
      </c>
      <c r="Y400" s="23">
        <f t="shared" si="561"/>
        <v>0</v>
      </c>
      <c r="Z400" s="23">
        <f t="shared" si="562"/>
        <v>0</v>
      </c>
      <c r="AA400" s="23">
        <f t="shared" si="563"/>
        <v>0</v>
      </c>
      <c r="AB400" s="23">
        <f t="shared" si="564"/>
        <v>0</v>
      </c>
      <c r="AC400" s="23">
        <f t="shared" si="566"/>
        <v>0</v>
      </c>
      <c r="AD400" s="23">
        <f t="shared" si="565"/>
        <v>0</v>
      </c>
      <c r="AE400" s="14"/>
      <c r="AF400" s="14"/>
      <c r="AG400" s="324" t="str">
        <f t="shared" si="567"/>
        <v>Urinals</v>
      </c>
      <c r="AH400" s="324">
        <f t="shared" si="567"/>
        <v>0</v>
      </c>
      <c r="AI400" s="324">
        <f>BU386</f>
        <v>0</v>
      </c>
      <c r="AJ400" s="324">
        <f t="shared" si="568"/>
        <v>0</v>
      </c>
      <c r="AK400" s="505"/>
      <c r="AL400" s="505"/>
      <c r="AM400" s="505"/>
      <c r="AN400" s="505"/>
      <c r="AO400" s="505"/>
      <c r="AP400" s="505"/>
      <c r="AQ400" s="505"/>
      <c r="AR400" s="505"/>
      <c r="AS400" s="505"/>
      <c r="AT400" s="505"/>
      <c r="AU400" s="505"/>
      <c r="AV400" s="505"/>
      <c r="AW400" s="14"/>
      <c r="AX400" s="14"/>
      <c r="AY400" s="14"/>
      <c r="AZ400" s="14"/>
      <c r="BA400" s="14"/>
      <c r="BB400" s="14"/>
      <c r="BC400" s="14"/>
      <c r="BD400" s="3"/>
      <c r="BE400" s="514"/>
      <c r="BF400" s="514"/>
      <c r="BG400" s="514"/>
      <c r="BH400" s="125"/>
      <c r="BI400" s="515"/>
      <c r="BJ400" s="515"/>
      <c r="BK400" s="515"/>
      <c r="BL400" s="515"/>
      <c r="BM400" s="515"/>
      <c r="BN400" s="515"/>
      <c r="BO400" s="515"/>
      <c r="BP400" s="515"/>
      <c r="BQ400" s="515"/>
      <c r="BR400" s="515"/>
      <c r="BS400" s="515"/>
      <c r="BT400" s="515"/>
      <c r="BU400" s="515"/>
      <c r="BV400" s="515"/>
      <c r="BW400" s="515"/>
      <c r="BX400" s="515"/>
      <c r="BY400" s="515"/>
      <c r="BZ400" s="515"/>
      <c r="CA400" s="515"/>
      <c r="CB400" s="515"/>
      <c r="CC400" s="515"/>
      <c r="CD400" s="515"/>
      <c r="CE400" s="515"/>
      <c r="CF400" s="515"/>
      <c r="CG400" s="515"/>
      <c r="CH400" s="515"/>
      <c r="CI400" s="515"/>
      <c r="CJ400" s="515"/>
      <c r="CK400" s="515"/>
      <c r="CL400" s="515"/>
      <c r="CM400" s="515"/>
      <c r="CN400" s="515"/>
      <c r="CO400" s="515"/>
      <c r="CP400" s="515"/>
      <c r="CQ400" s="515"/>
      <c r="CR400" s="515"/>
      <c r="CS400" s="515"/>
      <c r="CT400" s="515"/>
      <c r="CU400" s="515"/>
      <c r="CV400" s="515"/>
      <c r="CW400" s="515"/>
      <c r="CX400" s="515"/>
      <c r="CY400" s="515"/>
      <c r="CZ400" s="515"/>
      <c r="DA400" s="515"/>
      <c r="DB400" s="515"/>
      <c r="DC400" s="515"/>
      <c r="DD400" s="515"/>
      <c r="DE400" s="515"/>
      <c r="DF400" s="515"/>
      <c r="DG400" s="125"/>
      <c r="DH400" s="125"/>
      <c r="DI400" s="27"/>
      <c r="DJ400" s="7"/>
      <c r="DK400" s="7"/>
      <c r="DL400" s="7"/>
      <c r="DM400" s="7"/>
      <c r="DN400" s="7"/>
      <c r="DO400" s="7"/>
      <c r="DP400" s="7"/>
      <c r="DQ400" s="2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row>
    <row r="401" spans="1:155" s="566" customFormat="1" ht="21.75" hidden="1" customHeight="1">
      <c r="A401" s="188"/>
      <c r="B401" s="638"/>
      <c r="C401" s="638"/>
      <c r="D401" s="516"/>
      <c r="E401" s="27"/>
      <c r="F401" s="27"/>
      <c r="G401" s="70"/>
      <c r="H401" s="27"/>
      <c r="I401" s="27"/>
      <c r="J401" s="27"/>
      <c r="K401" s="27"/>
      <c r="L401" s="180"/>
      <c r="M401" s="180"/>
      <c r="N401" s="14" t="s">
        <v>584</v>
      </c>
      <c r="O401" s="14"/>
      <c r="P401" s="234" t="s">
        <v>187</v>
      </c>
      <c r="Q401" s="23">
        <f t="shared" si="553"/>
        <v>0</v>
      </c>
      <c r="R401" s="23">
        <f t="shared" si="554"/>
        <v>0</v>
      </c>
      <c r="S401" s="23">
        <f t="shared" si="555"/>
        <v>0</v>
      </c>
      <c r="T401" s="23">
        <f t="shared" si="556"/>
        <v>0</v>
      </c>
      <c r="U401" s="23">
        <f t="shared" si="557"/>
        <v>0</v>
      </c>
      <c r="V401" s="23">
        <f t="shared" si="558"/>
        <v>0</v>
      </c>
      <c r="W401" s="23">
        <f t="shared" si="559"/>
        <v>0</v>
      </c>
      <c r="X401" s="23">
        <f t="shared" si="560"/>
        <v>0</v>
      </c>
      <c r="Y401" s="23">
        <f t="shared" si="561"/>
        <v>0</v>
      </c>
      <c r="Z401" s="23">
        <f t="shared" si="562"/>
        <v>0</v>
      </c>
      <c r="AA401" s="23">
        <f t="shared" si="563"/>
        <v>0</v>
      </c>
      <c r="AB401" s="23">
        <f t="shared" si="564"/>
        <v>0</v>
      </c>
      <c r="AC401" s="23">
        <f t="shared" si="566"/>
        <v>0</v>
      </c>
      <c r="AD401" s="23">
        <f t="shared" si="565"/>
        <v>0</v>
      </c>
      <c r="AE401" s="14"/>
      <c r="AF401" s="14"/>
      <c r="AG401" s="324" t="str">
        <f t="shared" si="567"/>
        <v>Indoor taps</v>
      </c>
      <c r="AH401" s="324">
        <f t="shared" si="567"/>
        <v>0</v>
      </c>
      <c r="AI401" s="324">
        <f>BX386</f>
        <v>0</v>
      </c>
      <c r="AJ401" s="324">
        <f t="shared" si="568"/>
        <v>0</v>
      </c>
      <c r="AK401" s="505"/>
      <c r="AL401" s="505"/>
      <c r="AM401" s="505"/>
      <c r="AN401" s="505"/>
      <c r="AO401" s="505"/>
      <c r="AP401" s="505"/>
      <c r="AQ401" s="505"/>
      <c r="AR401" s="505"/>
      <c r="AS401" s="505"/>
      <c r="AT401" s="505"/>
      <c r="AU401" s="505"/>
      <c r="AV401" s="505"/>
      <c r="AW401" s="14"/>
      <c r="AX401" s="14"/>
      <c r="AY401" s="14"/>
      <c r="AZ401" s="14"/>
      <c r="BA401" s="14"/>
      <c r="BB401" s="14"/>
      <c r="BC401" s="14"/>
      <c r="BD401" s="3"/>
      <c r="BE401" s="514"/>
      <c r="BF401" s="514"/>
      <c r="BG401" s="514"/>
      <c r="BH401" s="125"/>
      <c r="BI401" s="515"/>
      <c r="BJ401" s="515"/>
      <c r="BK401" s="515"/>
      <c r="BL401" s="515"/>
      <c r="BM401" s="515"/>
      <c r="BN401" s="515"/>
      <c r="BO401" s="515"/>
      <c r="BP401" s="515"/>
      <c r="BQ401" s="515"/>
      <c r="BR401" s="515"/>
      <c r="BS401" s="515"/>
      <c r="BT401" s="515"/>
      <c r="BU401" s="515"/>
      <c r="BV401" s="515"/>
      <c r="BW401" s="515"/>
      <c r="BX401" s="515"/>
      <c r="BY401" s="515"/>
      <c r="BZ401" s="515"/>
      <c r="CA401" s="515"/>
      <c r="CB401" s="515"/>
      <c r="CC401" s="515"/>
      <c r="CD401" s="515"/>
      <c r="CE401" s="515"/>
      <c r="CF401" s="515"/>
      <c r="CG401" s="515"/>
      <c r="CH401" s="515"/>
      <c r="CI401" s="515"/>
      <c r="CJ401" s="515"/>
      <c r="CK401" s="515"/>
      <c r="CL401" s="515"/>
      <c r="CM401" s="515"/>
      <c r="CN401" s="515"/>
      <c r="CO401" s="515"/>
      <c r="CP401" s="515"/>
      <c r="CQ401" s="515"/>
      <c r="CR401" s="515"/>
      <c r="CS401" s="515"/>
      <c r="CT401" s="515"/>
      <c r="CU401" s="515"/>
      <c r="CV401" s="515"/>
      <c r="CW401" s="515"/>
      <c r="CX401" s="515"/>
      <c r="CY401" s="515"/>
      <c r="CZ401" s="515"/>
      <c r="DA401" s="515"/>
      <c r="DB401" s="515"/>
      <c r="DC401" s="515"/>
      <c r="DD401" s="515"/>
      <c r="DE401" s="515"/>
      <c r="DF401" s="515"/>
      <c r="DG401" s="125"/>
      <c r="DH401" s="125"/>
      <c r="DI401" s="27"/>
      <c r="DJ401" s="7"/>
      <c r="DK401" s="7"/>
      <c r="DL401" s="7"/>
      <c r="DM401" s="7"/>
      <c r="DN401" s="7"/>
      <c r="DO401" s="7"/>
      <c r="DP401" s="7"/>
      <c r="DQ401" s="2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row>
    <row r="402" spans="1:155" s="566" customFormat="1" ht="27.75" hidden="1" customHeight="1">
      <c r="A402" s="188"/>
      <c r="B402" s="180"/>
      <c r="C402" s="180"/>
      <c r="D402" s="180"/>
      <c r="E402" s="27"/>
      <c r="F402" s="27"/>
      <c r="G402" s="70"/>
      <c r="H402" s="27"/>
      <c r="I402" s="27"/>
      <c r="J402" s="27"/>
      <c r="K402" s="27"/>
      <c r="L402" s="180"/>
      <c r="M402" s="180"/>
      <c r="N402" s="14">
        <f>SUM(F407:F410)</f>
        <v>0</v>
      </c>
      <c r="O402" s="14"/>
      <c r="P402" s="234" t="s">
        <v>188</v>
      </c>
      <c r="Q402" s="23">
        <f t="shared" si="553"/>
        <v>0</v>
      </c>
      <c r="R402" s="23">
        <f t="shared" si="554"/>
        <v>0</v>
      </c>
      <c r="S402" s="23">
        <f t="shared" si="555"/>
        <v>0</v>
      </c>
      <c r="T402" s="23">
        <f t="shared" si="556"/>
        <v>0</v>
      </c>
      <c r="U402" s="23">
        <f t="shared" si="557"/>
        <v>0</v>
      </c>
      <c r="V402" s="23">
        <f t="shared" si="558"/>
        <v>0</v>
      </c>
      <c r="W402" s="23">
        <f t="shared" si="559"/>
        <v>0</v>
      </c>
      <c r="X402" s="23">
        <f t="shared" si="560"/>
        <v>0</v>
      </c>
      <c r="Y402" s="23">
        <f t="shared" si="561"/>
        <v>0</v>
      </c>
      <c r="Z402" s="23">
        <f t="shared" si="562"/>
        <v>0</v>
      </c>
      <c r="AA402" s="23">
        <f t="shared" si="563"/>
        <v>0</v>
      </c>
      <c r="AB402" s="23">
        <f t="shared" si="564"/>
        <v>0</v>
      </c>
      <c r="AC402" s="23">
        <f t="shared" si="566"/>
        <v>0</v>
      </c>
      <c r="AD402" s="23">
        <f t="shared" si="565"/>
        <v>0</v>
      </c>
      <c r="AE402" s="14"/>
      <c r="AF402" s="14"/>
      <c r="AG402" s="324" t="str">
        <f t="shared" si="567"/>
        <v>Showers</v>
      </c>
      <c r="AH402" s="324">
        <f t="shared" si="567"/>
        <v>0</v>
      </c>
      <c r="AI402" s="324">
        <f>CA386</f>
        <v>0</v>
      </c>
      <c r="AJ402" s="324">
        <f t="shared" si="568"/>
        <v>0</v>
      </c>
      <c r="AK402" s="505"/>
      <c r="AL402" s="505"/>
      <c r="AM402" s="505"/>
      <c r="AN402" s="505"/>
      <c r="AO402" s="505"/>
      <c r="AP402" s="505"/>
      <c r="AQ402" s="505"/>
      <c r="AR402" s="505"/>
      <c r="AS402" s="505"/>
      <c r="AT402" s="505"/>
      <c r="AU402" s="505"/>
      <c r="AV402" s="505"/>
      <c r="AW402" s="14"/>
      <c r="AX402" s="14"/>
      <c r="AY402" s="14"/>
      <c r="AZ402" s="14"/>
      <c r="BA402" s="14"/>
      <c r="BB402" s="14"/>
      <c r="BC402" s="14"/>
      <c r="BD402" s="3"/>
      <c r="BE402" s="514"/>
      <c r="BF402" s="514"/>
      <c r="BG402" s="514"/>
      <c r="BH402" s="125"/>
      <c r="BI402" s="515"/>
      <c r="BJ402" s="515"/>
      <c r="BK402" s="515"/>
      <c r="BL402" s="515"/>
      <c r="BM402" s="515"/>
      <c r="BN402" s="515"/>
      <c r="BO402" s="515"/>
      <c r="BP402" s="515"/>
      <c r="BQ402" s="515"/>
      <c r="BR402" s="515"/>
      <c r="BS402" s="515"/>
      <c r="BT402" s="515"/>
      <c r="BU402" s="515"/>
      <c r="BV402" s="515"/>
      <c r="BW402" s="515"/>
      <c r="BX402" s="515"/>
      <c r="BY402" s="515"/>
      <c r="BZ402" s="515"/>
      <c r="CA402" s="515"/>
      <c r="CB402" s="515"/>
      <c r="CC402" s="515"/>
      <c r="CD402" s="515"/>
      <c r="CE402" s="515"/>
      <c r="CF402" s="515"/>
      <c r="CG402" s="515"/>
      <c r="CH402" s="515"/>
      <c r="CI402" s="515"/>
      <c r="CJ402" s="515"/>
      <c r="CK402" s="515"/>
      <c r="CL402" s="515"/>
      <c r="CM402" s="515"/>
      <c r="CN402" s="515"/>
      <c r="CO402" s="515"/>
      <c r="CP402" s="515"/>
      <c r="CQ402" s="515"/>
      <c r="CR402" s="515"/>
      <c r="CS402" s="515"/>
      <c r="CT402" s="515"/>
      <c r="CU402" s="515"/>
      <c r="CV402" s="515"/>
      <c r="CW402" s="515"/>
      <c r="CX402" s="515"/>
      <c r="CY402" s="515"/>
      <c r="CZ402" s="515"/>
      <c r="DA402" s="515"/>
      <c r="DB402" s="515"/>
      <c r="DC402" s="515"/>
      <c r="DD402" s="515"/>
      <c r="DE402" s="515"/>
      <c r="DF402" s="515"/>
      <c r="DG402" s="125"/>
      <c r="DH402" s="125"/>
      <c r="DI402" s="27"/>
      <c r="DJ402" s="7"/>
      <c r="DK402" s="7"/>
      <c r="DL402" s="7"/>
      <c r="DM402" s="7"/>
      <c r="DN402" s="7"/>
      <c r="DO402" s="7"/>
      <c r="DP402" s="7"/>
      <c r="DQ402" s="2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row>
    <row r="403" spans="1:155" s="566" customFormat="1" hidden="1">
      <c r="A403" s="188"/>
      <c r="B403" s="27"/>
      <c r="C403" s="27"/>
      <c r="D403" s="27"/>
      <c r="E403" s="27"/>
      <c r="F403" s="27"/>
      <c r="G403" s="70"/>
      <c r="H403" s="27"/>
      <c r="I403" s="27"/>
      <c r="J403" s="27"/>
      <c r="K403" s="27"/>
      <c r="L403" s="180"/>
      <c r="M403" s="180"/>
      <c r="N403" s="14"/>
      <c r="O403" s="14"/>
      <c r="P403" s="234" t="s">
        <v>189</v>
      </c>
      <c r="Q403" s="23">
        <f t="shared" si="553"/>
        <v>0</v>
      </c>
      <c r="R403" s="23">
        <f t="shared" si="554"/>
        <v>0</v>
      </c>
      <c r="S403" s="23">
        <f t="shared" si="555"/>
        <v>0</v>
      </c>
      <c r="T403" s="23">
        <f t="shared" si="556"/>
        <v>0</v>
      </c>
      <c r="U403" s="23">
        <f t="shared" si="557"/>
        <v>0</v>
      </c>
      <c r="V403" s="23">
        <f t="shared" si="558"/>
        <v>0</v>
      </c>
      <c r="W403" s="23">
        <f t="shared" si="559"/>
        <v>0</v>
      </c>
      <c r="X403" s="23">
        <f t="shared" si="560"/>
        <v>0</v>
      </c>
      <c r="Y403" s="23">
        <f t="shared" si="561"/>
        <v>0</v>
      </c>
      <c r="Z403" s="23">
        <f t="shared" si="562"/>
        <v>0</v>
      </c>
      <c r="AA403" s="23">
        <f t="shared" si="563"/>
        <v>0</v>
      </c>
      <c r="AB403" s="23">
        <f t="shared" si="564"/>
        <v>0</v>
      </c>
      <c r="AC403" s="23">
        <f t="shared" si="566"/>
        <v>0</v>
      </c>
      <c r="AD403" s="23">
        <f t="shared" si="565"/>
        <v>0</v>
      </c>
      <c r="AE403" s="14"/>
      <c r="AF403" s="14"/>
      <c r="AG403" s="324" t="str">
        <f t="shared" si="567"/>
        <v>Heat Rejection</v>
      </c>
      <c r="AH403" s="324">
        <f t="shared" si="567"/>
        <v>0</v>
      </c>
      <c r="AI403" s="324">
        <f>CD386</f>
        <v>0</v>
      </c>
      <c r="AJ403" s="324">
        <f t="shared" si="568"/>
        <v>0</v>
      </c>
      <c r="AK403" s="505"/>
      <c r="AL403" s="505"/>
      <c r="AM403" s="505"/>
      <c r="AN403" s="505"/>
      <c r="AO403" s="517"/>
      <c r="AP403" s="517"/>
      <c r="AQ403" s="517"/>
      <c r="AR403" s="517"/>
      <c r="AS403" s="517"/>
      <c r="AT403" s="517"/>
      <c r="AU403" s="517"/>
      <c r="AV403" s="517"/>
      <c r="AW403" s="493"/>
      <c r="AX403" s="493"/>
      <c r="AY403" s="493"/>
      <c r="AZ403" s="493"/>
      <c r="BA403" s="493"/>
      <c r="BB403" s="493"/>
      <c r="BC403" s="493"/>
      <c r="BD403" s="3"/>
      <c r="BE403" s="514"/>
      <c r="BF403" s="514"/>
      <c r="BG403" s="514"/>
      <c r="BH403" s="125"/>
      <c r="BI403" s="515"/>
      <c r="BJ403" s="515"/>
      <c r="BK403" s="515"/>
      <c r="BL403" s="515"/>
      <c r="BM403" s="515"/>
      <c r="BN403" s="515"/>
      <c r="BO403" s="515"/>
      <c r="BP403" s="515"/>
      <c r="BQ403" s="515"/>
      <c r="BR403" s="515"/>
      <c r="BS403" s="515"/>
      <c r="BT403" s="515"/>
      <c r="BU403" s="515"/>
      <c r="BV403" s="515"/>
      <c r="BW403" s="515"/>
      <c r="BX403" s="515"/>
      <c r="BY403" s="515"/>
      <c r="BZ403" s="515"/>
      <c r="CA403" s="515"/>
      <c r="CB403" s="515"/>
      <c r="CC403" s="515"/>
      <c r="CD403" s="515"/>
      <c r="CE403" s="515"/>
      <c r="CF403" s="515"/>
      <c r="CG403" s="515"/>
      <c r="CH403" s="515"/>
      <c r="CI403" s="515"/>
      <c r="CJ403" s="515"/>
      <c r="CK403" s="515"/>
      <c r="CL403" s="515"/>
      <c r="CM403" s="515"/>
      <c r="CN403" s="515"/>
      <c r="CO403" s="515"/>
      <c r="CP403" s="515"/>
      <c r="CQ403" s="515"/>
      <c r="CR403" s="515"/>
      <c r="CS403" s="515"/>
      <c r="CT403" s="515"/>
      <c r="CU403" s="515"/>
      <c r="CV403" s="515"/>
      <c r="CW403" s="515"/>
      <c r="CX403" s="515"/>
      <c r="CY403" s="515"/>
      <c r="CZ403" s="515"/>
      <c r="DA403" s="515"/>
      <c r="DB403" s="515"/>
      <c r="DC403" s="515"/>
      <c r="DD403" s="515"/>
      <c r="DE403" s="515"/>
      <c r="DF403" s="515"/>
      <c r="DG403" s="125"/>
      <c r="DH403" s="125"/>
      <c r="DI403" s="27"/>
      <c r="DJ403" s="7"/>
      <c r="DK403" s="7"/>
      <c r="DL403" s="7"/>
      <c r="DM403" s="7"/>
      <c r="DN403" s="7"/>
      <c r="DO403" s="7"/>
      <c r="DP403" s="7"/>
      <c r="DQ403" s="2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row>
    <row r="404" spans="1:155" s="566" customFormat="1" hidden="1">
      <c r="A404" s="188"/>
      <c r="B404" s="518"/>
      <c r="C404" s="518"/>
      <c r="D404" s="518"/>
      <c r="E404" s="518"/>
      <c r="F404" s="519"/>
      <c r="G404" s="70"/>
      <c r="H404" s="27"/>
      <c r="I404" s="27"/>
      <c r="J404" s="27"/>
      <c r="K404" s="27"/>
      <c r="L404" s="180"/>
      <c r="M404" s="180"/>
      <c r="N404" s="14"/>
      <c r="O404" s="14"/>
      <c r="P404" s="234" t="s">
        <v>190</v>
      </c>
      <c r="Q404" s="23">
        <f t="shared" si="553"/>
        <v>0</v>
      </c>
      <c r="R404" s="23">
        <f t="shared" si="554"/>
        <v>0</v>
      </c>
      <c r="S404" s="23">
        <f t="shared" si="555"/>
        <v>0</v>
      </c>
      <c r="T404" s="23">
        <f t="shared" si="556"/>
        <v>0</v>
      </c>
      <c r="U404" s="23">
        <f t="shared" si="557"/>
        <v>0</v>
      </c>
      <c r="V404" s="23">
        <f t="shared" si="558"/>
        <v>0</v>
      </c>
      <c r="W404" s="23">
        <f t="shared" si="559"/>
        <v>0</v>
      </c>
      <c r="X404" s="23">
        <f t="shared" si="560"/>
        <v>0</v>
      </c>
      <c r="Y404" s="23">
        <f t="shared" si="561"/>
        <v>0</v>
      </c>
      <c r="Z404" s="23">
        <f t="shared" si="562"/>
        <v>0</v>
      </c>
      <c r="AA404" s="23">
        <f t="shared" si="563"/>
        <v>0</v>
      </c>
      <c r="AB404" s="23">
        <f t="shared" si="564"/>
        <v>0</v>
      </c>
      <c r="AC404" s="23">
        <f t="shared" si="566"/>
        <v>0</v>
      </c>
      <c r="AD404" s="23">
        <f t="shared" si="565"/>
        <v>0</v>
      </c>
      <c r="AE404" s="14"/>
      <c r="AF404" s="14"/>
      <c r="AG404" s="324" t="str">
        <f t="shared" si="567"/>
        <v>Irrigation</v>
      </c>
      <c r="AH404" s="324">
        <f t="shared" si="567"/>
        <v>0</v>
      </c>
      <c r="AI404" s="324">
        <f>CG386</f>
        <v>0</v>
      </c>
      <c r="AJ404" s="324">
        <f t="shared" si="568"/>
        <v>0</v>
      </c>
      <c r="AK404" s="505"/>
      <c r="AL404" s="505"/>
      <c r="AM404" s="505"/>
      <c r="AN404" s="505"/>
      <c r="AO404" s="505"/>
      <c r="AP404" s="505"/>
      <c r="AQ404" s="505"/>
      <c r="AR404" s="505"/>
      <c r="AS404" s="505"/>
      <c r="AT404" s="505"/>
      <c r="AU404" s="505"/>
      <c r="AV404" s="505"/>
      <c r="AW404" s="14"/>
      <c r="AX404" s="14"/>
      <c r="AY404" s="14"/>
      <c r="AZ404" s="14"/>
      <c r="BA404" s="14"/>
      <c r="BB404" s="14"/>
      <c r="BC404" s="14"/>
      <c r="BD404" s="3"/>
      <c r="BE404" s="514"/>
      <c r="BF404" s="514"/>
      <c r="BG404" s="514"/>
      <c r="BH404" s="125"/>
      <c r="BI404" s="515"/>
      <c r="BJ404" s="515"/>
      <c r="BK404" s="515"/>
      <c r="BL404" s="515"/>
      <c r="BM404" s="515"/>
      <c r="BN404" s="515"/>
      <c r="BO404" s="515"/>
      <c r="BP404" s="520"/>
      <c r="BQ404" s="520"/>
      <c r="BR404" s="520"/>
      <c r="BS404" s="520"/>
      <c r="BT404" s="520"/>
      <c r="BU404" s="520"/>
      <c r="BV404" s="520"/>
      <c r="BW404" s="520"/>
      <c r="BX404" s="520"/>
      <c r="BY404" s="520"/>
      <c r="BZ404" s="520"/>
      <c r="CA404" s="520"/>
      <c r="CB404" s="520"/>
      <c r="CC404" s="520"/>
      <c r="CD404" s="520"/>
      <c r="CE404" s="520"/>
      <c r="CF404" s="520"/>
      <c r="CG404" s="520"/>
      <c r="CH404" s="520"/>
      <c r="CI404" s="520"/>
      <c r="CJ404" s="520"/>
      <c r="CK404" s="520"/>
      <c r="CL404" s="520"/>
      <c r="CM404" s="520"/>
      <c r="CN404" s="520"/>
      <c r="CO404" s="520"/>
      <c r="CP404" s="520"/>
      <c r="CQ404" s="520"/>
      <c r="CR404" s="520"/>
      <c r="CS404" s="520"/>
      <c r="CT404" s="520"/>
      <c r="CU404" s="520"/>
      <c r="CV404" s="520"/>
      <c r="CW404" s="520"/>
      <c r="CX404" s="520"/>
      <c r="CY404" s="520"/>
      <c r="CZ404" s="515"/>
      <c r="DA404" s="515"/>
      <c r="DB404" s="515"/>
      <c r="DC404" s="515"/>
      <c r="DD404" s="515"/>
      <c r="DE404" s="515"/>
      <c r="DF404" s="515"/>
      <c r="DG404" s="125"/>
      <c r="DH404" s="125"/>
      <c r="DI404" s="27"/>
      <c r="DJ404" s="7"/>
      <c r="DK404" s="7"/>
      <c r="DL404" s="7"/>
      <c r="DM404" s="7"/>
      <c r="DN404" s="7"/>
      <c r="DO404" s="7"/>
      <c r="DP404" s="7"/>
      <c r="DQ404" s="2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row>
    <row r="405" spans="1:155" s="566" customFormat="1" ht="24.75" hidden="1" customHeight="1">
      <c r="A405" s="180"/>
      <c r="B405" s="628"/>
      <c r="C405" s="628"/>
      <c r="D405" s="628"/>
      <c r="E405" s="190"/>
      <c r="F405" s="521"/>
      <c r="G405" s="180"/>
      <c r="H405" s="180"/>
      <c r="I405" s="180"/>
      <c r="J405" s="180"/>
      <c r="K405" s="180"/>
      <c r="L405" s="180"/>
      <c r="M405" s="180"/>
      <c r="N405" s="14"/>
      <c r="O405" s="14"/>
      <c r="P405" s="234" t="s">
        <v>191</v>
      </c>
      <c r="Q405" s="23">
        <f t="shared" si="553"/>
        <v>0</v>
      </c>
      <c r="R405" s="23">
        <f t="shared" si="554"/>
        <v>0</v>
      </c>
      <c r="S405" s="23">
        <f t="shared" si="555"/>
        <v>0</v>
      </c>
      <c r="T405" s="23">
        <f t="shared" si="556"/>
        <v>0</v>
      </c>
      <c r="U405" s="23">
        <f t="shared" si="557"/>
        <v>0</v>
      </c>
      <c r="V405" s="23">
        <f t="shared" si="558"/>
        <v>0</v>
      </c>
      <c r="W405" s="23">
        <f t="shared" si="559"/>
        <v>0</v>
      </c>
      <c r="X405" s="23">
        <f t="shared" si="560"/>
        <v>0</v>
      </c>
      <c r="Y405" s="23">
        <f t="shared" si="561"/>
        <v>0</v>
      </c>
      <c r="Z405" s="23">
        <f t="shared" si="562"/>
        <v>0</v>
      </c>
      <c r="AA405" s="23">
        <f t="shared" si="563"/>
        <v>0</v>
      </c>
      <c r="AB405" s="23">
        <f t="shared" si="564"/>
        <v>0</v>
      </c>
      <c r="AC405" s="23">
        <f t="shared" si="566"/>
        <v>0</v>
      </c>
      <c r="AD405" s="23">
        <f t="shared" si="565"/>
        <v>0</v>
      </c>
      <c r="AE405" s="14"/>
      <c r="AF405" s="14"/>
      <c r="AG405" s="324" t="str">
        <f t="shared" si="567"/>
        <v>Swimming pool</v>
      </c>
      <c r="AH405" s="324">
        <f>D245</f>
        <v>0</v>
      </c>
      <c r="AI405" s="324">
        <f>CJ386</f>
        <v>0</v>
      </c>
      <c r="AJ405" s="324">
        <f t="shared" si="568"/>
        <v>0</v>
      </c>
      <c r="AK405" s="505"/>
      <c r="AL405" s="505"/>
      <c r="AM405" s="505"/>
      <c r="AN405" s="505"/>
      <c r="AO405" s="505"/>
      <c r="AP405" s="505"/>
      <c r="AQ405" s="505"/>
      <c r="AR405" s="505"/>
      <c r="AS405" s="505"/>
      <c r="AT405" s="505"/>
      <c r="AU405" s="505"/>
      <c r="AV405" s="505"/>
      <c r="AW405" s="14"/>
      <c r="AX405" s="14"/>
      <c r="AY405" s="14"/>
      <c r="AZ405" s="14"/>
      <c r="BA405" s="14"/>
      <c r="BB405" s="14"/>
      <c r="BC405" s="14"/>
      <c r="BD405" s="3"/>
      <c r="BE405" s="514"/>
      <c r="BF405" s="514"/>
      <c r="BG405" s="514"/>
      <c r="BH405" s="125"/>
      <c r="BI405" s="515"/>
      <c r="BJ405" s="515"/>
      <c r="BK405" s="515"/>
      <c r="BL405" s="515"/>
      <c r="BM405" s="515"/>
      <c r="BN405" s="515"/>
      <c r="BO405" s="515"/>
      <c r="BP405" s="515"/>
      <c r="BQ405" s="515"/>
      <c r="BR405" s="515"/>
      <c r="BS405" s="515"/>
      <c r="BT405" s="515"/>
      <c r="BU405" s="515"/>
      <c r="BV405" s="515"/>
      <c r="BW405" s="515"/>
      <c r="BX405" s="515"/>
      <c r="BY405" s="515"/>
      <c r="BZ405" s="515"/>
      <c r="CA405" s="515"/>
      <c r="CB405" s="515"/>
      <c r="CC405" s="515"/>
      <c r="CD405" s="515"/>
      <c r="CE405" s="515"/>
      <c r="CF405" s="515"/>
      <c r="CG405" s="515"/>
      <c r="CH405" s="515"/>
      <c r="CI405" s="515"/>
      <c r="CJ405" s="515"/>
      <c r="CK405" s="515"/>
      <c r="CL405" s="515"/>
      <c r="CM405" s="515"/>
      <c r="CN405" s="515"/>
      <c r="CO405" s="515"/>
      <c r="CP405" s="515"/>
      <c r="CQ405" s="515"/>
      <c r="CR405" s="515"/>
      <c r="CS405" s="515"/>
      <c r="CT405" s="515"/>
      <c r="CU405" s="515"/>
      <c r="CV405" s="515"/>
      <c r="CW405" s="515"/>
      <c r="CX405" s="515"/>
      <c r="CY405" s="515"/>
      <c r="CZ405" s="515"/>
      <c r="DA405" s="515"/>
      <c r="DB405" s="515"/>
      <c r="DC405" s="515"/>
      <c r="DD405" s="515"/>
      <c r="DE405" s="515"/>
      <c r="DF405" s="515"/>
      <c r="DG405" s="125"/>
      <c r="DH405" s="125"/>
      <c r="DI405" s="27"/>
      <c r="DJ405" s="7"/>
      <c r="DK405" s="7"/>
      <c r="DL405" s="7"/>
      <c r="DM405" s="7"/>
      <c r="DN405" s="7"/>
      <c r="DO405" s="7"/>
      <c r="DP405" s="7"/>
      <c r="DQ405" s="2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row>
    <row r="406" spans="1:155" s="566" customFormat="1" ht="28.5" hidden="1" customHeight="1">
      <c r="A406" s="188"/>
      <c r="B406" s="75"/>
      <c r="C406" s="190"/>
      <c r="D406" s="190"/>
      <c r="E406" s="190"/>
      <c r="F406" s="190"/>
      <c r="G406" s="70"/>
      <c r="H406" s="27"/>
      <c r="I406" s="27"/>
      <c r="J406" s="27"/>
      <c r="K406" s="27"/>
      <c r="L406" s="180"/>
      <c r="M406" s="180"/>
      <c r="N406" s="14"/>
      <c r="O406" s="14"/>
      <c r="P406" s="522" t="s">
        <v>23</v>
      </c>
      <c r="Q406" s="523">
        <f t="shared" ref="Q406:AB406" si="569">SUM(Q394:Q405)</f>
        <v>0</v>
      </c>
      <c r="R406" s="523">
        <f t="shared" si="569"/>
        <v>0</v>
      </c>
      <c r="S406" s="523">
        <f t="shared" si="569"/>
        <v>0</v>
      </c>
      <c r="T406" s="523">
        <f t="shared" si="569"/>
        <v>0</v>
      </c>
      <c r="U406" s="523">
        <f t="shared" si="569"/>
        <v>0</v>
      </c>
      <c r="V406" s="523">
        <f t="shared" si="569"/>
        <v>0</v>
      </c>
      <c r="W406" s="523">
        <f t="shared" si="569"/>
        <v>0</v>
      </c>
      <c r="X406" s="523">
        <f t="shared" si="569"/>
        <v>0</v>
      </c>
      <c r="Y406" s="523">
        <f t="shared" si="569"/>
        <v>0</v>
      </c>
      <c r="Z406" s="523">
        <f t="shared" si="569"/>
        <v>0</v>
      </c>
      <c r="AA406" s="523">
        <f t="shared" si="569"/>
        <v>0</v>
      </c>
      <c r="AB406" s="523">
        <f t="shared" si="569"/>
        <v>0</v>
      </c>
      <c r="AC406" s="523">
        <f>SUM(AC394:AC405)</f>
        <v>0</v>
      </c>
      <c r="AD406" s="523">
        <f>SUM(AD394:AD405)</f>
        <v>0</v>
      </c>
      <c r="AE406" s="14"/>
      <c r="AF406" s="14"/>
      <c r="AG406" s="324" t="str">
        <f t="shared" si="567"/>
        <v>Laundry Facilities</v>
      </c>
      <c r="AH406" s="324">
        <f>C344</f>
        <v>0</v>
      </c>
      <c r="AI406" s="324">
        <f>CM386</f>
        <v>0</v>
      </c>
      <c r="AJ406" s="324">
        <f t="shared" si="568"/>
        <v>0</v>
      </c>
      <c r="AK406" s="505"/>
      <c r="AL406" s="505"/>
      <c r="AM406" s="505"/>
      <c r="AN406" s="505"/>
      <c r="AO406" s="505"/>
      <c r="AP406" s="505"/>
      <c r="AQ406" s="505"/>
      <c r="AR406" s="505"/>
      <c r="AS406" s="505"/>
      <c r="AT406" s="505"/>
      <c r="AU406" s="505"/>
      <c r="AV406" s="505"/>
      <c r="AW406" s="14"/>
      <c r="AX406" s="14"/>
      <c r="AY406" s="14"/>
      <c r="AZ406" s="14"/>
      <c r="BA406" s="14"/>
      <c r="BB406" s="14"/>
      <c r="BC406" s="14"/>
      <c r="BD406" s="3"/>
      <c r="BE406" s="514"/>
      <c r="BF406" s="514"/>
      <c r="BG406" s="514"/>
      <c r="BH406" s="125"/>
      <c r="BI406" s="515"/>
      <c r="BJ406" s="515"/>
      <c r="BK406" s="515"/>
      <c r="BL406" s="515"/>
      <c r="BM406" s="515"/>
      <c r="BN406" s="515"/>
      <c r="BO406" s="515"/>
      <c r="BP406" s="515"/>
      <c r="BQ406" s="515"/>
      <c r="BR406" s="515"/>
      <c r="BS406" s="515"/>
      <c r="BT406" s="515"/>
      <c r="BU406" s="515"/>
      <c r="BV406" s="515"/>
      <c r="BW406" s="515"/>
      <c r="BX406" s="515"/>
      <c r="BY406" s="515"/>
      <c r="BZ406" s="515"/>
      <c r="CA406" s="515"/>
      <c r="CB406" s="515"/>
      <c r="CC406" s="515"/>
      <c r="CD406" s="515"/>
      <c r="CE406" s="515"/>
      <c r="CF406" s="515"/>
      <c r="CG406" s="515"/>
      <c r="CH406" s="515"/>
      <c r="CI406" s="515"/>
      <c r="CJ406" s="515"/>
      <c r="CK406" s="515"/>
      <c r="CL406" s="515"/>
      <c r="CM406" s="515"/>
      <c r="CN406" s="515"/>
      <c r="CO406" s="515"/>
      <c r="CP406" s="515"/>
      <c r="CQ406" s="515"/>
      <c r="CR406" s="515"/>
      <c r="CS406" s="515"/>
      <c r="CT406" s="515"/>
      <c r="CU406" s="515"/>
      <c r="CV406" s="515"/>
      <c r="CW406" s="515"/>
      <c r="CX406" s="515"/>
      <c r="CY406" s="515"/>
      <c r="CZ406" s="515"/>
      <c r="DA406" s="515"/>
      <c r="DB406" s="515"/>
      <c r="DC406" s="515"/>
      <c r="DD406" s="515"/>
      <c r="DE406" s="515"/>
      <c r="DF406" s="515"/>
      <c r="DG406" s="125"/>
      <c r="DH406" s="125"/>
      <c r="DI406" s="27"/>
      <c r="DJ406" s="7"/>
      <c r="DK406" s="7"/>
      <c r="DL406" s="7"/>
      <c r="DM406" s="7"/>
      <c r="DN406" s="7"/>
      <c r="DO406" s="7"/>
      <c r="DP406" s="7"/>
      <c r="DQ406" s="2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row>
    <row r="407" spans="1:155" s="566" customFormat="1" hidden="1">
      <c r="A407" s="188"/>
      <c r="B407" s="524"/>
      <c r="C407" s="639"/>
      <c r="D407" s="640"/>
      <c r="E407" s="525"/>
      <c r="F407" s="271"/>
      <c r="G407" s="70"/>
      <c r="H407" s="27"/>
      <c r="I407" s="27"/>
      <c r="J407" s="27"/>
      <c r="K407" s="27"/>
      <c r="L407" s="180"/>
      <c r="M407" s="180"/>
      <c r="N407" s="14"/>
      <c r="O407" s="14"/>
      <c r="P407" s="14"/>
      <c r="Q407" s="14"/>
      <c r="R407" s="14"/>
      <c r="S407" s="14"/>
      <c r="T407" s="14"/>
      <c r="U407" s="14"/>
      <c r="V407" s="14"/>
      <c r="W407" s="14"/>
      <c r="X407" s="14"/>
      <c r="Y407" s="14"/>
      <c r="Z407" s="14"/>
      <c r="AA407" s="14"/>
      <c r="AB407" s="14"/>
      <c r="AC407" s="14"/>
      <c r="AD407" s="14"/>
      <c r="AE407" s="14"/>
      <c r="AF407" s="14"/>
      <c r="AG407" s="324" t="str">
        <f t="shared" si="567"/>
        <v>Large Kitchens</v>
      </c>
      <c r="AH407" s="324">
        <f>C345</f>
        <v>0</v>
      </c>
      <c r="AI407" s="324">
        <f>CP386</f>
        <v>0</v>
      </c>
      <c r="AJ407" s="324">
        <f t="shared" si="568"/>
        <v>0</v>
      </c>
      <c r="AK407" s="505"/>
      <c r="AL407" s="505"/>
      <c r="AM407" s="505"/>
      <c r="AN407" s="505"/>
      <c r="AO407" s="505"/>
      <c r="AP407" s="505"/>
      <c r="AQ407" s="505"/>
      <c r="AR407" s="505"/>
      <c r="AS407" s="505"/>
      <c r="AT407" s="505"/>
      <c r="AU407" s="505"/>
      <c r="AV407" s="505"/>
      <c r="AW407" s="14"/>
      <c r="AX407" s="14"/>
      <c r="AY407" s="14"/>
      <c r="AZ407" s="14"/>
      <c r="BA407" s="14"/>
      <c r="BB407" s="14"/>
      <c r="BC407" s="14"/>
      <c r="BD407" s="3"/>
      <c r="BE407" s="514"/>
      <c r="BF407" s="514"/>
      <c r="BG407" s="514"/>
      <c r="BH407" s="125"/>
      <c r="BI407" s="515"/>
      <c r="BJ407" s="515"/>
      <c r="BK407" s="515"/>
      <c r="BL407" s="515"/>
      <c r="BM407" s="515"/>
      <c r="BN407" s="515"/>
      <c r="BO407" s="515"/>
      <c r="BP407" s="515"/>
      <c r="BQ407" s="515"/>
      <c r="BR407" s="515"/>
      <c r="BS407" s="515"/>
      <c r="BT407" s="515"/>
      <c r="BU407" s="515"/>
      <c r="BV407" s="515"/>
      <c r="BW407" s="515"/>
      <c r="BX407" s="515"/>
      <c r="BY407" s="515"/>
      <c r="BZ407" s="515"/>
      <c r="CA407" s="515"/>
      <c r="CB407" s="515"/>
      <c r="CC407" s="515"/>
      <c r="CD407" s="515"/>
      <c r="CE407" s="515"/>
      <c r="CF407" s="515"/>
      <c r="CG407" s="515"/>
      <c r="CH407" s="515"/>
      <c r="CI407" s="515"/>
      <c r="CJ407" s="515"/>
      <c r="CK407" s="515"/>
      <c r="CL407" s="515"/>
      <c r="CM407" s="515"/>
      <c r="CN407" s="515"/>
      <c r="CO407" s="515"/>
      <c r="CP407" s="515"/>
      <c r="CQ407" s="515"/>
      <c r="CR407" s="515"/>
      <c r="CS407" s="515"/>
      <c r="CT407" s="515"/>
      <c r="CU407" s="515"/>
      <c r="CV407" s="515"/>
      <c r="CW407" s="515"/>
      <c r="CX407" s="515"/>
      <c r="CY407" s="515"/>
      <c r="CZ407" s="515"/>
      <c r="DA407" s="515"/>
      <c r="DB407" s="515"/>
      <c r="DC407" s="515"/>
      <c r="DD407" s="515"/>
      <c r="DE407" s="515"/>
      <c r="DF407" s="515"/>
      <c r="DG407" s="125"/>
      <c r="DH407" s="125"/>
      <c r="DI407" s="27"/>
      <c r="DJ407" s="7"/>
      <c r="DK407" s="7"/>
      <c r="DL407" s="7"/>
      <c r="DM407" s="7"/>
      <c r="DN407" s="7"/>
      <c r="DO407" s="7"/>
      <c r="DP407" s="7"/>
      <c r="DQ407" s="2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row>
    <row r="408" spans="1:155" s="566" customFormat="1" ht="15" hidden="1" customHeight="1">
      <c r="A408" s="188"/>
      <c r="B408" s="526"/>
      <c r="C408" s="633"/>
      <c r="D408" s="634"/>
      <c r="E408" s="525"/>
      <c r="F408" s="104"/>
      <c r="G408" s="70"/>
      <c r="H408" s="27"/>
      <c r="I408" s="27"/>
      <c r="J408" s="27"/>
      <c r="K408" s="27"/>
      <c r="L408" s="180"/>
      <c r="M408" s="180"/>
      <c r="N408" s="14"/>
      <c r="O408" s="14"/>
      <c r="P408" s="14"/>
      <c r="Q408" s="14"/>
      <c r="R408" s="14"/>
      <c r="S408" s="14"/>
      <c r="T408" s="14"/>
      <c r="U408" s="14"/>
      <c r="V408" s="14"/>
      <c r="W408" s="14"/>
      <c r="X408" s="14"/>
      <c r="Y408" s="14"/>
      <c r="Z408" s="14"/>
      <c r="AA408" s="14"/>
      <c r="AB408" s="184" t="s">
        <v>585</v>
      </c>
      <c r="AC408" s="184"/>
      <c r="AD408" s="486">
        <f>AD406</f>
        <v>0</v>
      </c>
      <c r="AE408" s="14"/>
      <c r="AF408" s="14"/>
      <c r="AG408" s="324" t="str">
        <f t="shared" si="567"/>
        <v>{Other Water Use 1}</v>
      </c>
      <c r="AH408" s="324">
        <f>C346</f>
        <v>0</v>
      </c>
      <c r="AI408" s="324">
        <f>CS386</f>
        <v>0</v>
      </c>
      <c r="AJ408" s="324">
        <f t="shared" si="568"/>
        <v>0</v>
      </c>
      <c r="AK408" s="505"/>
      <c r="AL408" s="505"/>
      <c r="AM408" s="505"/>
      <c r="AN408" s="505"/>
      <c r="AO408" s="505"/>
      <c r="AP408" s="505"/>
      <c r="AQ408" s="505"/>
      <c r="AR408" s="505"/>
      <c r="AS408" s="505"/>
      <c r="AT408" s="505"/>
      <c r="AU408" s="505"/>
      <c r="AV408" s="505"/>
      <c r="AW408" s="14"/>
      <c r="AX408" s="14"/>
      <c r="AY408" s="14"/>
      <c r="AZ408" s="14"/>
      <c r="BA408" s="14"/>
      <c r="BB408" s="14"/>
      <c r="BC408" s="14"/>
      <c r="BD408" s="3"/>
      <c r="BE408" s="514"/>
      <c r="BF408" s="514"/>
      <c r="BG408" s="514"/>
      <c r="BH408" s="125"/>
      <c r="BI408" s="515"/>
      <c r="BJ408" s="515"/>
      <c r="BK408" s="515"/>
      <c r="BL408" s="515"/>
      <c r="BM408" s="515"/>
      <c r="BN408" s="515"/>
      <c r="BO408" s="515"/>
      <c r="BP408" s="515"/>
      <c r="BQ408" s="515"/>
      <c r="BR408" s="515"/>
      <c r="BS408" s="515"/>
      <c r="BT408" s="515"/>
      <c r="BU408" s="515"/>
      <c r="BV408" s="515"/>
      <c r="BW408" s="515"/>
      <c r="BX408" s="515"/>
      <c r="BY408" s="515"/>
      <c r="BZ408" s="515"/>
      <c r="CA408" s="515"/>
      <c r="CB408" s="515"/>
      <c r="CC408" s="515"/>
      <c r="CD408" s="515"/>
      <c r="CE408" s="515"/>
      <c r="CF408" s="515"/>
      <c r="CG408" s="515"/>
      <c r="CH408" s="515"/>
      <c r="CI408" s="515"/>
      <c r="CJ408" s="515"/>
      <c r="CK408" s="515"/>
      <c r="CL408" s="515"/>
      <c r="CM408" s="515"/>
      <c r="CN408" s="515"/>
      <c r="CO408" s="515"/>
      <c r="CP408" s="515"/>
      <c r="CQ408" s="515"/>
      <c r="CR408" s="515"/>
      <c r="CS408" s="515"/>
      <c r="CT408" s="515"/>
      <c r="CU408" s="515"/>
      <c r="CV408" s="515"/>
      <c r="CW408" s="515"/>
      <c r="CX408" s="515"/>
      <c r="CY408" s="515"/>
      <c r="CZ408" s="515"/>
      <c r="DA408" s="515"/>
      <c r="DB408" s="515"/>
      <c r="DC408" s="515"/>
      <c r="DD408" s="515"/>
      <c r="DE408" s="515"/>
      <c r="DF408" s="515"/>
      <c r="DG408" s="125"/>
      <c r="DH408" s="125"/>
      <c r="DI408" s="27"/>
      <c r="DJ408" s="7"/>
      <c r="DK408" s="7"/>
      <c r="DL408" s="7"/>
      <c r="DM408" s="7"/>
      <c r="DN408" s="7"/>
      <c r="DO408" s="7"/>
      <c r="DP408" s="7"/>
      <c r="DQ408" s="2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row>
    <row r="409" spans="1:155" s="566" customFormat="1" ht="21" hidden="1" customHeight="1">
      <c r="A409" s="188"/>
      <c r="B409" s="526"/>
      <c r="C409" s="633"/>
      <c r="D409" s="634"/>
      <c r="E409" s="525"/>
      <c r="F409" s="104"/>
      <c r="G409" s="3"/>
      <c r="H409" s="27"/>
      <c r="I409" s="27"/>
      <c r="J409" s="27"/>
      <c r="K409" s="27"/>
      <c r="L409" s="180"/>
      <c r="M409" s="180"/>
      <c r="N409" s="505"/>
      <c r="O409" s="505"/>
      <c r="P409" s="505"/>
      <c r="Q409" s="505"/>
      <c r="R409" s="505"/>
      <c r="S409" s="505"/>
      <c r="T409" s="505"/>
      <c r="U409" s="505"/>
      <c r="V409" s="505"/>
      <c r="W409" s="505"/>
      <c r="X409" s="505"/>
      <c r="Y409" s="505"/>
      <c r="Z409" s="505"/>
      <c r="AA409" s="505"/>
      <c r="AB409" s="505"/>
      <c r="AC409" s="505"/>
      <c r="AD409" s="505"/>
      <c r="AE409" s="14"/>
      <c r="AF409" s="14"/>
      <c r="AG409" s="324" t="str">
        <f t="shared" si="567"/>
        <v>{Other Water Use 2}</v>
      </c>
      <c r="AH409" s="324">
        <f>C347</f>
        <v>0</v>
      </c>
      <c r="AI409" s="324">
        <f>CV386</f>
        <v>0</v>
      </c>
      <c r="AJ409" s="324">
        <f t="shared" si="568"/>
        <v>0</v>
      </c>
      <c r="AK409" s="505"/>
      <c r="AL409" s="505"/>
      <c r="AM409" s="505"/>
      <c r="AN409" s="505"/>
      <c r="AO409" s="505"/>
      <c r="AP409" s="505"/>
      <c r="AQ409" s="505"/>
      <c r="AR409" s="505"/>
      <c r="AS409" s="505"/>
      <c r="AT409" s="505"/>
      <c r="AU409" s="505"/>
      <c r="AV409" s="505"/>
      <c r="AW409" s="14"/>
      <c r="AX409" s="14"/>
      <c r="AY409" s="14"/>
      <c r="AZ409" s="14"/>
      <c r="BA409" s="14"/>
      <c r="BB409" s="14"/>
      <c r="BC409" s="14"/>
      <c r="BD409" s="3"/>
      <c r="BE409" s="514"/>
      <c r="BF409" s="514"/>
      <c r="BG409" s="514"/>
      <c r="BH409" s="125"/>
      <c r="BI409" s="515"/>
      <c r="BJ409" s="515"/>
      <c r="BK409" s="515"/>
      <c r="BL409" s="515"/>
      <c r="BM409" s="515"/>
      <c r="BN409" s="515"/>
      <c r="BO409" s="515"/>
      <c r="BP409" s="515"/>
      <c r="BQ409" s="515"/>
      <c r="BR409" s="515"/>
      <c r="BS409" s="515"/>
      <c r="BT409" s="515"/>
      <c r="BU409" s="515"/>
      <c r="BV409" s="515"/>
      <c r="BW409" s="515"/>
      <c r="BX409" s="515"/>
      <c r="BY409" s="515"/>
      <c r="BZ409" s="515"/>
      <c r="CA409" s="515"/>
      <c r="CB409" s="515"/>
      <c r="CC409" s="515"/>
      <c r="CD409" s="515"/>
      <c r="CE409" s="515"/>
      <c r="CF409" s="515"/>
      <c r="CG409" s="515"/>
      <c r="CH409" s="515"/>
      <c r="CI409" s="515"/>
      <c r="CJ409" s="515"/>
      <c r="CK409" s="515"/>
      <c r="CL409" s="515"/>
      <c r="CM409" s="515"/>
      <c r="CN409" s="515"/>
      <c r="CO409" s="515"/>
      <c r="CP409" s="515"/>
      <c r="CQ409" s="515"/>
      <c r="CR409" s="515"/>
      <c r="CS409" s="515"/>
      <c r="CT409" s="515"/>
      <c r="CU409" s="515"/>
      <c r="CV409" s="515"/>
      <c r="CW409" s="515"/>
      <c r="CX409" s="515"/>
      <c r="CY409" s="515"/>
      <c r="CZ409" s="515"/>
      <c r="DA409" s="515"/>
      <c r="DB409" s="515"/>
      <c r="DC409" s="515"/>
      <c r="DD409" s="515"/>
      <c r="DE409" s="515"/>
      <c r="DF409" s="515"/>
      <c r="DG409" s="125"/>
      <c r="DH409" s="125"/>
      <c r="DI409" s="27"/>
      <c r="DJ409" s="7"/>
      <c r="DK409" s="7"/>
      <c r="DL409" s="7"/>
      <c r="DM409" s="7"/>
      <c r="DN409" s="7"/>
      <c r="DO409" s="7"/>
      <c r="DP409" s="7"/>
      <c r="DQ409" s="2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row>
    <row r="410" spans="1:155" s="566" customFormat="1" ht="21" hidden="1" customHeight="1">
      <c r="A410" s="188"/>
      <c r="B410" s="526"/>
      <c r="C410" s="633"/>
      <c r="D410" s="634"/>
      <c r="E410" s="525"/>
      <c r="F410" s="104"/>
      <c r="G410" s="27"/>
      <c r="H410" s="27"/>
      <c r="I410" s="27"/>
      <c r="J410" s="27"/>
      <c r="K410" s="27"/>
      <c r="L410" s="70"/>
      <c r="M410" s="70"/>
      <c r="N410" s="505"/>
      <c r="O410" s="505"/>
      <c r="P410" s="505"/>
      <c r="Q410" s="505"/>
      <c r="R410" s="505"/>
      <c r="S410" s="505"/>
      <c r="T410" s="505"/>
      <c r="U410" s="505"/>
      <c r="V410" s="505"/>
      <c r="W410" s="505"/>
      <c r="X410" s="505"/>
      <c r="Y410" s="505"/>
      <c r="Z410" s="505"/>
      <c r="AA410" s="505"/>
      <c r="AB410" s="505"/>
      <c r="AC410" s="505"/>
      <c r="AD410" s="505"/>
      <c r="AE410" s="14"/>
      <c r="AF410" s="14"/>
      <c r="AG410" s="324" t="str">
        <f t="shared" si="567"/>
        <v>{Other Water Use 3}</v>
      </c>
      <c r="AH410" s="324">
        <f>C348</f>
        <v>0</v>
      </c>
      <c r="AI410" s="324">
        <f>CY386</f>
        <v>0</v>
      </c>
      <c r="AJ410" s="324">
        <f t="shared" si="568"/>
        <v>0</v>
      </c>
      <c r="AK410" s="505"/>
      <c r="AL410" s="505"/>
      <c r="AM410" s="505"/>
      <c r="AN410" s="505"/>
      <c r="AO410" s="505"/>
      <c r="AP410" s="505"/>
      <c r="AQ410" s="505"/>
      <c r="AR410" s="505"/>
      <c r="AS410" s="505"/>
      <c r="AT410" s="505"/>
      <c r="AU410" s="505"/>
      <c r="AV410" s="505"/>
      <c r="AW410" s="14"/>
      <c r="AX410" s="14"/>
      <c r="AY410" s="14"/>
      <c r="AZ410" s="14"/>
      <c r="BA410" s="14"/>
      <c r="BB410" s="14"/>
      <c r="BC410" s="14"/>
      <c r="BD410" s="3"/>
      <c r="BE410" s="514"/>
      <c r="BF410" s="514"/>
      <c r="BG410" s="514"/>
      <c r="BH410" s="125"/>
      <c r="BI410" s="515"/>
      <c r="BJ410" s="515"/>
      <c r="BK410" s="515"/>
      <c r="BL410" s="515"/>
      <c r="BM410" s="515"/>
      <c r="BN410" s="515"/>
      <c r="BO410" s="515"/>
      <c r="BP410" s="515"/>
      <c r="BQ410" s="515"/>
      <c r="BR410" s="515"/>
      <c r="BS410" s="515"/>
      <c r="BT410" s="515"/>
      <c r="BU410" s="515"/>
      <c r="BV410" s="515"/>
      <c r="BW410" s="515"/>
      <c r="BX410" s="515"/>
      <c r="BY410" s="515"/>
      <c r="BZ410" s="515"/>
      <c r="CA410" s="515"/>
      <c r="CB410" s="515"/>
      <c r="CC410" s="515"/>
      <c r="CD410" s="515"/>
      <c r="CE410" s="515"/>
      <c r="CF410" s="515"/>
      <c r="CG410" s="515"/>
      <c r="CH410" s="515"/>
      <c r="CI410" s="515"/>
      <c r="CJ410" s="515"/>
      <c r="CK410" s="515"/>
      <c r="CL410" s="515"/>
      <c r="CM410" s="515"/>
      <c r="CN410" s="515"/>
      <c r="CO410" s="515"/>
      <c r="CP410" s="515"/>
      <c r="CQ410" s="515"/>
      <c r="CR410" s="515"/>
      <c r="CS410" s="515"/>
      <c r="CT410" s="515"/>
      <c r="CU410" s="515"/>
      <c r="CV410" s="515"/>
      <c r="CW410" s="515"/>
      <c r="CX410" s="515"/>
      <c r="CY410" s="515"/>
      <c r="CZ410" s="515"/>
      <c r="DA410" s="515"/>
      <c r="DB410" s="515"/>
      <c r="DC410" s="515"/>
      <c r="DD410" s="515"/>
      <c r="DE410" s="515"/>
      <c r="DF410" s="515"/>
      <c r="DG410" s="125"/>
      <c r="DH410" s="125"/>
      <c r="DI410" s="27"/>
      <c r="DJ410" s="7"/>
      <c r="DK410" s="7"/>
      <c r="DL410" s="7"/>
      <c r="DM410" s="7"/>
      <c r="DN410" s="7"/>
      <c r="DO410" s="7"/>
      <c r="DP410" s="7"/>
      <c r="DQ410" s="2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row>
    <row r="411" spans="1:155" s="566" customFormat="1" ht="18.75" hidden="1" customHeight="1">
      <c r="A411" s="188"/>
      <c r="B411" s="635"/>
      <c r="C411" s="635"/>
      <c r="D411" s="635"/>
      <c r="E411" s="635"/>
      <c r="F411" s="527"/>
      <c r="G411" s="27"/>
      <c r="H411" s="27"/>
      <c r="I411" s="27"/>
      <c r="J411" s="27"/>
      <c r="K411" s="27"/>
      <c r="L411" s="70"/>
      <c r="M411" s="70"/>
      <c r="N411" s="14"/>
      <c r="O411" s="14"/>
      <c r="P411" s="14"/>
      <c r="Q411" s="14"/>
      <c r="R411" s="14"/>
      <c r="S411" s="14"/>
      <c r="T411" s="14"/>
      <c r="U411" s="14"/>
      <c r="V411" s="14"/>
      <c r="W411" s="14"/>
      <c r="X411" s="14"/>
      <c r="Y411" s="14"/>
      <c r="Z411" s="14"/>
      <c r="AA411" s="14"/>
      <c r="AB411" s="14"/>
      <c r="AC411" s="14"/>
      <c r="AD411" s="14"/>
      <c r="AE411" s="14"/>
      <c r="AF411" s="14"/>
      <c r="AG411" s="505"/>
      <c r="AH411" s="528">
        <f>SUM(AH399:AH405)</f>
        <v>0</v>
      </c>
      <c r="AI411" s="528">
        <f>SUM(AI399:AI410)</f>
        <v>0</v>
      </c>
      <c r="AJ411" s="528">
        <f>SUM(AJ399:AJ410)</f>
        <v>0</v>
      </c>
      <c r="AK411" s="505"/>
      <c r="AL411" s="505"/>
      <c r="AM411" s="505"/>
      <c r="AN411" s="505"/>
      <c r="AO411" s="479"/>
      <c r="AP411" s="479"/>
      <c r="AQ411" s="479"/>
      <c r="AR411" s="479"/>
      <c r="AS411" s="479"/>
      <c r="AT411" s="479"/>
      <c r="AU411" s="479"/>
      <c r="AV411" s="529"/>
      <c r="AW411" s="14"/>
      <c r="AX411" s="14"/>
      <c r="AY411" s="14"/>
      <c r="AZ411" s="14"/>
      <c r="BA411" s="14"/>
      <c r="BB411" s="14"/>
      <c r="BC411" s="14"/>
      <c r="BD411" s="3"/>
      <c r="BE411" s="514"/>
      <c r="BF411" s="514"/>
      <c r="BG411" s="514"/>
      <c r="BH411" s="125"/>
      <c r="BI411" s="515"/>
      <c r="BJ411" s="515"/>
      <c r="BK411" s="515"/>
      <c r="BL411" s="515"/>
      <c r="BM411" s="515"/>
      <c r="BN411" s="515"/>
      <c r="BO411" s="515"/>
      <c r="BP411" s="515"/>
      <c r="BQ411" s="515"/>
      <c r="BR411" s="515"/>
      <c r="BS411" s="515"/>
      <c r="BT411" s="515"/>
      <c r="BU411" s="515"/>
      <c r="BV411" s="515"/>
      <c r="BW411" s="515"/>
      <c r="BX411" s="515"/>
      <c r="BY411" s="515"/>
      <c r="BZ411" s="515"/>
      <c r="CA411" s="515"/>
      <c r="CB411" s="515"/>
      <c r="CC411" s="515"/>
      <c r="CD411" s="515"/>
      <c r="CE411" s="515"/>
      <c r="CF411" s="515"/>
      <c r="CG411" s="515"/>
      <c r="CH411" s="515"/>
      <c r="CI411" s="515"/>
      <c r="CJ411" s="515"/>
      <c r="CK411" s="515"/>
      <c r="CL411" s="515"/>
      <c r="CM411" s="515"/>
      <c r="CN411" s="515"/>
      <c r="CO411" s="515"/>
      <c r="CP411" s="515"/>
      <c r="CQ411" s="515"/>
      <c r="CR411" s="515"/>
      <c r="CS411" s="515"/>
      <c r="CT411" s="515"/>
      <c r="CU411" s="515"/>
      <c r="CV411" s="515"/>
      <c r="CW411" s="515"/>
      <c r="CX411" s="515"/>
      <c r="CY411" s="515"/>
      <c r="CZ411" s="515"/>
      <c r="DA411" s="515"/>
      <c r="DB411" s="515"/>
      <c r="DC411" s="515"/>
      <c r="DD411" s="515"/>
      <c r="DE411" s="515"/>
      <c r="DF411" s="515"/>
      <c r="DG411" s="125"/>
      <c r="DH411" s="125"/>
      <c r="DI411" s="27"/>
      <c r="DJ411" s="7"/>
      <c r="DK411" s="7"/>
      <c r="DL411" s="7"/>
      <c r="DM411" s="7"/>
      <c r="DN411" s="7"/>
      <c r="DO411" s="7"/>
      <c r="DP411" s="7"/>
      <c r="DQ411" s="2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row>
    <row r="412" spans="1:155" s="566" customFormat="1" ht="15" hidden="1" customHeight="1">
      <c r="A412" s="188"/>
      <c r="B412" s="628"/>
      <c r="C412" s="628"/>
      <c r="D412" s="628"/>
      <c r="E412" s="180"/>
      <c r="F412" s="27"/>
      <c r="G412" s="27"/>
      <c r="H412" s="27"/>
      <c r="I412" s="27"/>
      <c r="J412" s="27"/>
      <c r="K412" s="27"/>
      <c r="L412" s="70"/>
      <c r="M412" s="70"/>
      <c r="N412" s="479"/>
      <c r="O412" s="479"/>
      <c r="P412" s="479"/>
      <c r="Q412" s="479"/>
      <c r="R412" s="479"/>
      <c r="S412" s="479"/>
      <c r="T412" s="479"/>
      <c r="U412" s="479"/>
      <c r="V412" s="479"/>
      <c r="W412" s="479"/>
      <c r="X412" s="479"/>
      <c r="Y412" s="479"/>
      <c r="Z412" s="479"/>
      <c r="AA412" s="479"/>
      <c r="AB412" s="479"/>
      <c r="AC412" s="479"/>
      <c r="AD412" s="479"/>
      <c r="AE412" s="14"/>
      <c r="AF412" s="14"/>
      <c r="AG412" s="479"/>
      <c r="AH412" s="479"/>
      <c r="AI412" s="479"/>
      <c r="AJ412" s="479"/>
      <c r="AK412" s="479"/>
      <c r="AL412" s="479"/>
      <c r="AM412" s="530"/>
      <c r="AN412" s="531"/>
      <c r="AO412" s="479"/>
      <c r="AP412" s="479"/>
      <c r="AQ412" s="479"/>
      <c r="AR412" s="479"/>
      <c r="AS412" s="479"/>
      <c r="AT412" s="479"/>
      <c r="AU412" s="479"/>
      <c r="AV412" s="479"/>
      <c r="AW412" s="14"/>
      <c r="AX412" s="14"/>
      <c r="AY412" s="14"/>
      <c r="AZ412" s="14"/>
      <c r="BA412" s="14"/>
      <c r="BB412" s="14"/>
      <c r="BC412" s="14"/>
      <c r="BD412" s="3"/>
      <c r="BE412" s="514"/>
      <c r="BF412" s="514"/>
      <c r="BG412" s="514"/>
      <c r="BH412" s="125"/>
      <c r="BI412" s="515"/>
      <c r="BJ412" s="515"/>
      <c r="BK412" s="515"/>
      <c r="BL412" s="515"/>
      <c r="BM412" s="515"/>
      <c r="BN412" s="515"/>
      <c r="BO412" s="515"/>
      <c r="BP412" s="515"/>
      <c r="BQ412" s="515"/>
      <c r="BR412" s="515"/>
      <c r="BS412" s="515"/>
      <c r="BT412" s="515"/>
      <c r="BU412" s="515"/>
      <c r="BV412" s="515"/>
      <c r="BW412" s="515"/>
      <c r="BX412" s="515"/>
      <c r="BY412" s="515"/>
      <c r="BZ412" s="515"/>
      <c r="CA412" s="515"/>
      <c r="CB412" s="515"/>
      <c r="CC412" s="515"/>
      <c r="CD412" s="515"/>
      <c r="CE412" s="515"/>
      <c r="CF412" s="515"/>
      <c r="CG412" s="515"/>
      <c r="CH412" s="515"/>
      <c r="CI412" s="515"/>
      <c r="CJ412" s="515"/>
      <c r="CK412" s="515"/>
      <c r="CL412" s="515"/>
      <c r="CM412" s="515"/>
      <c r="CN412" s="515"/>
      <c r="CO412" s="515"/>
      <c r="CP412" s="515"/>
      <c r="CQ412" s="515"/>
      <c r="CR412" s="515"/>
      <c r="CS412" s="515"/>
      <c r="CT412" s="515"/>
      <c r="CU412" s="515"/>
      <c r="CV412" s="515"/>
      <c r="CW412" s="515"/>
      <c r="CX412" s="515"/>
      <c r="CY412" s="515"/>
      <c r="CZ412" s="515"/>
      <c r="DA412" s="515"/>
      <c r="DB412" s="515"/>
      <c r="DC412" s="515"/>
      <c r="DD412" s="515"/>
      <c r="DE412" s="515"/>
      <c r="DF412" s="515"/>
      <c r="DG412" s="125"/>
      <c r="DH412" s="125"/>
      <c r="DI412" s="27"/>
      <c r="DJ412" s="7"/>
      <c r="DK412" s="7"/>
      <c r="DL412" s="7"/>
      <c r="DM412" s="7"/>
      <c r="DN412" s="7"/>
      <c r="DO412" s="7"/>
      <c r="DP412" s="7"/>
      <c r="DQ412" s="2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row>
    <row r="413" spans="1:155" s="566" customFormat="1" ht="21.75" hidden="1" customHeight="1">
      <c r="A413" s="188"/>
      <c r="B413" s="27"/>
      <c r="C413" s="631"/>
      <c r="D413" s="631"/>
      <c r="E413" s="631"/>
      <c r="F413" s="27"/>
      <c r="G413" s="27"/>
      <c r="H413" s="27"/>
      <c r="I413" s="27"/>
      <c r="J413" s="27"/>
      <c r="K413" s="27"/>
      <c r="L413" s="70"/>
      <c r="M413" s="70"/>
      <c r="N413" s="14"/>
      <c r="O413" s="479"/>
      <c r="P413" s="479"/>
      <c r="Q413" s="479"/>
      <c r="R413" s="479"/>
      <c r="S413" s="479"/>
      <c r="T413" s="14"/>
      <c r="U413" s="14"/>
      <c r="V413" s="14"/>
      <c r="W413" s="14"/>
      <c r="X413" s="14"/>
      <c r="Y413" s="14"/>
      <c r="Z413" s="14"/>
      <c r="AA413" s="14"/>
      <c r="AB413" s="14"/>
      <c r="AC413" s="14"/>
      <c r="AD413" s="14"/>
      <c r="AE413" s="14"/>
      <c r="AF413" s="14"/>
      <c r="AG413" s="479"/>
      <c r="AH413" s="479"/>
      <c r="AI413" s="479"/>
      <c r="AJ413" s="479"/>
      <c r="AK413" s="479"/>
      <c r="AL413" s="479"/>
      <c r="AM413" s="479"/>
      <c r="AN413" s="479"/>
      <c r="AO413" s="479"/>
      <c r="AP413" s="479"/>
      <c r="AQ413" s="479"/>
      <c r="AR413" s="479"/>
      <c r="AS413" s="479"/>
      <c r="AT413" s="479"/>
      <c r="AU413" s="479"/>
      <c r="AV413" s="479"/>
      <c r="AW413" s="14"/>
      <c r="AX413" s="14"/>
      <c r="AY413" s="14"/>
      <c r="AZ413" s="14"/>
      <c r="BA413" s="14"/>
      <c r="BB413" s="14"/>
      <c r="BC413" s="14"/>
      <c r="BD413" s="3"/>
      <c r="BE413" s="514"/>
      <c r="BF413" s="514"/>
      <c r="BG413" s="514"/>
      <c r="BH413" s="125"/>
      <c r="BI413" s="515"/>
      <c r="BJ413" s="515"/>
      <c r="BK413" s="515"/>
      <c r="BL413" s="515"/>
      <c r="BM413" s="515"/>
      <c r="BN413" s="515"/>
      <c r="BO413" s="515"/>
      <c r="BP413" s="515"/>
      <c r="BQ413" s="515"/>
      <c r="BR413" s="515"/>
      <c r="BS413" s="515"/>
      <c r="BT413" s="515"/>
      <c r="BU413" s="515"/>
      <c r="BV413" s="515"/>
      <c r="BW413" s="515"/>
      <c r="BX413" s="515"/>
      <c r="BY413" s="515"/>
      <c r="BZ413" s="515"/>
      <c r="CA413" s="515"/>
      <c r="CB413" s="515"/>
      <c r="CC413" s="515"/>
      <c r="CD413" s="515"/>
      <c r="CE413" s="515"/>
      <c r="CF413" s="515"/>
      <c r="CG413" s="515"/>
      <c r="CH413" s="515"/>
      <c r="CI413" s="515"/>
      <c r="CJ413" s="515"/>
      <c r="CK413" s="515"/>
      <c r="CL413" s="515"/>
      <c r="CM413" s="515"/>
      <c r="CN413" s="515"/>
      <c r="CO413" s="515"/>
      <c r="CP413" s="515"/>
      <c r="CQ413" s="515"/>
      <c r="CR413" s="515"/>
      <c r="CS413" s="515"/>
      <c r="CT413" s="515"/>
      <c r="CU413" s="515"/>
      <c r="CV413" s="515"/>
      <c r="CW413" s="515"/>
      <c r="CX413" s="515"/>
      <c r="CY413" s="515"/>
      <c r="CZ413" s="515"/>
      <c r="DA413" s="515"/>
      <c r="DB413" s="515"/>
      <c r="DC413" s="515"/>
      <c r="DD413" s="515"/>
      <c r="DE413" s="515"/>
      <c r="DF413" s="515"/>
      <c r="DG413" s="125"/>
      <c r="DH413" s="125"/>
      <c r="DI413" s="27"/>
      <c r="DJ413" s="7"/>
      <c r="DK413" s="7"/>
      <c r="DL413" s="7"/>
      <c r="DM413" s="7"/>
      <c r="DN413" s="7"/>
      <c r="DO413" s="7"/>
      <c r="DP413" s="7"/>
      <c r="DQ413" s="2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row>
    <row r="414" spans="1:155" s="566" customFormat="1" ht="21.75" hidden="1" customHeight="1">
      <c r="A414" s="188"/>
      <c r="B414" s="27"/>
      <c r="C414" s="632"/>
      <c r="D414" s="632"/>
      <c r="E414" s="631"/>
      <c r="F414" s="27"/>
      <c r="G414" s="27"/>
      <c r="H414" s="27"/>
      <c r="I414" s="27"/>
      <c r="J414" s="27"/>
      <c r="K414" s="27"/>
      <c r="L414" s="70"/>
      <c r="M414" s="70"/>
      <c r="N414" s="14"/>
      <c r="O414" s="479"/>
      <c r="P414" s="479"/>
      <c r="Q414" s="479"/>
      <c r="R414" s="479"/>
      <c r="S414" s="479"/>
      <c r="T414" s="14"/>
      <c r="U414" s="14"/>
      <c r="V414" s="14"/>
      <c r="W414" s="14"/>
      <c r="X414" s="14"/>
      <c r="Y414" s="14"/>
      <c r="Z414" s="14"/>
      <c r="AA414" s="14"/>
      <c r="AB414" s="14"/>
      <c r="AC414" s="14"/>
      <c r="AD414" s="14"/>
      <c r="AE414" s="479"/>
      <c r="AF414" s="479"/>
      <c r="AG414" s="479"/>
      <c r="AH414" s="479"/>
      <c r="AI414" s="479"/>
      <c r="AJ414" s="479"/>
      <c r="AK414" s="479"/>
      <c r="AL414" s="479"/>
      <c r="AM414" s="479"/>
      <c r="AN414" s="479"/>
      <c r="AO414" s="479"/>
      <c r="AP414" s="479"/>
      <c r="AQ414" s="479"/>
      <c r="AR414" s="479"/>
      <c r="AS414" s="479"/>
      <c r="AT414" s="479"/>
      <c r="AU414" s="479"/>
      <c r="AV414" s="479"/>
      <c r="AW414" s="14"/>
      <c r="AX414" s="14"/>
      <c r="AY414" s="14"/>
      <c r="AZ414" s="14"/>
      <c r="BA414" s="14"/>
      <c r="BB414" s="14"/>
      <c r="BC414" s="14"/>
      <c r="BD414" s="3"/>
      <c r="BE414" s="514"/>
      <c r="BF414" s="514"/>
      <c r="BG414" s="514"/>
      <c r="BH414" s="125"/>
      <c r="BI414" s="515"/>
      <c r="BJ414" s="515"/>
      <c r="BK414" s="515"/>
      <c r="BL414" s="515"/>
      <c r="BM414" s="515"/>
      <c r="BN414" s="515"/>
      <c r="BO414" s="515"/>
      <c r="BP414" s="515"/>
      <c r="BQ414" s="515"/>
      <c r="BR414" s="515"/>
      <c r="BS414" s="515"/>
      <c r="BT414" s="515"/>
      <c r="BU414" s="515"/>
      <c r="BV414" s="515"/>
      <c r="BW414" s="515"/>
      <c r="BX414" s="515"/>
      <c r="BY414" s="515"/>
      <c r="BZ414" s="515"/>
      <c r="CA414" s="515"/>
      <c r="CB414" s="515"/>
      <c r="CC414" s="515"/>
      <c r="CD414" s="515"/>
      <c r="CE414" s="515"/>
      <c r="CF414" s="515"/>
      <c r="CG414" s="515"/>
      <c r="CH414" s="515"/>
      <c r="CI414" s="515"/>
      <c r="CJ414" s="515"/>
      <c r="CK414" s="515"/>
      <c r="CL414" s="515"/>
      <c r="CM414" s="515"/>
      <c r="CN414" s="515"/>
      <c r="CO414" s="515"/>
      <c r="CP414" s="515"/>
      <c r="CQ414" s="515"/>
      <c r="CR414" s="515"/>
      <c r="CS414" s="515"/>
      <c r="CT414" s="515"/>
      <c r="CU414" s="515"/>
      <c r="CV414" s="515"/>
      <c r="CW414" s="515"/>
      <c r="CX414" s="515"/>
      <c r="CY414" s="515"/>
      <c r="CZ414" s="515"/>
      <c r="DA414" s="515"/>
      <c r="DB414" s="515"/>
      <c r="DC414" s="515"/>
      <c r="DD414" s="515"/>
      <c r="DE414" s="515"/>
      <c r="DF414" s="515"/>
      <c r="DG414" s="125"/>
      <c r="DH414" s="125"/>
      <c r="DI414" s="27"/>
      <c r="DJ414" s="7"/>
      <c r="DK414" s="7"/>
      <c r="DL414" s="7"/>
      <c r="DM414" s="7"/>
      <c r="DN414" s="7"/>
      <c r="DO414" s="7"/>
      <c r="DP414" s="7"/>
      <c r="DQ414" s="2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row>
    <row r="415" spans="1:155" s="566" customFormat="1" ht="15" hidden="1" customHeight="1">
      <c r="A415" s="188"/>
      <c r="B415" s="190"/>
      <c r="C415" s="255"/>
      <c r="D415" s="255"/>
      <c r="E415" s="525"/>
      <c r="F415" s="27"/>
      <c r="G415" s="3"/>
      <c r="H415" s="27"/>
      <c r="I415" s="27"/>
      <c r="J415" s="27"/>
      <c r="K415" s="27"/>
      <c r="L415" s="70"/>
      <c r="M415" s="70"/>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3"/>
      <c r="BE415" s="514"/>
      <c r="BF415" s="514"/>
      <c r="BG415" s="514"/>
      <c r="BH415" s="125"/>
      <c r="BI415" s="515"/>
      <c r="BJ415" s="515"/>
      <c r="BK415" s="515"/>
      <c r="BL415" s="515"/>
      <c r="BM415" s="515"/>
      <c r="BN415" s="515"/>
      <c r="BO415" s="515"/>
      <c r="BP415" s="515"/>
      <c r="BQ415" s="515"/>
      <c r="BR415" s="515"/>
      <c r="BS415" s="515"/>
      <c r="BT415" s="515"/>
      <c r="BU415" s="515"/>
      <c r="BV415" s="515"/>
      <c r="BW415" s="515"/>
      <c r="BX415" s="515"/>
      <c r="BY415" s="515"/>
      <c r="BZ415" s="515"/>
      <c r="CA415" s="515"/>
      <c r="CB415" s="515"/>
      <c r="CC415" s="515"/>
      <c r="CD415" s="515"/>
      <c r="CE415" s="515"/>
      <c r="CF415" s="515"/>
      <c r="CG415" s="515"/>
      <c r="CH415" s="515"/>
      <c r="CI415" s="515"/>
      <c r="CJ415" s="515"/>
      <c r="CK415" s="515"/>
      <c r="CL415" s="515"/>
      <c r="CM415" s="515"/>
      <c r="CN415" s="515"/>
      <c r="CO415" s="515"/>
      <c r="CP415" s="515"/>
      <c r="CQ415" s="515"/>
      <c r="CR415" s="515"/>
      <c r="CS415" s="515"/>
      <c r="CT415" s="515"/>
      <c r="CU415" s="515"/>
      <c r="CV415" s="515"/>
      <c r="CW415" s="515"/>
      <c r="CX415" s="515"/>
      <c r="CY415" s="515"/>
      <c r="CZ415" s="515"/>
      <c r="DA415" s="515"/>
      <c r="DB415" s="515"/>
      <c r="DC415" s="515"/>
      <c r="DD415" s="515"/>
      <c r="DE415" s="515"/>
      <c r="DF415" s="515"/>
      <c r="DG415" s="125"/>
      <c r="DH415" s="125"/>
      <c r="DI415" s="27"/>
      <c r="DJ415" s="7"/>
      <c r="DK415" s="7"/>
      <c r="DL415" s="7"/>
      <c r="DM415" s="7"/>
      <c r="DN415" s="7"/>
      <c r="DO415" s="7"/>
      <c r="DP415" s="7"/>
      <c r="DQ415" s="2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row>
    <row r="416" spans="1:155" s="566" customFormat="1" ht="15" hidden="1" customHeight="1">
      <c r="A416" s="188"/>
      <c r="B416" s="190"/>
      <c r="C416" s="255"/>
      <c r="D416" s="255"/>
      <c r="E416" s="532"/>
      <c r="F416" s="3"/>
      <c r="G416" s="3"/>
      <c r="H416" s="27"/>
      <c r="I416" s="27"/>
      <c r="J416" s="27"/>
      <c r="K416" s="27"/>
      <c r="L416" s="70"/>
      <c r="M416" s="70"/>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3"/>
      <c r="BE416" s="514"/>
      <c r="BF416" s="514"/>
      <c r="BG416" s="514"/>
      <c r="BH416" s="125"/>
      <c r="BI416" s="515"/>
      <c r="BJ416" s="515"/>
      <c r="BK416" s="515"/>
      <c r="BL416" s="515"/>
      <c r="BM416" s="515"/>
      <c r="BN416" s="515"/>
      <c r="BO416" s="515"/>
      <c r="BP416" s="515"/>
      <c r="BQ416" s="515"/>
      <c r="BR416" s="515"/>
      <c r="BS416" s="515"/>
      <c r="BT416" s="515"/>
      <c r="BU416" s="515"/>
      <c r="BV416" s="515"/>
      <c r="BW416" s="515"/>
      <c r="BX416" s="515"/>
      <c r="BY416" s="515"/>
      <c r="BZ416" s="515"/>
      <c r="CA416" s="515"/>
      <c r="CB416" s="515"/>
      <c r="CC416" s="515"/>
      <c r="CD416" s="515"/>
      <c r="CE416" s="515"/>
      <c r="CF416" s="515"/>
      <c r="CG416" s="515"/>
      <c r="CH416" s="515"/>
      <c r="CI416" s="515"/>
      <c r="CJ416" s="515"/>
      <c r="CK416" s="515"/>
      <c r="CL416" s="515"/>
      <c r="CM416" s="515"/>
      <c r="CN416" s="515"/>
      <c r="CO416" s="515"/>
      <c r="CP416" s="515"/>
      <c r="CQ416" s="515"/>
      <c r="CR416" s="515"/>
      <c r="CS416" s="515"/>
      <c r="CT416" s="515"/>
      <c r="CU416" s="515"/>
      <c r="CV416" s="515"/>
      <c r="CW416" s="515"/>
      <c r="CX416" s="515"/>
      <c r="CY416" s="515"/>
      <c r="CZ416" s="515"/>
      <c r="DA416" s="515"/>
      <c r="DB416" s="515"/>
      <c r="DC416" s="515"/>
      <c r="DD416" s="515"/>
      <c r="DE416" s="515"/>
      <c r="DF416" s="515"/>
      <c r="DG416" s="125"/>
      <c r="DH416" s="125"/>
      <c r="DI416" s="27"/>
      <c r="DJ416" s="7"/>
      <c r="DK416" s="7"/>
      <c r="DL416" s="7"/>
      <c r="DM416" s="7"/>
      <c r="DN416" s="7"/>
      <c r="DO416" s="7"/>
      <c r="DP416" s="7"/>
      <c r="DQ416" s="2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row>
    <row r="417" spans="1:155" s="566" customFormat="1" ht="15" hidden="1" customHeight="1">
      <c r="A417" s="188"/>
      <c r="B417" s="190"/>
      <c r="C417" s="255"/>
      <c r="D417" s="255"/>
      <c r="E417" s="532"/>
      <c r="F417" s="3"/>
      <c r="G417" s="3"/>
      <c r="H417" s="27"/>
      <c r="I417" s="27"/>
      <c r="J417" s="27"/>
      <c r="K417" s="27"/>
      <c r="L417" s="70"/>
      <c r="M417" s="70"/>
      <c r="N417" s="14" t="s">
        <v>586</v>
      </c>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3"/>
      <c r="BE417" s="514"/>
      <c r="BF417" s="514"/>
      <c r="BG417" s="514"/>
      <c r="BH417" s="125"/>
      <c r="BI417" s="515"/>
      <c r="BJ417" s="515"/>
      <c r="BK417" s="515"/>
      <c r="BL417" s="515"/>
      <c r="BM417" s="515"/>
      <c r="BN417" s="515"/>
      <c r="BO417" s="515"/>
      <c r="BP417" s="515"/>
      <c r="BQ417" s="515"/>
      <c r="BR417" s="515"/>
      <c r="BS417" s="515"/>
      <c r="BT417" s="515"/>
      <c r="BU417" s="515"/>
      <c r="BV417" s="515"/>
      <c r="BW417" s="515"/>
      <c r="BX417" s="515"/>
      <c r="BY417" s="515"/>
      <c r="BZ417" s="515"/>
      <c r="CA417" s="515"/>
      <c r="CB417" s="515"/>
      <c r="CC417" s="515"/>
      <c r="CD417" s="515"/>
      <c r="CE417" s="515"/>
      <c r="CF417" s="515"/>
      <c r="CG417" s="515"/>
      <c r="CH417" s="515"/>
      <c r="CI417" s="515"/>
      <c r="CJ417" s="515"/>
      <c r="CK417" s="515"/>
      <c r="CL417" s="515"/>
      <c r="CM417" s="515"/>
      <c r="CN417" s="515"/>
      <c r="CO417" s="515"/>
      <c r="CP417" s="515"/>
      <c r="CQ417" s="515"/>
      <c r="CR417" s="515"/>
      <c r="CS417" s="515"/>
      <c r="CT417" s="515"/>
      <c r="CU417" s="515"/>
      <c r="CV417" s="515"/>
      <c r="CW417" s="515"/>
      <c r="CX417" s="515"/>
      <c r="CY417" s="515"/>
      <c r="CZ417" s="515"/>
      <c r="DA417" s="515"/>
      <c r="DB417" s="515"/>
      <c r="DC417" s="515"/>
      <c r="DD417" s="515"/>
      <c r="DE417" s="515"/>
      <c r="DF417" s="515"/>
      <c r="DG417" s="125"/>
      <c r="DH417" s="125"/>
      <c r="DI417" s="27"/>
      <c r="DJ417" s="7"/>
      <c r="DK417" s="7"/>
      <c r="DL417" s="7"/>
      <c r="DM417" s="7"/>
      <c r="DN417" s="7"/>
      <c r="DO417" s="7"/>
      <c r="DP417" s="7"/>
      <c r="DQ417" s="2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row>
    <row r="418" spans="1:155" s="566" customFormat="1" ht="15" hidden="1" customHeight="1">
      <c r="A418" s="188"/>
      <c r="B418" s="190"/>
      <c r="C418" s="255"/>
      <c r="D418" s="255"/>
      <c r="E418" s="532"/>
      <c r="F418" s="3"/>
      <c r="G418" s="3"/>
      <c r="H418" s="70"/>
      <c r="I418" s="70"/>
      <c r="J418" s="27"/>
      <c r="K418" s="27"/>
      <c r="L418" s="70"/>
      <c r="M418" s="70"/>
      <c r="N418" s="14" t="s">
        <v>587</v>
      </c>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3"/>
      <c r="BE418" s="514"/>
      <c r="BF418" s="514"/>
      <c r="BG418" s="514"/>
      <c r="BH418" s="125"/>
      <c r="BI418" s="515"/>
      <c r="BJ418" s="515"/>
      <c r="BK418" s="515"/>
      <c r="BL418" s="515"/>
      <c r="BM418" s="515"/>
      <c r="BN418" s="515"/>
      <c r="BO418" s="515"/>
      <c r="BP418" s="515"/>
      <c r="BQ418" s="515"/>
      <c r="BR418" s="515"/>
      <c r="BS418" s="515"/>
      <c r="BT418" s="515"/>
      <c r="BU418" s="515"/>
      <c r="BV418" s="515"/>
      <c r="BW418" s="515"/>
      <c r="BX418" s="515"/>
      <c r="BY418" s="515"/>
      <c r="BZ418" s="515"/>
      <c r="CA418" s="515"/>
      <c r="CB418" s="515"/>
      <c r="CC418" s="515"/>
      <c r="CD418" s="515"/>
      <c r="CE418" s="515"/>
      <c r="CF418" s="515"/>
      <c r="CG418" s="515"/>
      <c r="CH418" s="515"/>
      <c r="CI418" s="515"/>
      <c r="CJ418" s="515"/>
      <c r="CK418" s="515"/>
      <c r="CL418" s="515"/>
      <c r="CM418" s="515"/>
      <c r="CN418" s="515"/>
      <c r="CO418" s="515"/>
      <c r="CP418" s="515"/>
      <c r="CQ418" s="515"/>
      <c r="CR418" s="515"/>
      <c r="CS418" s="515"/>
      <c r="CT418" s="515"/>
      <c r="CU418" s="515"/>
      <c r="CV418" s="515"/>
      <c r="CW418" s="515"/>
      <c r="CX418" s="515"/>
      <c r="CY418" s="515"/>
      <c r="CZ418" s="515"/>
      <c r="DA418" s="515"/>
      <c r="DB418" s="515"/>
      <c r="DC418" s="515"/>
      <c r="DD418" s="515"/>
      <c r="DE418" s="515"/>
      <c r="DF418" s="515"/>
      <c r="DG418" s="125"/>
      <c r="DH418" s="125"/>
      <c r="DI418" s="27"/>
      <c r="DJ418" s="7"/>
      <c r="DK418" s="7"/>
      <c r="DL418" s="7"/>
      <c r="DM418" s="7"/>
      <c r="DN418" s="7"/>
      <c r="DO418" s="7"/>
      <c r="DP418" s="7"/>
      <c r="DQ418" s="2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row>
    <row r="419" spans="1:155" s="566" customFormat="1" ht="18.75" hidden="1" customHeight="1">
      <c r="A419" s="188"/>
      <c r="B419" s="190"/>
      <c r="C419" s="255"/>
      <c r="D419" s="255"/>
      <c r="E419" s="532"/>
      <c r="F419" s="3"/>
      <c r="G419" s="3"/>
      <c r="H419" s="70"/>
      <c r="I419" s="70"/>
      <c r="J419" s="27"/>
      <c r="K419" s="27"/>
      <c r="L419" s="70"/>
      <c r="M419" s="70"/>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3"/>
      <c r="BE419" s="514"/>
      <c r="BF419" s="514"/>
      <c r="BG419" s="514"/>
      <c r="BH419" s="125"/>
      <c r="BI419" s="515"/>
      <c r="BJ419" s="515"/>
      <c r="BK419" s="515"/>
      <c r="BL419" s="515"/>
      <c r="BM419" s="515"/>
      <c r="BN419" s="515"/>
      <c r="BO419" s="515"/>
      <c r="BP419" s="515"/>
      <c r="BQ419" s="515"/>
      <c r="BR419" s="515"/>
      <c r="BS419" s="515"/>
      <c r="BT419" s="515"/>
      <c r="BU419" s="515"/>
      <c r="BV419" s="515"/>
      <c r="BW419" s="515"/>
      <c r="BX419" s="515"/>
      <c r="BY419" s="515"/>
      <c r="BZ419" s="515"/>
      <c r="CA419" s="515"/>
      <c r="CB419" s="515"/>
      <c r="CC419" s="515"/>
      <c r="CD419" s="515"/>
      <c r="CE419" s="515"/>
      <c r="CF419" s="515"/>
      <c r="CG419" s="515"/>
      <c r="CH419" s="515"/>
      <c r="CI419" s="515"/>
      <c r="CJ419" s="515"/>
      <c r="CK419" s="515"/>
      <c r="CL419" s="515"/>
      <c r="CM419" s="515"/>
      <c r="CN419" s="515"/>
      <c r="CO419" s="515"/>
      <c r="CP419" s="515"/>
      <c r="CQ419" s="515"/>
      <c r="CR419" s="515"/>
      <c r="CS419" s="515"/>
      <c r="CT419" s="515"/>
      <c r="CU419" s="515"/>
      <c r="CV419" s="515"/>
      <c r="CW419" s="515"/>
      <c r="CX419" s="515"/>
      <c r="CY419" s="515"/>
      <c r="CZ419" s="515"/>
      <c r="DA419" s="515"/>
      <c r="DB419" s="515"/>
      <c r="DC419" s="515"/>
      <c r="DD419" s="515"/>
      <c r="DE419" s="515"/>
      <c r="DF419" s="515"/>
      <c r="DG419" s="125"/>
      <c r="DH419" s="125"/>
      <c r="DI419" s="27"/>
      <c r="DJ419" s="7"/>
      <c r="DK419" s="7"/>
      <c r="DL419" s="7"/>
      <c r="DM419" s="7"/>
      <c r="DN419" s="7"/>
      <c r="DO419" s="7"/>
      <c r="DP419" s="7"/>
      <c r="DQ419" s="2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row>
    <row r="420" spans="1:155" s="566" customFormat="1" ht="18.75" hidden="1" customHeight="1">
      <c r="A420" s="188"/>
      <c r="B420" s="190"/>
      <c r="C420" s="255"/>
      <c r="D420" s="255"/>
      <c r="E420" s="532"/>
      <c r="F420" s="3"/>
      <c r="G420" s="3"/>
      <c r="H420" s="70"/>
      <c r="I420" s="70"/>
      <c r="J420" s="27"/>
      <c r="K420" s="27"/>
      <c r="L420" s="70"/>
      <c r="M420" s="70"/>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3"/>
      <c r="BE420" s="514"/>
      <c r="BF420" s="514"/>
      <c r="BG420" s="514"/>
      <c r="BH420" s="125"/>
      <c r="BI420" s="515"/>
      <c r="BJ420" s="515"/>
      <c r="BK420" s="515"/>
      <c r="BL420" s="515"/>
      <c r="BM420" s="515"/>
      <c r="BN420" s="515"/>
      <c r="BO420" s="515"/>
      <c r="BP420" s="515"/>
      <c r="BQ420" s="515"/>
      <c r="BR420" s="515"/>
      <c r="BS420" s="515"/>
      <c r="BT420" s="515"/>
      <c r="BU420" s="515"/>
      <c r="BV420" s="515"/>
      <c r="BW420" s="515"/>
      <c r="BX420" s="515"/>
      <c r="BY420" s="515"/>
      <c r="BZ420" s="515"/>
      <c r="CA420" s="515"/>
      <c r="CB420" s="515"/>
      <c r="CC420" s="515"/>
      <c r="CD420" s="515"/>
      <c r="CE420" s="515"/>
      <c r="CF420" s="515"/>
      <c r="CG420" s="515"/>
      <c r="CH420" s="515"/>
      <c r="CI420" s="515"/>
      <c r="CJ420" s="515"/>
      <c r="CK420" s="515"/>
      <c r="CL420" s="515"/>
      <c r="CM420" s="515"/>
      <c r="CN420" s="515"/>
      <c r="CO420" s="515"/>
      <c r="CP420" s="515"/>
      <c r="CQ420" s="515"/>
      <c r="CR420" s="515"/>
      <c r="CS420" s="515"/>
      <c r="CT420" s="515"/>
      <c r="CU420" s="515"/>
      <c r="CV420" s="515"/>
      <c r="CW420" s="515"/>
      <c r="CX420" s="515"/>
      <c r="CY420" s="515"/>
      <c r="CZ420" s="515"/>
      <c r="DA420" s="515"/>
      <c r="DB420" s="515"/>
      <c r="DC420" s="515"/>
      <c r="DD420" s="515"/>
      <c r="DE420" s="515"/>
      <c r="DF420" s="515"/>
      <c r="DG420" s="125"/>
      <c r="DH420" s="125"/>
      <c r="DI420" s="27"/>
      <c r="DJ420" s="7"/>
      <c r="DK420" s="7"/>
      <c r="DL420" s="7"/>
      <c r="DM420" s="7"/>
      <c r="DN420" s="7"/>
      <c r="DO420" s="7"/>
      <c r="DP420" s="7"/>
      <c r="DQ420" s="2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row>
    <row r="421" spans="1:155" s="566" customFormat="1" ht="15" hidden="1" customHeight="1">
      <c r="A421" s="188"/>
      <c r="B421" s="190"/>
      <c r="C421" s="255"/>
      <c r="D421" s="255"/>
      <c r="E421" s="533"/>
      <c r="F421" s="3"/>
      <c r="G421" s="3"/>
      <c r="H421" s="70"/>
      <c r="I421" s="70"/>
      <c r="J421" s="27"/>
      <c r="K421" s="27"/>
      <c r="L421" s="70"/>
      <c r="M421" s="70"/>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3"/>
      <c r="BE421" s="514"/>
      <c r="BF421" s="514"/>
      <c r="BG421" s="514"/>
      <c r="BH421" s="125"/>
      <c r="BI421" s="515"/>
      <c r="BJ421" s="515"/>
      <c r="BK421" s="515"/>
      <c r="BL421" s="515"/>
      <c r="BM421" s="515"/>
      <c r="BN421" s="515"/>
      <c r="BO421" s="515"/>
      <c r="BP421" s="515"/>
      <c r="BQ421" s="515"/>
      <c r="BR421" s="515"/>
      <c r="BS421" s="515"/>
      <c r="BT421" s="515"/>
      <c r="BU421" s="515"/>
      <c r="BV421" s="515"/>
      <c r="BW421" s="515"/>
      <c r="BX421" s="515"/>
      <c r="BY421" s="515"/>
      <c r="BZ421" s="515"/>
      <c r="CA421" s="515"/>
      <c r="CB421" s="515"/>
      <c r="CC421" s="515"/>
      <c r="CD421" s="515"/>
      <c r="CE421" s="515"/>
      <c r="CF421" s="515"/>
      <c r="CG421" s="515"/>
      <c r="CH421" s="515"/>
      <c r="CI421" s="515"/>
      <c r="CJ421" s="515"/>
      <c r="CK421" s="515"/>
      <c r="CL421" s="515"/>
      <c r="CM421" s="515"/>
      <c r="CN421" s="515"/>
      <c r="CO421" s="515"/>
      <c r="CP421" s="515"/>
      <c r="CQ421" s="515"/>
      <c r="CR421" s="515"/>
      <c r="CS421" s="515"/>
      <c r="CT421" s="515"/>
      <c r="CU421" s="515"/>
      <c r="CV421" s="515"/>
      <c r="CW421" s="515"/>
      <c r="CX421" s="515"/>
      <c r="CY421" s="515"/>
      <c r="CZ421" s="515"/>
      <c r="DA421" s="515"/>
      <c r="DB421" s="515"/>
      <c r="DC421" s="515"/>
      <c r="DD421" s="515"/>
      <c r="DE421" s="515"/>
      <c r="DF421" s="515"/>
      <c r="DG421" s="125"/>
      <c r="DH421" s="125"/>
      <c r="DI421" s="27"/>
      <c r="DJ421" s="7"/>
      <c r="DK421" s="7"/>
      <c r="DL421" s="7"/>
      <c r="DM421" s="7"/>
      <c r="DN421" s="7"/>
      <c r="DO421" s="7"/>
      <c r="DP421" s="7"/>
      <c r="DQ421" s="2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row>
    <row r="422" spans="1:155" s="566" customFormat="1" ht="15" hidden="1" customHeight="1">
      <c r="A422" s="188"/>
      <c r="B422" s="190"/>
      <c r="C422" s="255"/>
      <c r="D422" s="255"/>
      <c r="E422" s="533"/>
      <c r="F422" s="3"/>
      <c r="G422" s="3"/>
      <c r="H422" s="70"/>
      <c r="I422" s="70"/>
      <c r="J422" s="27"/>
      <c r="K422" s="27"/>
      <c r="L422" s="70"/>
      <c r="M422" s="70"/>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3"/>
      <c r="BE422" s="514"/>
      <c r="BF422" s="514"/>
      <c r="BG422" s="514"/>
      <c r="BH422" s="125"/>
      <c r="BI422" s="515"/>
      <c r="BJ422" s="515"/>
      <c r="BK422" s="515"/>
      <c r="BL422" s="515"/>
      <c r="BM422" s="515"/>
      <c r="BN422" s="515"/>
      <c r="BO422" s="515"/>
      <c r="BP422" s="515"/>
      <c r="BQ422" s="515"/>
      <c r="BR422" s="515"/>
      <c r="BS422" s="515"/>
      <c r="BT422" s="515"/>
      <c r="BU422" s="515"/>
      <c r="BV422" s="515"/>
      <c r="BW422" s="515"/>
      <c r="BX422" s="515"/>
      <c r="BY422" s="515"/>
      <c r="BZ422" s="515"/>
      <c r="CA422" s="515"/>
      <c r="CB422" s="515"/>
      <c r="CC422" s="515"/>
      <c r="CD422" s="515"/>
      <c r="CE422" s="515"/>
      <c r="CF422" s="515"/>
      <c r="CG422" s="515"/>
      <c r="CH422" s="515"/>
      <c r="CI422" s="515"/>
      <c r="CJ422" s="515"/>
      <c r="CK422" s="515"/>
      <c r="CL422" s="515"/>
      <c r="CM422" s="515"/>
      <c r="CN422" s="515"/>
      <c r="CO422" s="515"/>
      <c r="CP422" s="515"/>
      <c r="CQ422" s="515"/>
      <c r="CR422" s="515"/>
      <c r="CS422" s="515"/>
      <c r="CT422" s="515"/>
      <c r="CU422" s="515"/>
      <c r="CV422" s="515"/>
      <c r="CW422" s="515"/>
      <c r="CX422" s="515"/>
      <c r="CY422" s="515"/>
      <c r="CZ422" s="515"/>
      <c r="DA422" s="515"/>
      <c r="DB422" s="515"/>
      <c r="DC422" s="515"/>
      <c r="DD422" s="515"/>
      <c r="DE422" s="515"/>
      <c r="DF422" s="515"/>
      <c r="DG422" s="125"/>
      <c r="DH422" s="125"/>
      <c r="DI422" s="27"/>
      <c r="DJ422" s="7"/>
      <c r="DK422" s="7"/>
      <c r="DL422" s="7"/>
      <c r="DM422" s="7"/>
      <c r="DN422" s="7"/>
      <c r="DO422" s="7"/>
      <c r="DP422" s="7"/>
      <c r="DQ422" s="2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row>
    <row r="423" spans="1:155" s="566" customFormat="1" ht="15" hidden="1" customHeight="1">
      <c r="A423" s="188"/>
      <c r="B423" s="190"/>
      <c r="C423" s="255"/>
      <c r="D423" s="255"/>
      <c r="E423" s="533"/>
      <c r="F423" s="3"/>
      <c r="G423" s="3"/>
      <c r="H423" s="70"/>
      <c r="I423" s="70"/>
      <c r="J423" s="27"/>
      <c r="K423" s="27"/>
      <c r="L423" s="70"/>
      <c r="M423" s="70"/>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3"/>
      <c r="BE423" s="514"/>
      <c r="BF423" s="514"/>
      <c r="BG423" s="514"/>
      <c r="BH423" s="125"/>
      <c r="BI423" s="515"/>
      <c r="BJ423" s="515"/>
      <c r="BK423" s="515"/>
      <c r="BL423" s="515"/>
      <c r="BM423" s="515"/>
      <c r="BN423" s="515"/>
      <c r="BO423" s="515"/>
      <c r="BP423" s="515"/>
      <c r="BQ423" s="515"/>
      <c r="BR423" s="515"/>
      <c r="BS423" s="515"/>
      <c r="BT423" s="515"/>
      <c r="BU423" s="515"/>
      <c r="BV423" s="515"/>
      <c r="BW423" s="515"/>
      <c r="BX423" s="515"/>
      <c r="BY423" s="515"/>
      <c r="BZ423" s="515"/>
      <c r="CA423" s="515"/>
      <c r="CB423" s="515"/>
      <c r="CC423" s="515"/>
      <c r="CD423" s="515"/>
      <c r="CE423" s="515"/>
      <c r="CF423" s="515"/>
      <c r="CG423" s="515"/>
      <c r="CH423" s="515"/>
      <c r="CI423" s="515"/>
      <c r="CJ423" s="515"/>
      <c r="CK423" s="515"/>
      <c r="CL423" s="515"/>
      <c r="CM423" s="515"/>
      <c r="CN423" s="515"/>
      <c r="CO423" s="515"/>
      <c r="CP423" s="515"/>
      <c r="CQ423" s="515"/>
      <c r="CR423" s="515"/>
      <c r="CS423" s="515"/>
      <c r="CT423" s="515"/>
      <c r="CU423" s="515"/>
      <c r="CV423" s="515"/>
      <c r="CW423" s="515"/>
      <c r="CX423" s="515"/>
      <c r="CY423" s="515"/>
      <c r="CZ423" s="515"/>
      <c r="DA423" s="515"/>
      <c r="DB423" s="515"/>
      <c r="DC423" s="515"/>
      <c r="DD423" s="515"/>
      <c r="DE423" s="515"/>
      <c r="DF423" s="515"/>
      <c r="DG423" s="125"/>
      <c r="DH423" s="125"/>
      <c r="DI423" s="27"/>
      <c r="DJ423" s="7"/>
      <c r="DK423" s="7"/>
      <c r="DL423" s="7"/>
      <c r="DM423" s="7"/>
      <c r="DN423" s="7"/>
      <c r="DO423" s="7"/>
      <c r="DP423" s="7"/>
      <c r="DQ423" s="2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row>
    <row r="424" spans="1:155" s="566" customFormat="1" ht="15" hidden="1" customHeight="1">
      <c r="A424" s="188"/>
      <c r="B424" s="190"/>
      <c r="C424" s="255"/>
      <c r="D424" s="255"/>
      <c r="E424" s="533"/>
      <c r="F424" s="3"/>
      <c r="G424" s="3"/>
      <c r="H424" s="70"/>
      <c r="I424" s="70"/>
      <c r="J424" s="27"/>
      <c r="K424" s="27"/>
      <c r="L424" s="70"/>
      <c r="M424" s="70"/>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3"/>
      <c r="BE424" s="514"/>
      <c r="BF424" s="514"/>
      <c r="BG424" s="514"/>
      <c r="BH424" s="125"/>
      <c r="BI424" s="515"/>
      <c r="BJ424" s="515"/>
      <c r="BK424" s="515"/>
      <c r="BL424" s="515"/>
      <c r="BM424" s="515"/>
      <c r="BN424" s="515"/>
      <c r="BO424" s="515"/>
      <c r="BP424" s="515"/>
      <c r="BQ424" s="515"/>
      <c r="BR424" s="515"/>
      <c r="BS424" s="515"/>
      <c r="BT424" s="515"/>
      <c r="BU424" s="515"/>
      <c r="BV424" s="515"/>
      <c r="BW424" s="515"/>
      <c r="BX424" s="515"/>
      <c r="BY424" s="515"/>
      <c r="BZ424" s="515"/>
      <c r="CA424" s="515"/>
      <c r="CB424" s="515"/>
      <c r="CC424" s="515"/>
      <c r="CD424" s="515"/>
      <c r="CE424" s="515"/>
      <c r="CF424" s="515"/>
      <c r="CG424" s="515"/>
      <c r="CH424" s="515"/>
      <c r="CI424" s="515"/>
      <c r="CJ424" s="515"/>
      <c r="CK424" s="515"/>
      <c r="CL424" s="515"/>
      <c r="CM424" s="515"/>
      <c r="CN424" s="515"/>
      <c r="CO424" s="515"/>
      <c r="CP424" s="515"/>
      <c r="CQ424" s="515"/>
      <c r="CR424" s="515"/>
      <c r="CS424" s="515"/>
      <c r="CT424" s="515"/>
      <c r="CU424" s="515"/>
      <c r="CV424" s="515"/>
      <c r="CW424" s="515"/>
      <c r="CX424" s="515"/>
      <c r="CY424" s="515"/>
      <c r="CZ424" s="515"/>
      <c r="DA424" s="515"/>
      <c r="DB424" s="515"/>
      <c r="DC424" s="515"/>
      <c r="DD424" s="515"/>
      <c r="DE424" s="515"/>
      <c r="DF424" s="515"/>
      <c r="DG424" s="125"/>
      <c r="DH424" s="125"/>
      <c r="DI424" s="27"/>
      <c r="DJ424" s="7"/>
      <c r="DK424" s="7"/>
      <c r="DL424" s="7"/>
      <c r="DM424" s="7"/>
      <c r="DN424" s="7"/>
      <c r="DO424" s="7"/>
      <c r="DP424" s="7"/>
      <c r="DQ424" s="2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row>
    <row r="425" spans="1:155" s="566" customFormat="1" ht="15" hidden="1" customHeight="1">
      <c r="A425" s="188"/>
      <c r="B425" s="190"/>
      <c r="C425" s="255"/>
      <c r="D425" s="255"/>
      <c r="E425" s="533"/>
      <c r="F425" s="3"/>
      <c r="G425" s="3"/>
      <c r="H425" s="70"/>
      <c r="I425" s="70"/>
      <c r="J425" s="27"/>
      <c r="K425" s="27"/>
      <c r="L425" s="70"/>
      <c r="M425" s="70"/>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3"/>
      <c r="BE425" s="514"/>
      <c r="BF425" s="514"/>
      <c r="BG425" s="514"/>
      <c r="BH425" s="125"/>
      <c r="BI425" s="515"/>
      <c r="BJ425" s="515"/>
      <c r="BK425" s="515"/>
      <c r="BL425" s="515"/>
      <c r="BM425" s="515"/>
      <c r="BN425" s="515"/>
      <c r="BO425" s="515"/>
      <c r="BP425" s="515"/>
      <c r="BQ425" s="515"/>
      <c r="BR425" s="515"/>
      <c r="BS425" s="515"/>
      <c r="BT425" s="515"/>
      <c r="BU425" s="515"/>
      <c r="BV425" s="515"/>
      <c r="BW425" s="515"/>
      <c r="BX425" s="515"/>
      <c r="BY425" s="515"/>
      <c r="BZ425" s="515"/>
      <c r="CA425" s="515"/>
      <c r="CB425" s="515"/>
      <c r="CC425" s="515"/>
      <c r="CD425" s="515"/>
      <c r="CE425" s="515"/>
      <c r="CF425" s="515"/>
      <c r="CG425" s="515"/>
      <c r="CH425" s="515"/>
      <c r="CI425" s="515"/>
      <c r="CJ425" s="515"/>
      <c r="CK425" s="515"/>
      <c r="CL425" s="515"/>
      <c r="CM425" s="515"/>
      <c r="CN425" s="515"/>
      <c r="CO425" s="515"/>
      <c r="CP425" s="515"/>
      <c r="CQ425" s="515"/>
      <c r="CR425" s="515"/>
      <c r="CS425" s="515"/>
      <c r="CT425" s="515"/>
      <c r="CU425" s="515"/>
      <c r="CV425" s="515"/>
      <c r="CW425" s="515"/>
      <c r="CX425" s="515"/>
      <c r="CY425" s="515"/>
      <c r="CZ425" s="515"/>
      <c r="DA425" s="515"/>
      <c r="DB425" s="515"/>
      <c r="DC425" s="515"/>
      <c r="DD425" s="515"/>
      <c r="DE425" s="515"/>
      <c r="DF425" s="515"/>
      <c r="DG425" s="125"/>
      <c r="DH425" s="125"/>
      <c r="DI425" s="27"/>
      <c r="DJ425" s="7"/>
      <c r="DK425" s="7"/>
      <c r="DL425" s="7"/>
      <c r="DM425" s="7"/>
      <c r="DN425" s="7"/>
      <c r="DO425" s="7"/>
      <c r="DP425" s="7"/>
      <c r="DQ425" s="2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row>
    <row r="426" spans="1:155" s="566" customFormat="1" ht="15" hidden="1" customHeight="1">
      <c r="A426" s="188"/>
      <c r="B426" s="190"/>
      <c r="C426" s="255"/>
      <c r="D426" s="255"/>
      <c r="E426" s="533"/>
      <c r="F426" s="3"/>
      <c r="G426" s="3"/>
      <c r="H426" s="70"/>
      <c r="I426" s="70"/>
      <c r="J426" s="27"/>
      <c r="K426" s="27"/>
      <c r="L426" s="70"/>
      <c r="M426" s="70"/>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3"/>
      <c r="BE426" s="514"/>
      <c r="BF426" s="514"/>
      <c r="BG426" s="514"/>
      <c r="BH426" s="125"/>
      <c r="BI426" s="515"/>
      <c r="BJ426" s="515"/>
      <c r="BK426" s="515"/>
      <c r="BL426" s="515"/>
      <c r="BM426" s="515"/>
      <c r="BN426" s="515"/>
      <c r="BO426" s="515"/>
      <c r="BP426" s="515"/>
      <c r="BQ426" s="515"/>
      <c r="BR426" s="515"/>
      <c r="BS426" s="515"/>
      <c r="BT426" s="515"/>
      <c r="BU426" s="515"/>
      <c r="BV426" s="515"/>
      <c r="BW426" s="515"/>
      <c r="BX426" s="515"/>
      <c r="BY426" s="515"/>
      <c r="BZ426" s="515"/>
      <c r="CA426" s="515"/>
      <c r="CB426" s="515"/>
      <c r="CC426" s="515"/>
      <c r="CD426" s="515"/>
      <c r="CE426" s="515"/>
      <c r="CF426" s="515"/>
      <c r="CG426" s="515"/>
      <c r="CH426" s="515"/>
      <c r="CI426" s="515"/>
      <c r="CJ426" s="515"/>
      <c r="CK426" s="515"/>
      <c r="CL426" s="515"/>
      <c r="CM426" s="515"/>
      <c r="CN426" s="515"/>
      <c r="CO426" s="515"/>
      <c r="CP426" s="515"/>
      <c r="CQ426" s="515"/>
      <c r="CR426" s="515"/>
      <c r="CS426" s="515"/>
      <c r="CT426" s="515"/>
      <c r="CU426" s="515"/>
      <c r="CV426" s="515"/>
      <c r="CW426" s="515"/>
      <c r="CX426" s="515"/>
      <c r="CY426" s="515"/>
      <c r="CZ426" s="515"/>
      <c r="DA426" s="515"/>
      <c r="DB426" s="515"/>
      <c r="DC426" s="515"/>
      <c r="DD426" s="515"/>
      <c r="DE426" s="515"/>
      <c r="DF426" s="515"/>
      <c r="DG426" s="125"/>
      <c r="DH426" s="125"/>
      <c r="DI426" s="27"/>
      <c r="DJ426" s="7"/>
      <c r="DK426" s="7"/>
      <c r="DL426" s="7"/>
      <c r="DM426" s="7"/>
      <c r="DN426" s="7"/>
      <c r="DO426" s="7"/>
      <c r="DP426" s="7"/>
      <c r="DQ426" s="2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row>
    <row r="427" spans="1:155" s="566" customFormat="1" hidden="1">
      <c r="A427" s="188"/>
      <c r="B427" s="534"/>
      <c r="C427" s="534"/>
      <c r="D427" s="535"/>
      <c r="E427" s="536"/>
      <c r="F427" s="3"/>
      <c r="G427" s="3"/>
      <c r="H427" s="27"/>
      <c r="I427" s="27"/>
      <c r="J427" s="27"/>
      <c r="K427" s="27"/>
      <c r="L427" s="70"/>
      <c r="M427" s="70"/>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3"/>
      <c r="BE427" s="514"/>
      <c r="BF427" s="514"/>
      <c r="BG427" s="514"/>
      <c r="BH427" s="125"/>
      <c r="BI427" s="515"/>
      <c r="BJ427" s="515"/>
      <c r="BK427" s="515"/>
      <c r="BL427" s="515"/>
      <c r="BM427" s="515"/>
      <c r="BN427" s="515"/>
      <c r="BO427" s="515"/>
      <c r="BP427" s="515"/>
      <c r="BQ427" s="515"/>
      <c r="BR427" s="515"/>
      <c r="BS427" s="515"/>
      <c r="BT427" s="515"/>
      <c r="BU427" s="515"/>
      <c r="BV427" s="515"/>
      <c r="BW427" s="515"/>
      <c r="BX427" s="515"/>
      <c r="BY427" s="515"/>
      <c r="BZ427" s="515"/>
      <c r="CA427" s="515"/>
      <c r="CB427" s="515"/>
      <c r="CC427" s="515"/>
      <c r="CD427" s="515"/>
      <c r="CE427" s="515"/>
      <c r="CF427" s="515"/>
      <c r="CG427" s="515"/>
      <c r="CH427" s="515"/>
      <c r="CI427" s="515"/>
      <c r="CJ427" s="515"/>
      <c r="CK427" s="515"/>
      <c r="CL427" s="515"/>
      <c r="CM427" s="515"/>
      <c r="CN427" s="515"/>
      <c r="CO427" s="515"/>
      <c r="CP427" s="515"/>
      <c r="CQ427" s="515"/>
      <c r="CR427" s="515"/>
      <c r="CS427" s="515"/>
      <c r="CT427" s="515"/>
      <c r="CU427" s="515"/>
      <c r="CV427" s="515"/>
      <c r="CW427" s="515"/>
      <c r="CX427" s="515"/>
      <c r="CY427" s="515"/>
      <c r="CZ427" s="515"/>
      <c r="DA427" s="515"/>
      <c r="DB427" s="515"/>
      <c r="DC427" s="515"/>
      <c r="DD427" s="515"/>
      <c r="DE427" s="515"/>
      <c r="DF427" s="515"/>
      <c r="DG427" s="125"/>
      <c r="DH427" s="125"/>
      <c r="DI427" s="27"/>
      <c r="DJ427" s="7"/>
      <c r="DK427" s="7"/>
      <c r="DL427" s="7"/>
      <c r="DM427" s="7"/>
      <c r="DN427" s="7"/>
      <c r="DO427" s="7"/>
      <c r="DP427" s="7"/>
      <c r="DQ427" s="2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row>
    <row r="428" spans="1:155" s="566" customFormat="1" hidden="1">
      <c r="A428" s="188"/>
      <c r="B428" s="27"/>
      <c r="C428" s="180"/>
      <c r="D428" s="70"/>
      <c r="E428" s="27"/>
      <c r="F428" s="3"/>
      <c r="G428" s="3"/>
      <c r="H428" s="27"/>
      <c r="I428" s="27"/>
      <c r="J428" s="27"/>
      <c r="K428" s="27"/>
      <c r="L428" s="70"/>
      <c r="M428" s="70"/>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3"/>
      <c r="BE428" s="514"/>
      <c r="BF428" s="514"/>
      <c r="BG428" s="514"/>
      <c r="BH428" s="125"/>
      <c r="BI428" s="515"/>
      <c r="BJ428" s="515"/>
      <c r="BK428" s="515"/>
      <c r="BL428" s="515"/>
      <c r="BM428" s="515"/>
      <c r="BN428" s="515"/>
      <c r="BO428" s="515"/>
      <c r="BP428" s="515"/>
      <c r="BQ428" s="515"/>
      <c r="BR428" s="515"/>
      <c r="BS428" s="515"/>
      <c r="BT428" s="515"/>
      <c r="BU428" s="515"/>
      <c r="BV428" s="515"/>
      <c r="BW428" s="515"/>
      <c r="BX428" s="515"/>
      <c r="BY428" s="515"/>
      <c r="BZ428" s="515"/>
      <c r="CA428" s="515"/>
      <c r="CB428" s="515"/>
      <c r="CC428" s="515"/>
      <c r="CD428" s="515"/>
      <c r="CE428" s="515"/>
      <c r="CF428" s="515"/>
      <c r="CG428" s="515"/>
      <c r="CH428" s="515"/>
      <c r="CI428" s="515"/>
      <c r="CJ428" s="515"/>
      <c r="CK428" s="515"/>
      <c r="CL428" s="515"/>
      <c r="CM428" s="515"/>
      <c r="CN428" s="515"/>
      <c r="CO428" s="515"/>
      <c r="CP428" s="515"/>
      <c r="CQ428" s="515"/>
      <c r="CR428" s="515"/>
      <c r="CS428" s="515"/>
      <c r="CT428" s="515"/>
      <c r="CU428" s="515"/>
      <c r="CV428" s="515"/>
      <c r="CW428" s="515"/>
      <c r="CX428" s="515"/>
      <c r="CY428" s="515"/>
      <c r="CZ428" s="515"/>
      <c r="DA428" s="515"/>
      <c r="DB428" s="515"/>
      <c r="DC428" s="515"/>
      <c r="DD428" s="515"/>
      <c r="DE428" s="515"/>
      <c r="DF428" s="515"/>
      <c r="DG428" s="125"/>
      <c r="DH428" s="125"/>
      <c r="DI428" s="27"/>
      <c r="DJ428" s="7"/>
      <c r="DK428" s="7"/>
      <c r="DL428" s="7"/>
      <c r="DM428" s="7"/>
      <c r="DN428" s="7"/>
      <c r="DO428" s="7"/>
      <c r="DP428" s="7"/>
      <c r="DQ428" s="2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row>
    <row r="429" spans="1:155" s="566" customFormat="1" ht="15" hidden="1" customHeight="1">
      <c r="A429" s="3"/>
      <c r="B429" s="27"/>
      <c r="C429" s="70"/>
      <c r="D429" s="70"/>
      <c r="E429" s="27"/>
      <c r="F429" s="3"/>
      <c r="G429" s="3"/>
      <c r="H429" s="27"/>
      <c r="I429" s="27"/>
      <c r="J429" s="27"/>
      <c r="K429" s="27"/>
      <c r="L429" s="70"/>
      <c r="M429" s="70"/>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3"/>
      <c r="BE429" s="514"/>
      <c r="BF429" s="514"/>
      <c r="BG429" s="514"/>
      <c r="BH429" s="125"/>
      <c r="BI429" s="515"/>
      <c r="BJ429" s="515"/>
      <c r="BK429" s="515"/>
      <c r="BL429" s="515"/>
      <c r="BM429" s="515"/>
      <c r="BN429" s="515"/>
      <c r="BO429" s="515"/>
      <c r="BP429" s="515"/>
      <c r="BQ429" s="515"/>
      <c r="BR429" s="515"/>
      <c r="BS429" s="515"/>
      <c r="BT429" s="515"/>
      <c r="BU429" s="515"/>
      <c r="BV429" s="515"/>
      <c r="BW429" s="515"/>
      <c r="BX429" s="515"/>
      <c r="BY429" s="515"/>
      <c r="BZ429" s="515"/>
      <c r="CA429" s="515"/>
      <c r="CB429" s="515"/>
      <c r="CC429" s="515"/>
      <c r="CD429" s="515"/>
      <c r="CE429" s="515"/>
      <c r="CF429" s="515"/>
      <c r="CG429" s="515"/>
      <c r="CH429" s="515"/>
      <c r="CI429" s="515"/>
      <c r="CJ429" s="515"/>
      <c r="CK429" s="515"/>
      <c r="CL429" s="515"/>
      <c r="CM429" s="515"/>
      <c r="CN429" s="515"/>
      <c r="CO429" s="515"/>
      <c r="CP429" s="515"/>
      <c r="CQ429" s="515"/>
      <c r="CR429" s="515"/>
      <c r="CS429" s="515"/>
      <c r="CT429" s="515"/>
      <c r="CU429" s="515"/>
      <c r="CV429" s="515"/>
      <c r="CW429" s="515"/>
      <c r="CX429" s="515"/>
      <c r="CY429" s="515"/>
      <c r="CZ429" s="515"/>
      <c r="DA429" s="515"/>
      <c r="DB429" s="515"/>
      <c r="DC429" s="515"/>
      <c r="DD429" s="515"/>
      <c r="DE429" s="515"/>
      <c r="DF429" s="515"/>
      <c r="DG429" s="125"/>
      <c r="DH429" s="125"/>
      <c r="DI429" s="27"/>
      <c r="DJ429" s="7"/>
      <c r="DK429" s="7"/>
      <c r="DL429" s="7"/>
      <c r="DM429" s="7"/>
      <c r="DN429" s="7"/>
      <c r="DO429" s="7"/>
      <c r="DP429" s="7"/>
      <c r="DQ429" s="2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row>
    <row r="430" spans="1:155" s="566" customFormat="1" hidden="1">
      <c r="A430" s="188"/>
      <c r="B430" s="537"/>
      <c r="C430" s="537"/>
      <c r="D430" s="537"/>
      <c r="E430" s="537"/>
      <c r="F430" s="519"/>
      <c r="G430" s="3"/>
      <c r="H430" s="27"/>
      <c r="I430" s="27"/>
      <c r="J430" s="27"/>
      <c r="K430" s="27"/>
      <c r="L430" s="70"/>
      <c r="M430" s="70"/>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3"/>
      <c r="BE430" s="514"/>
      <c r="BF430" s="514"/>
      <c r="BG430" s="514"/>
      <c r="BH430" s="125"/>
      <c r="BI430" s="515"/>
      <c r="BJ430" s="515"/>
      <c r="BK430" s="515"/>
      <c r="BL430" s="515"/>
      <c r="BM430" s="515"/>
      <c r="BN430" s="515"/>
      <c r="BO430" s="515"/>
      <c r="BP430" s="515"/>
      <c r="BQ430" s="515"/>
      <c r="BR430" s="515"/>
      <c r="BS430" s="515"/>
      <c r="BT430" s="515"/>
      <c r="BU430" s="515"/>
      <c r="BV430" s="515"/>
      <c r="BW430" s="515"/>
      <c r="BX430" s="515"/>
      <c r="BY430" s="515"/>
      <c r="BZ430" s="515"/>
      <c r="CA430" s="515"/>
      <c r="CB430" s="515"/>
      <c r="CC430" s="515"/>
      <c r="CD430" s="515"/>
      <c r="CE430" s="515"/>
      <c r="CF430" s="515"/>
      <c r="CG430" s="515"/>
      <c r="CH430" s="515"/>
      <c r="CI430" s="515"/>
      <c r="CJ430" s="515"/>
      <c r="CK430" s="515"/>
      <c r="CL430" s="515"/>
      <c r="CM430" s="515"/>
      <c r="CN430" s="515"/>
      <c r="CO430" s="515"/>
      <c r="CP430" s="515"/>
      <c r="CQ430" s="515"/>
      <c r="CR430" s="515"/>
      <c r="CS430" s="515"/>
      <c r="CT430" s="515"/>
      <c r="CU430" s="515"/>
      <c r="CV430" s="515"/>
      <c r="CW430" s="515"/>
      <c r="CX430" s="515"/>
      <c r="CY430" s="515"/>
      <c r="CZ430" s="515"/>
      <c r="DA430" s="515"/>
      <c r="DB430" s="515"/>
      <c r="DC430" s="515"/>
      <c r="DD430" s="515"/>
      <c r="DE430" s="515"/>
      <c r="DF430" s="515"/>
      <c r="DG430" s="125"/>
      <c r="DH430" s="125"/>
      <c r="DI430" s="27"/>
      <c r="DJ430" s="7"/>
      <c r="DK430" s="7"/>
      <c r="DL430" s="7"/>
      <c r="DM430" s="7"/>
      <c r="DN430" s="7"/>
      <c r="DO430" s="7"/>
      <c r="DP430" s="7"/>
      <c r="DQ430" s="2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row>
    <row r="431" spans="1:155" s="566" customFormat="1" hidden="1">
      <c r="A431" s="188"/>
      <c r="B431" s="628"/>
      <c r="C431" s="628"/>
      <c r="D431" s="628"/>
      <c r="E431" s="3"/>
      <c r="F431" s="3"/>
      <c r="G431" s="3"/>
      <c r="H431" s="27"/>
      <c r="I431" s="27"/>
      <c r="J431" s="27"/>
      <c r="K431" s="27"/>
      <c r="L431" s="70"/>
      <c r="M431" s="70"/>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3"/>
      <c r="BE431" s="514"/>
      <c r="BF431" s="514"/>
      <c r="BG431" s="514"/>
      <c r="BH431" s="125"/>
      <c r="BI431" s="515"/>
      <c r="BJ431" s="515"/>
      <c r="BK431" s="515"/>
      <c r="BL431" s="515"/>
      <c r="BM431" s="515"/>
      <c r="BN431" s="515"/>
      <c r="BO431" s="515"/>
      <c r="BP431" s="515"/>
      <c r="BQ431" s="515"/>
      <c r="BR431" s="515"/>
      <c r="BS431" s="515"/>
      <c r="BT431" s="515"/>
      <c r="BU431" s="515"/>
      <c r="BV431" s="515"/>
      <c r="BW431" s="515"/>
      <c r="BX431" s="515"/>
      <c r="BY431" s="515"/>
      <c r="BZ431" s="515"/>
      <c r="CA431" s="515"/>
      <c r="CB431" s="515"/>
      <c r="CC431" s="515"/>
      <c r="CD431" s="515"/>
      <c r="CE431" s="515"/>
      <c r="CF431" s="515"/>
      <c r="CG431" s="515"/>
      <c r="CH431" s="515"/>
      <c r="CI431" s="515"/>
      <c r="CJ431" s="515"/>
      <c r="CK431" s="515"/>
      <c r="CL431" s="515"/>
      <c r="CM431" s="515"/>
      <c r="CN431" s="515"/>
      <c r="CO431" s="515"/>
      <c r="CP431" s="515"/>
      <c r="CQ431" s="515"/>
      <c r="CR431" s="515"/>
      <c r="CS431" s="515"/>
      <c r="CT431" s="515"/>
      <c r="CU431" s="515"/>
      <c r="CV431" s="515"/>
      <c r="CW431" s="515"/>
      <c r="CX431" s="515"/>
      <c r="CY431" s="515"/>
      <c r="CZ431" s="515"/>
      <c r="DA431" s="515"/>
      <c r="DB431" s="515"/>
      <c r="DC431" s="515"/>
      <c r="DD431" s="515"/>
      <c r="DE431" s="515"/>
      <c r="DF431" s="515"/>
      <c r="DG431" s="125"/>
      <c r="DH431" s="125"/>
      <c r="DI431" s="27"/>
      <c r="DJ431" s="7"/>
      <c r="DK431" s="7"/>
      <c r="DL431" s="7"/>
      <c r="DM431" s="7"/>
      <c r="DN431" s="7"/>
      <c r="DO431" s="7"/>
      <c r="DP431" s="7"/>
      <c r="DQ431" s="2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row>
    <row r="432" spans="1:155" s="566" customFormat="1" hidden="1">
      <c r="A432" s="188"/>
      <c r="B432" s="190"/>
      <c r="C432" s="190"/>
      <c r="D432" s="190"/>
      <c r="E432" s="190"/>
      <c r="F432" s="629"/>
      <c r="G432" s="3"/>
      <c r="H432" s="27"/>
      <c r="I432" s="27"/>
      <c r="J432" s="27"/>
      <c r="K432" s="27"/>
      <c r="L432" s="70"/>
      <c r="M432" s="70"/>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3"/>
      <c r="BE432" s="514"/>
      <c r="BF432" s="514"/>
      <c r="BG432" s="514"/>
      <c r="BH432" s="125"/>
      <c r="BI432" s="515"/>
      <c r="BJ432" s="515"/>
      <c r="BK432" s="515"/>
      <c r="BL432" s="515"/>
      <c r="BM432" s="515"/>
      <c r="BN432" s="515"/>
      <c r="BO432" s="515"/>
      <c r="BP432" s="515"/>
      <c r="BQ432" s="515"/>
      <c r="BR432" s="515"/>
      <c r="BS432" s="515"/>
      <c r="BT432" s="515"/>
      <c r="BU432" s="515"/>
      <c r="BV432" s="515"/>
      <c r="BW432" s="515"/>
      <c r="BX432" s="515"/>
      <c r="BY432" s="515"/>
      <c r="BZ432" s="515"/>
      <c r="CA432" s="515"/>
      <c r="CB432" s="515"/>
      <c r="CC432" s="515"/>
      <c r="CD432" s="515"/>
      <c r="CE432" s="515"/>
      <c r="CF432" s="515"/>
      <c r="CG432" s="515"/>
      <c r="CH432" s="515"/>
      <c r="CI432" s="515"/>
      <c r="CJ432" s="515"/>
      <c r="CK432" s="515"/>
      <c r="CL432" s="515"/>
      <c r="CM432" s="515"/>
      <c r="CN432" s="515"/>
      <c r="CO432" s="515"/>
      <c r="CP432" s="515"/>
      <c r="CQ432" s="515"/>
      <c r="CR432" s="515"/>
      <c r="CS432" s="515"/>
      <c r="CT432" s="515"/>
      <c r="CU432" s="515"/>
      <c r="CV432" s="515"/>
      <c r="CW432" s="515"/>
      <c r="CX432" s="515"/>
      <c r="CY432" s="515"/>
      <c r="CZ432" s="515"/>
      <c r="DA432" s="515"/>
      <c r="DB432" s="515"/>
      <c r="DC432" s="515"/>
      <c r="DD432" s="515"/>
      <c r="DE432" s="515"/>
      <c r="DF432" s="515"/>
      <c r="DG432" s="125"/>
      <c r="DH432" s="125"/>
      <c r="DI432" s="27"/>
      <c r="DJ432" s="7"/>
      <c r="DK432" s="7"/>
      <c r="DL432" s="7"/>
      <c r="DM432" s="7"/>
      <c r="DN432" s="7"/>
      <c r="DO432" s="7"/>
      <c r="DP432" s="7"/>
      <c r="DQ432" s="2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row>
    <row r="433" spans="1:155" s="566" customFormat="1" hidden="1">
      <c r="A433" s="188"/>
      <c r="B433" s="260"/>
      <c r="C433" s="538"/>
      <c r="D433" s="538"/>
      <c r="E433" s="538"/>
      <c r="F433" s="629"/>
      <c r="G433" s="3"/>
      <c r="H433" s="27"/>
      <c r="I433" s="27"/>
      <c r="J433" s="27"/>
      <c r="K433" s="27"/>
      <c r="L433" s="70"/>
      <c r="M433" s="70"/>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3"/>
      <c r="BE433" s="514"/>
      <c r="BF433" s="514"/>
      <c r="BG433" s="514"/>
      <c r="BH433" s="125"/>
      <c r="BI433" s="515"/>
      <c r="BJ433" s="515"/>
      <c r="BK433" s="515"/>
      <c r="BL433" s="515"/>
      <c r="BM433" s="515"/>
      <c r="BN433" s="515"/>
      <c r="BO433" s="515"/>
      <c r="BP433" s="515"/>
      <c r="BQ433" s="515"/>
      <c r="BR433" s="515"/>
      <c r="BS433" s="515"/>
      <c r="BT433" s="515"/>
      <c r="BU433" s="515"/>
      <c r="BV433" s="515"/>
      <c r="BW433" s="515"/>
      <c r="BX433" s="515"/>
      <c r="BY433" s="515"/>
      <c r="BZ433" s="515"/>
      <c r="CA433" s="515"/>
      <c r="CB433" s="515"/>
      <c r="CC433" s="515"/>
      <c r="CD433" s="515"/>
      <c r="CE433" s="515"/>
      <c r="CF433" s="515"/>
      <c r="CG433" s="515"/>
      <c r="CH433" s="515"/>
      <c r="CI433" s="515"/>
      <c r="CJ433" s="515"/>
      <c r="CK433" s="515"/>
      <c r="CL433" s="515"/>
      <c r="CM433" s="515"/>
      <c r="CN433" s="515"/>
      <c r="CO433" s="515"/>
      <c r="CP433" s="515"/>
      <c r="CQ433" s="515"/>
      <c r="CR433" s="515"/>
      <c r="CS433" s="515"/>
      <c r="CT433" s="515"/>
      <c r="CU433" s="515"/>
      <c r="CV433" s="515"/>
      <c r="CW433" s="515"/>
      <c r="CX433" s="515"/>
      <c r="CY433" s="515"/>
      <c r="CZ433" s="515"/>
      <c r="DA433" s="515"/>
      <c r="DB433" s="515"/>
      <c r="DC433" s="515"/>
      <c r="DD433" s="515"/>
      <c r="DE433" s="515"/>
      <c r="DF433" s="515"/>
      <c r="DG433" s="125"/>
      <c r="DH433" s="125"/>
      <c r="DI433" s="27"/>
      <c r="DJ433" s="7"/>
      <c r="DK433" s="7"/>
      <c r="DL433" s="7"/>
      <c r="DM433" s="7"/>
      <c r="DN433" s="7"/>
      <c r="DO433" s="7"/>
      <c r="DP433" s="7"/>
      <c r="DQ433" s="2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row>
    <row r="434" spans="1:155" s="566" customFormat="1" hidden="1">
      <c r="A434" s="539"/>
      <c r="B434" s="194"/>
      <c r="C434" s="538"/>
      <c r="D434" s="538"/>
      <c r="E434" s="538"/>
      <c r="F434" s="324"/>
      <c r="G434" s="3"/>
      <c r="H434" s="27"/>
      <c r="I434" s="27"/>
      <c r="J434" s="27"/>
      <c r="K434" s="27"/>
      <c r="L434" s="70"/>
      <c r="M434" s="70"/>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3"/>
      <c r="BE434" s="514"/>
      <c r="BF434" s="514"/>
      <c r="BG434" s="514"/>
      <c r="BH434" s="125"/>
      <c r="BI434" s="515"/>
      <c r="BJ434" s="515"/>
      <c r="BK434" s="515"/>
      <c r="BL434" s="515"/>
      <c r="BM434" s="515"/>
      <c r="BN434" s="515"/>
      <c r="BO434" s="515"/>
      <c r="BP434" s="515"/>
      <c r="BQ434" s="515"/>
      <c r="BR434" s="515"/>
      <c r="BS434" s="515"/>
      <c r="BT434" s="515"/>
      <c r="BU434" s="515"/>
      <c r="BV434" s="515"/>
      <c r="BW434" s="515"/>
      <c r="BX434" s="515"/>
      <c r="BY434" s="515"/>
      <c r="BZ434" s="515"/>
      <c r="CA434" s="515"/>
      <c r="CB434" s="515"/>
      <c r="CC434" s="515"/>
      <c r="CD434" s="515"/>
      <c r="CE434" s="515"/>
      <c r="CF434" s="515"/>
      <c r="CG434" s="515"/>
      <c r="CH434" s="515"/>
      <c r="CI434" s="515"/>
      <c r="CJ434" s="515"/>
      <c r="CK434" s="515"/>
      <c r="CL434" s="515"/>
      <c r="CM434" s="515"/>
      <c r="CN434" s="515"/>
      <c r="CO434" s="515"/>
      <c r="CP434" s="515"/>
      <c r="CQ434" s="515"/>
      <c r="CR434" s="515"/>
      <c r="CS434" s="515"/>
      <c r="CT434" s="515"/>
      <c r="CU434" s="515"/>
      <c r="CV434" s="515"/>
      <c r="CW434" s="515"/>
      <c r="CX434" s="515"/>
      <c r="CY434" s="515"/>
      <c r="CZ434" s="515"/>
      <c r="DA434" s="515"/>
      <c r="DB434" s="515"/>
      <c r="DC434" s="515"/>
      <c r="DD434" s="515"/>
      <c r="DE434" s="515"/>
      <c r="DF434" s="515"/>
      <c r="DG434" s="125"/>
      <c r="DH434" s="125"/>
      <c r="DI434" s="27"/>
      <c r="DJ434" s="7"/>
      <c r="DK434" s="7"/>
      <c r="DL434" s="7"/>
      <c r="DM434" s="7"/>
      <c r="DN434" s="7"/>
      <c r="DO434" s="7"/>
      <c r="DP434" s="7"/>
      <c r="DQ434" s="2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row>
    <row r="435" spans="1:155" s="566" customFormat="1" hidden="1">
      <c r="A435" s="539"/>
      <c r="B435" s="194"/>
      <c r="C435" s="538"/>
      <c r="D435" s="538"/>
      <c r="E435" s="538"/>
      <c r="F435" s="324"/>
      <c r="G435" s="3"/>
      <c r="H435" s="27"/>
      <c r="I435" s="27"/>
      <c r="J435" s="27"/>
      <c r="K435" s="27"/>
      <c r="L435" s="70"/>
      <c r="M435" s="70"/>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3"/>
      <c r="BE435" s="514"/>
      <c r="BF435" s="514"/>
      <c r="BG435" s="514"/>
      <c r="BH435" s="125"/>
      <c r="BI435" s="515"/>
      <c r="BJ435" s="515"/>
      <c r="BK435" s="515"/>
      <c r="BL435" s="515"/>
      <c r="BM435" s="515"/>
      <c r="BN435" s="515"/>
      <c r="BO435" s="515"/>
      <c r="BP435" s="515"/>
      <c r="BQ435" s="515"/>
      <c r="BR435" s="515"/>
      <c r="BS435" s="515"/>
      <c r="BT435" s="515"/>
      <c r="BU435" s="515"/>
      <c r="BV435" s="515"/>
      <c r="BW435" s="515"/>
      <c r="BX435" s="515"/>
      <c r="BY435" s="515"/>
      <c r="BZ435" s="515"/>
      <c r="CA435" s="515"/>
      <c r="CB435" s="515"/>
      <c r="CC435" s="515"/>
      <c r="CD435" s="515"/>
      <c r="CE435" s="515"/>
      <c r="CF435" s="515"/>
      <c r="CG435" s="515"/>
      <c r="CH435" s="515"/>
      <c r="CI435" s="515"/>
      <c r="CJ435" s="515"/>
      <c r="CK435" s="515"/>
      <c r="CL435" s="515"/>
      <c r="CM435" s="515"/>
      <c r="CN435" s="515"/>
      <c r="CO435" s="515"/>
      <c r="CP435" s="515"/>
      <c r="CQ435" s="515"/>
      <c r="CR435" s="515"/>
      <c r="CS435" s="515"/>
      <c r="CT435" s="515"/>
      <c r="CU435" s="515"/>
      <c r="CV435" s="515"/>
      <c r="CW435" s="515"/>
      <c r="CX435" s="515"/>
      <c r="CY435" s="515"/>
      <c r="CZ435" s="515"/>
      <c r="DA435" s="515"/>
      <c r="DB435" s="515"/>
      <c r="DC435" s="515"/>
      <c r="DD435" s="515"/>
      <c r="DE435" s="515"/>
      <c r="DF435" s="515"/>
      <c r="DG435" s="125"/>
      <c r="DH435" s="125"/>
      <c r="DI435" s="27"/>
      <c r="DJ435" s="7"/>
      <c r="DK435" s="7"/>
      <c r="DL435" s="7"/>
      <c r="DM435" s="7"/>
      <c r="DN435" s="7"/>
      <c r="DO435" s="7"/>
      <c r="DP435" s="7"/>
      <c r="DQ435" s="2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row>
    <row r="436" spans="1:155" s="566" customFormat="1" hidden="1">
      <c r="A436" s="539"/>
      <c r="B436" s="194"/>
      <c r="C436" s="538"/>
      <c r="D436" s="538"/>
      <c r="E436" s="538"/>
      <c r="F436" s="324"/>
      <c r="G436" s="3"/>
      <c r="H436" s="27"/>
      <c r="I436" s="27"/>
      <c r="J436" s="27"/>
      <c r="K436" s="27"/>
      <c r="L436" s="70"/>
      <c r="M436" s="70"/>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3"/>
      <c r="BE436" s="514"/>
      <c r="BF436" s="514"/>
      <c r="BG436" s="514"/>
      <c r="BH436" s="125"/>
      <c r="BI436" s="515"/>
      <c r="BJ436" s="515"/>
      <c r="BK436" s="515"/>
      <c r="BL436" s="515"/>
      <c r="BM436" s="515"/>
      <c r="BN436" s="515"/>
      <c r="BO436" s="515"/>
      <c r="BP436" s="515"/>
      <c r="BQ436" s="515"/>
      <c r="BR436" s="515"/>
      <c r="BS436" s="515"/>
      <c r="BT436" s="515"/>
      <c r="BU436" s="515"/>
      <c r="BV436" s="515"/>
      <c r="BW436" s="515"/>
      <c r="BX436" s="515"/>
      <c r="BY436" s="515"/>
      <c r="BZ436" s="515"/>
      <c r="CA436" s="515"/>
      <c r="CB436" s="515"/>
      <c r="CC436" s="515"/>
      <c r="CD436" s="515"/>
      <c r="CE436" s="515"/>
      <c r="CF436" s="515"/>
      <c r="CG436" s="515"/>
      <c r="CH436" s="515"/>
      <c r="CI436" s="515"/>
      <c r="CJ436" s="515"/>
      <c r="CK436" s="515"/>
      <c r="CL436" s="515"/>
      <c r="CM436" s="515"/>
      <c r="CN436" s="515"/>
      <c r="CO436" s="515"/>
      <c r="CP436" s="515"/>
      <c r="CQ436" s="515"/>
      <c r="CR436" s="515"/>
      <c r="CS436" s="515"/>
      <c r="CT436" s="515"/>
      <c r="CU436" s="515"/>
      <c r="CV436" s="515"/>
      <c r="CW436" s="515"/>
      <c r="CX436" s="515"/>
      <c r="CY436" s="515"/>
      <c r="CZ436" s="515"/>
      <c r="DA436" s="515"/>
      <c r="DB436" s="515"/>
      <c r="DC436" s="515"/>
      <c r="DD436" s="515"/>
      <c r="DE436" s="515"/>
      <c r="DF436" s="515"/>
      <c r="DG436" s="125"/>
      <c r="DH436" s="125"/>
      <c r="DI436" s="27"/>
      <c r="DJ436" s="7"/>
      <c r="DK436" s="7"/>
      <c r="DL436" s="7"/>
      <c r="DM436" s="7"/>
      <c r="DN436" s="7"/>
      <c r="DO436" s="7"/>
      <c r="DP436" s="7"/>
      <c r="DQ436" s="2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row>
    <row r="437" spans="1:155" s="566" customFormat="1" hidden="1">
      <c r="A437" s="101"/>
      <c r="B437" s="194"/>
      <c r="C437" s="538"/>
      <c r="D437" s="538"/>
      <c r="E437" s="538"/>
      <c r="F437" s="324"/>
      <c r="G437" s="3"/>
      <c r="H437" s="27"/>
      <c r="I437" s="27"/>
      <c r="J437" s="27"/>
      <c r="K437" s="27"/>
      <c r="L437" s="70"/>
      <c r="M437" s="70"/>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3"/>
      <c r="BE437" s="514"/>
      <c r="BF437" s="514"/>
      <c r="BG437" s="514"/>
      <c r="BH437" s="125"/>
      <c r="BI437" s="515"/>
      <c r="BJ437" s="515"/>
      <c r="BK437" s="515"/>
      <c r="BL437" s="515"/>
      <c r="BM437" s="515"/>
      <c r="BN437" s="515"/>
      <c r="BO437" s="515"/>
      <c r="BP437" s="515"/>
      <c r="BQ437" s="515"/>
      <c r="BR437" s="515"/>
      <c r="BS437" s="515"/>
      <c r="BT437" s="515"/>
      <c r="BU437" s="515"/>
      <c r="BV437" s="515"/>
      <c r="BW437" s="515"/>
      <c r="BX437" s="515"/>
      <c r="BY437" s="515"/>
      <c r="BZ437" s="515"/>
      <c r="CA437" s="515"/>
      <c r="CB437" s="515"/>
      <c r="CC437" s="515"/>
      <c r="CD437" s="515"/>
      <c r="CE437" s="515"/>
      <c r="CF437" s="515"/>
      <c r="CG437" s="515"/>
      <c r="CH437" s="515"/>
      <c r="CI437" s="515"/>
      <c r="CJ437" s="515"/>
      <c r="CK437" s="515"/>
      <c r="CL437" s="515"/>
      <c r="CM437" s="515"/>
      <c r="CN437" s="515"/>
      <c r="CO437" s="515"/>
      <c r="CP437" s="515"/>
      <c r="CQ437" s="515"/>
      <c r="CR437" s="515"/>
      <c r="CS437" s="515"/>
      <c r="CT437" s="515"/>
      <c r="CU437" s="515"/>
      <c r="CV437" s="515"/>
      <c r="CW437" s="515"/>
      <c r="CX437" s="515"/>
      <c r="CY437" s="515"/>
      <c r="CZ437" s="515"/>
      <c r="DA437" s="515"/>
      <c r="DB437" s="515"/>
      <c r="DC437" s="515"/>
      <c r="DD437" s="515"/>
      <c r="DE437" s="515"/>
      <c r="DF437" s="515"/>
      <c r="DG437" s="125"/>
      <c r="DH437" s="125"/>
      <c r="DI437" s="27"/>
      <c r="DJ437" s="7"/>
      <c r="DK437" s="7"/>
      <c r="DL437" s="7"/>
      <c r="DM437" s="7"/>
      <c r="DN437" s="7"/>
      <c r="DO437" s="7"/>
      <c r="DP437" s="7"/>
      <c r="DQ437" s="2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row>
    <row r="438" spans="1:155" s="566" customFormat="1" hidden="1">
      <c r="A438" s="101"/>
      <c r="B438" s="194"/>
      <c r="C438" s="538"/>
      <c r="D438" s="538"/>
      <c r="E438" s="538"/>
      <c r="F438" s="324"/>
      <c r="G438" s="3"/>
      <c r="H438" s="27"/>
      <c r="I438" s="27"/>
      <c r="J438" s="27"/>
      <c r="K438" s="27"/>
      <c r="L438" s="70"/>
      <c r="M438" s="70"/>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3"/>
      <c r="BE438" s="514"/>
      <c r="BF438" s="514"/>
      <c r="BG438" s="514"/>
      <c r="BH438" s="125"/>
      <c r="BI438" s="515"/>
      <c r="BJ438" s="515"/>
      <c r="BK438" s="515"/>
      <c r="BL438" s="515"/>
      <c r="BM438" s="515"/>
      <c r="BN438" s="515"/>
      <c r="BO438" s="515"/>
      <c r="BP438" s="515"/>
      <c r="BQ438" s="515"/>
      <c r="BR438" s="515"/>
      <c r="BS438" s="515"/>
      <c r="BT438" s="515"/>
      <c r="BU438" s="515"/>
      <c r="BV438" s="515"/>
      <c r="BW438" s="515"/>
      <c r="BX438" s="515"/>
      <c r="BY438" s="515"/>
      <c r="BZ438" s="515"/>
      <c r="CA438" s="515"/>
      <c r="CB438" s="515"/>
      <c r="CC438" s="515"/>
      <c r="CD438" s="515"/>
      <c r="CE438" s="515"/>
      <c r="CF438" s="515"/>
      <c r="CG438" s="515"/>
      <c r="CH438" s="515"/>
      <c r="CI438" s="515"/>
      <c r="CJ438" s="515"/>
      <c r="CK438" s="515"/>
      <c r="CL438" s="515"/>
      <c r="CM438" s="515"/>
      <c r="CN438" s="515"/>
      <c r="CO438" s="515"/>
      <c r="CP438" s="515"/>
      <c r="CQ438" s="515"/>
      <c r="CR438" s="515"/>
      <c r="CS438" s="515"/>
      <c r="CT438" s="515"/>
      <c r="CU438" s="515"/>
      <c r="CV438" s="515"/>
      <c r="CW438" s="515"/>
      <c r="CX438" s="515"/>
      <c r="CY438" s="515"/>
      <c r="CZ438" s="515"/>
      <c r="DA438" s="515"/>
      <c r="DB438" s="515"/>
      <c r="DC438" s="515"/>
      <c r="DD438" s="515"/>
      <c r="DE438" s="515"/>
      <c r="DF438" s="515"/>
      <c r="DG438" s="125"/>
      <c r="DH438" s="125"/>
      <c r="DI438" s="27"/>
      <c r="DJ438" s="7"/>
      <c r="DK438" s="7"/>
      <c r="DL438" s="7"/>
      <c r="DM438" s="7"/>
      <c r="DN438" s="7"/>
      <c r="DO438" s="7"/>
      <c r="DP438" s="7"/>
      <c r="DQ438" s="2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row>
    <row r="439" spans="1:155" s="566" customFormat="1" hidden="1">
      <c r="A439" s="101"/>
      <c r="B439" s="194"/>
      <c r="C439" s="538"/>
      <c r="D439" s="538"/>
      <c r="E439" s="538"/>
      <c r="F439" s="324"/>
      <c r="G439" s="3"/>
      <c r="H439" s="27"/>
      <c r="I439" s="27"/>
      <c r="J439" s="27"/>
      <c r="K439" s="27"/>
      <c r="L439" s="70"/>
      <c r="M439" s="70"/>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3"/>
      <c r="BE439" s="514"/>
      <c r="BF439" s="514"/>
      <c r="BG439" s="514"/>
      <c r="BH439" s="125"/>
      <c r="BI439" s="515"/>
      <c r="BJ439" s="515"/>
      <c r="BK439" s="515"/>
      <c r="BL439" s="515"/>
      <c r="BM439" s="515"/>
      <c r="BN439" s="515"/>
      <c r="BO439" s="515"/>
      <c r="BP439" s="515"/>
      <c r="BQ439" s="515"/>
      <c r="BR439" s="515"/>
      <c r="BS439" s="515"/>
      <c r="BT439" s="515"/>
      <c r="BU439" s="515"/>
      <c r="BV439" s="515"/>
      <c r="BW439" s="515"/>
      <c r="BX439" s="515"/>
      <c r="BY439" s="515"/>
      <c r="BZ439" s="515"/>
      <c r="CA439" s="515"/>
      <c r="CB439" s="515"/>
      <c r="CC439" s="515"/>
      <c r="CD439" s="515"/>
      <c r="CE439" s="515"/>
      <c r="CF439" s="515"/>
      <c r="CG439" s="515"/>
      <c r="CH439" s="515"/>
      <c r="CI439" s="515"/>
      <c r="CJ439" s="515"/>
      <c r="CK439" s="515"/>
      <c r="CL439" s="515"/>
      <c r="CM439" s="515"/>
      <c r="CN439" s="515"/>
      <c r="CO439" s="515"/>
      <c r="CP439" s="515"/>
      <c r="CQ439" s="515"/>
      <c r="CR439" s="515"/>
      <c r="CS439" s="515"/>
      <c r="CT439" s="515"/>
      <c r="CU439" s="515"/>
      <c r="CV439" s="515"/>
      <c r="CW439" s="515"/>
      <c r="CX439" s="515"/>
      <c r="CY439" s="515"/>
      <c r="CZ439" s="515"/>
      <c r="DA439" s="515"/>
      <c r="DB439" s="515"/>
      <c r="DC439" s="515"/>
      <c r="DD439" s="515"/>
      <c r="DE439" s="515"/>
      <c r="DF439" s="515"/>
      <c r="DG439" s="125"/>
      <c r="DH439" s="125"/>
      <c r="DI439" s="27"/>
      <c r="DJ439" s="7"/>
      <c r="DK439" s="7"/>
      <c r="DL439" s="7"/>
      <c r="DM439" s="7"/>
      <c r="DN439" s="7"/>
      <c r="DO439" s="7"/>
      <c r="DP439" s="7"/>
      <c r="DQ439" s="2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row>
    <row r="440" spans="1:155" s="566" customFormat="1" ht="18.75" hidden="1" customHeight="1">
      <c r="A440" s="101"/>
      <c r="B440" s="194"/>
      <c r="C440" s="538"/>
      <c r="D440" s="538"/>
      <c r="E440" s="538"/>
      <c r="F440" s="324"/>
      <c r="G440" s="3"/>
      <c r="H440" s="27"/>
      <c r="I440" s="27"/>
      <c r="J440" s="27"/>
      <c r="K440" s="27"/>
      <c r="L440" s="70"/>
      <c r="M440" s="70"/>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3"/>
      <c r="BE440" s="514"/>
      <c r="BF440" s="514"/>
      <c r="BG440" s="514"/>
      <c r="BH440" s="125"/>
      <c r="BI440" s="515"/>
      <c r="BJ440" s="515"/>
      <c r="BK440" s="515"/>
      <c r="BL440" s="515"/>
      <c r="BM440" s="515"/>
      <c r="BN440" s="515"/>
      <c r="BO440" s="515"/>
      <c r="BP440" s="515"/>
      <c r="BQ440" s="515"/>
      <c r="BR440" s="515"/>
      <c r="BS440" s="515"/>
      <c r="BT440" s="515"/>
      <c r="BU440" s="515"/>
      <c r="BV440" s="515"/>
      <c r="BW440" s="515"/>
      <c r="BX440" s="515"/>
      <c r="BY440" s="515"/>
      <c r="BZ440" s="515"/>
      <c r="CA440" s="515"/>
      <c r="CB440" s="515"/>
      <c r="CC440" s="515"/>
      <c r="CD440" s="515"/>
      <c r="CE440" s="515"/>
      <c r="CF440" s="515"/>
      <c r="CG440" s="515"/>
      <c r="CH440" s="515"/>
      <c r="CI440" s="515"/>
      <c r="CJ440" s="515"/>
      <c r="CK440" s="515"/>
      <c r="CL440" s="515"/>
      <c r="CM440" s="515"/>
      <c r="CN440" s="515"/>
      <c r="CO440" s="515"/>
      <c r="CP440" s="515"/>
      <c r="CQ440" s="515"/>
      <c r="CR440" s="515"/>
      <c r="CS440" s="515"/>
      <c r="CT440" s="515"/>
      <c r="CU440" s="515"/>
      <c r="CV440" s="515"/>
      <c r="CW440" s="515"/>
      <c r="CX440" s="515"/>
      <c r="CY440" s="515"/>
      <c r="CZ440" s="515"/>
      <c r="DA440" s="515"/>
      <c r="DB440" s="515"/>
      <c r="DC440" s="515"/>
      <c r="DD440" s="515"/>
      <c r="DE440" s="515"/>
      <c r="DF440" s="515"/>
      <c r="DG440" s="125"/>
      <c r="DH440" s="125"/>
      <c r="DI440" s="27"/>
      <c r="DJ440" s="7"/>
      <c r="DK440" s="7"/>
      <c r="DL440" s="7"/>
      <c r="DM440" s="7"/>
      <c r="DN440" s="7"/>
      <c r="DO440" s="7"/>
      <c r="DP440" s="7"/>
      <c r="DQ440" s="2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row>
    <row r="441" spans="1:155" s="565" customFormat="1" ht="18.75" hidden="1" customHeight="1">
      <c r="A441" s="101"/>
      <c r="B441" s="194"/>
      <c r="C441" s="538"/>
      <c r="D441" s="538"/>
      <c r="E441" s="538"/>
      <c r="F441" s="324"/>
      <c r="G441" s="3"/>
      <c r="H441" s="27"/>
      <c r="I441" s="27"/>
      <c r="J441" s="27"/>
      <c r="K441" s="27"/>
      <c r="L441" s="70"/>
      <c r="M441" s="70"/>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3"/>
      <c r="BE441" s="514"/>
      <c r="BF441" s="514"/>
      <c r="BG441" s="514"/>
      <c r="BH441" s="125"/>
      <c r="BI441" s="515"/>
      <c r="BJ441" s="515"/>
      <c r="BK441" s="515"/>
      <c r="BL441" s="515"/>
      <c r="BM441" s="515"/>
      <c r="BN441" s="515"/>
      <c r="BO441" s="515"/>
      <c r="BP441" s="515"/>
      <c r="BQ441" s="515"/>
      <c r="BR441" s="515"/>
      <c r="BS441" s="515"/>
      <c r="BT441" s="515"/>
      <c r="BU441" s="515"/>
      <c r="BV441" s="515"/>
      <c r="BW441" s="515"/>
      <c r="BX441" s="515"/>
      <c r="BY441" s="515"/>
      <c r="BZ441" s="515"/>
      <c r="CA441" s="515"/>
      <c r="CB441" s="515"/>
      <c r="CC441" s="515"/>
      <c r="CD441" s="515"/>
      <c r="CE441" s="515"/>
      <c r="CF441" s="515"/>
      <c r="CG441" s="515"/>
      <c r="CH441" s="515"/>
      <c r="CI441" s="515"/>
      <c r="CJ441" s="515"/>
      <c r="CK441" s="515"/>
      <c r="CL441" s="515"/>
      <c r="CM441" s="515"/>
      <c r="CN441" s="515"/>
      <c r="CO441" s="515"/>
      <c r="CP441" s="515"/>
      <c r="CQ441" s="515"/>
      <c r="CR441" s="515"/>
      <c r="CS441" s="515"/>
      <c r="CT441" s="515"/>
      <c r="CU441" s="515"/>
      <c r="CV441" s="515"/>
      <c r="CW441" s="515"/>
      <c r="CX441" s="515"/>
      <c r="CY441" s="515"/>
      <c r="CZ441" s="515"/>
      <c r="DA441" s="515"/>
      <c r="DB441" s="515"/>
      <c r="DC441" s="515"/>
      <c r="DD441" s="515"/>
      <c r="DE441" s="515"/>
      <c r="DF441" s="515"/>
      <c r="DG441" s="125"/>
      <c r="DH441" s="125"/>
      <c r="DI441" s="27"/>
      <c r="DJ441" s="7"/>
      <c r="DK441" s="7"/>
      <c r="DL441" s="7"/>
      <c r="DM441" s="7"/>
      <c r="DN441" s="7"/>
      <c r="DO441" s="7"/>
      <c r="DP441" s="7"/>
      <c r="DQ441" s="2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row>
    <row r="442" spans="1:155" s="565" customFormat="1" hidden="1">
      <c r="A442" s="101"/>
      <c r="B442" s="194"/>
      <c r="C442" s="538"/>
      <c r="D442" s="538"/>
      <c r="E442" s="538"/>
      <c r="F442" s="324"/>
      <c r="G442" s="3"/>
      <c r="H442" s="27"/>
      <c r="I442" s="27"/>
      <c r="J442" s="27"/>
      <c r="K442" s="27"/>
      <c r="L442" s="70"/>
      <c r="M442" s="70"/>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3"/>
      <c r="BE442" s="514"/>
      <c r="BF442" s="514"/>
      <c r="BG442" s="514"/>
      <c r="BH442" s="125"/>
      <c r="BI442" s="515"/>
      <c r="BJ442" s="515"/>
      <c r="BK442" s="515"/>
      <c r="BL442" s="515"/>
      <c r="BM442" s="515"/>
      <c r="BN442" s="515"/>
      <c r="BO442" s="515"/>
      <c r="BP442" s="515"/>
      <c r="BQ442" s="515"/>
      <c r="BR442" s="515"/>
      <c r="BS442" s="515"/>
      <c r="BT442" s="515"/>
      <c r="BU442" s="515"/>
      <c r="BV442" s="515"/>
      <c r="BW442" s="515"/>
      <c r="BX442" s="515"/>
      <c r="BY442" s="515"/>
      <c r="BZ442" s="515"/>
      <c r="CA442" s="515"/>
      <c r="CB442" s="515"/>
      <c r="CC442" s="515"/>
      <c r="CD442" s="515"/>
      <c r="CE442" s="515"/>
      <c r="CF442" s="515"/>
      <c r="CG442" s="515"/>
      <c r="CH442" s="515"/>
      <c r="CI442" s="515"/>
      <c r="CJ442" s="515"/>
      <c r="CK442" s="515"/>
      <c r="CL442" s="515"/>
      <c r="CM442" s="515"/>
      <c r="CN442" s="515"/>
      <c r="CO442" s="515"/>
      <c r="CP442" s="515"/>
      <c r="CQ442" s="515"/>
      <c r="CR442" s="515"/>
      <c r="CS442" s="515"/>
      <c r="CT442" s="515"/>
      <c r="CU442" s="515"/>
      <c r="CV442" s="515"/>
      <c r="CW442" s="515"/>
      <c r="CX442" s="515"/>
      <c r="CY442" s="515"/>
      <c r="CZ442" s="515"/>
      <c r="DA442" s="515"/>
      <c r="DB442" s="515"/>
      <c r="DC442" s="515"/>
      <c r="DD442" s="515"/>
      <c r="DE442" s="515"/>
      <c r="DF442" s="515"/>
      <c r="DG442" s="125"/>
      <c r="DH442" s="125"/>
      <c r="DI442" s="27"/>
      <c r="DJ442" s="7"/>
      <c r="DK442" s="7"/>
      <c r="DL442" s="7"/>
      <c r="DM442" s="7"/>
      <c r="DN442" s="7"/>
      <c r="DO442" s="7"/>
      <c r="DP442" s="7"/>
      <c r="DQ442" s="2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row>
    <row r="443" spans="1:155" s="565" customFormat="1" hidden="1">
      <c r="A443" s="101"/>
      <c r="B443" s="194"/>
      <c r="C443" s="538"/>
      <c r="D443" s="538"/>
      <c r="E443" s="538"/>
      <c r="F443" s="324"/>
      <c r="G443" s="3"/>
      <c r="H443" s="27"/>
      <c r="I443" s="27"/>
      <c r="J443" s="27"/>
      <c r="K443" s="27"/>
      <c r="L443" s="70"/>
      <c r="M443" s="70"/>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3"/>
      <c r="BE443" s="514"/>
      <c r="BF443" s="514"/>
      <c r="BG443" s="514"/>
      <c r="BH443" s="125"/>
      <c r="BI443" s="515"/>
      <c r="BJ443" s="515"/>
      <c r="BK443" s="515"/>
      <c r="BL443" s="515"/>
      <c r="BM443" s="515"/>
      <c r="BN443" s="515"/>
      <c r="BO443" s="515"/>
      <c r="BP443" s="515"/>
      <c r="BQ443" s="515"/>
      <c r="BR443" s="515"/>
      <c r="BS443" s="515"/>
      <c r="BT443" s="515"/>
      <c r="BU443" s="515"/>
      <c r="BV443" s="515"/>
      <c r="BW443" s="515"/>
      <c r="BX443" s="515"/>
      <c r="BY443" s="515"/>
      <c r="BZ443" s="515"/>
      <c r="CA443" s="515"/>
      <c r="CB443" s="515"/>
      <c r="CC443" s="515"/>
      <c r="CD443" s="515"/>
      <c r="CE443" s="515"/>
      <c r="CF443" s="515"/>
      <c r="CG443" s="515"/>
      <c r="CH443" s="515"/>
      <c r="CI443" s="515"/>
      <c r="CJ443" s="515"/>
      <c r="CK443" s="515"/>
      <c r="CL443" s="515"/>
      <c r="CM443" s="515"/>
      <c r="CN443" s="515"/>
      <c r="CO443" s="515"/>
      <c r="CP443" s="515"/>
      <c r="CQ443" s="515"/>
      <c r="CR443" s="515"/>
      <c r="CS443" s="515"/>
      <c r="CT443" s="515"/>
      <c r="CU443" s="515"/>
      <c r="CV443" s="515"/>
      <c r="CW443" s="515"/>
      <c r="CX443" s="515"/>
      <c r="CY443" s="515"/>
      <c r="CZ443" s="515"/>
      <c r="DA443" s="515"/>
      <c r="DB443" s="515"/>
      <c r="DC443" s="515"/>
      <c r="DD443" s="515"/>
      <c r="DE443" s="515"/>
      <c r="DF443" s="515"/>
      <c r="DG443" s="125"/>
      <c r="DH443" s="125"/>
      <c r="DI443" s="27"/>
      <c r="DJ443" s="7"/>
      <c r="DK443" s="7"/>
      <c r="DL443" s="7"/>
      <c r="DM443" s="7"/>
      <c r="DN443" s="7"/>
      <c r="DO443" s="7"/>
      <c r="DP443" s="7"/>
      <c r="DQ443" s="2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row>
    <row r="444" spans="1:155" s="565" customFormat="1" ht="22.5" hidden="1" customHeight="1">
      <c r="A444" s="101"/>
      <c r="B444" s="194"/>
      <c r="C444" s="538"/>
      <c r="D444" s="538"/>
      <c r="E444" s="538"/>
      <c r="F444" s="324"/>
      <c r="G444" s="3"/>
      <c r="H444" s="27"/>
      <c r="I444" s="27"/>
      <c r="J444" s="27"/>
      <c r="K444" s="27"/>
      <c r="L444" s="70"/>
      <c r="M444" s="70"/>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3"/>
      <c r="BE444" s="514"/>
      <c r="BF444" s="514"/>
      <c r="BG444" s="514"/>
      <c r="BH444" s="125"/>
      <c r="BI444" s="515"/>
      <c r="BJ444" s="515"/>
      <c r="BK444" s="515"/>
      <c r="BL444" s="515"/>
      <c r="BM444" s="515"/>
      <c r="BN444" s="515"/>
      <c r="BO444" s="515"/>
      <c r="BP444" s="515"/>
      <c r="BQ444" s="515"/>
      <c r="BR444" s="515"/>
      <c r="BS444" s="515"/>
      <c r="BT444" s="515"/>
      <c r="BU444" s="515"/>
      <c r="BV444" s="515"/>
      <c r="BW444" s="515"/>
      <c r="BX444" s="515"/>
      <c r="BY444" s="515"/>
      <c r="BZ444" s="515"/>
      <c r="CA444" s="515"/>
      <c r="CB444" s="515"/>
      <c r="CC444" s="515"/>
      <c r="CD444" s="515"/>
      <c r="CE444" s="515"/>
      <c r="CF444" s="515"/>
      <c r="CG444" s="515"/>
      <c r="CH444" s="515"/>
      <c r="CI444" s="515"/>
      <c r="CJ444" s="515"/>
      <c r="CK444" s="515"/>
      <c r="CL444" s="515"/>
      <c r="CM444" s="515"/>
      <c r="CN444" s="515"/>
      <c r="CO444" s="515"/>
      <c r="CP444" s="515"/>
      <c r="CQ444" s="515"/>
      <c r="CR444" s="515"/>
      <c r="CS444" s="515"/>
      <c r="CT444" s="515"/>
      <c r="CU444" s="515"/>
      <c r="CV444" s="515"/>
      <c r="CW444" s="515"/>
      <c r="CX444" s="515"/>
      <c r="CY444" s="515"/>
      <c r="CZ444" s="515"/>
      <c r="DA444" s="515"/>
      <c r="DB444" s="515"/>
      <c r="DC444" s="515"/>
      <c r="DD444" s="515"/>
      <c r="DE444" s="515"/>
      <c r="DF444" s="515"/>
      <c r="DG444" s="125"/>
      <c r="DH444" s="125"/>
      <c r="DI444" s="27"/>
      <c r="DJ444" s="7"/>
      <c r="DK444" s="7"/>
      <c r="DL444" s="7"/>
      <c r="DM444" s="7"/>
      <c r="DN444" s="7"/>
      <c r="DO444" s="7"/>
      <c r="DP444" s="7"/>
      <c r="DQ444" s="2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row>
    <row r="445" spans="1:155" s="565" customFormat="1" ht="22.5" hidden="1" customHeight="1">
      <c r="A445" s="101"/>
      <c r="B445" s="194"/>
      <c r="C445" s="538"/>
      <c r="D445" s="538"/>
      <c r="E445" s="538"/>
      <c r="F445" s="324"/>
      <c r="G445" s="3"/>
      <c r="H445" s="27"/>
      <c r="I445" s="27"/>
      <c r="J445" s="27"/>
      <c r="K445" s="27"/>
      <c r="L445" s="70"/>
      <c r="M445" s="70"/>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3"/>
      <c r="BE445" s="514"/>
      <c r="BF445" s="514"/>
      <c r="BG445" s="514"/>
      <c r="BH445" s="125"/>
      <c r="BI445" s="515"/>
      <c r="BJ445" s="515"/>
      <c r="BK445" s="515"/>
      <c r="BL445" s="515"/>
      <c r="BM445" s="515"/>
      <c r="BN445" s="515"/>
      <c r="BO445" s="515"/>
      <c r="BP445" s="515"/>
      <c r="BQ445" s="515"/>
      <c r="BR445" s="515"/>
      <c r="BS445" s="515"/>
      <c r="BT445" s="515"/>
      <c r="BU445" s="515"/>
      <c r="BV445" s="515"/>
      <c r="BW445" s="515"/>
      <c r="BX445" s="515"/>
      <c r="BY445" s="515"/>
      <c r="BZ445" s="515"/>
      <c r="CA445" s="515"/>
      <c r="CB445" s="515"/>
      <c r="CC445" s="515"/>
      <c r="CD445" s="515"/>
      <c r="CE445" s="515"/>
      <c r="CF445" s="515"/>
      <c r="CG445" s="515"/>
      <c r="CH445" s="515"/>
      <c r="CI445" s="515"/>
      <c r="CJ445" s="515"/>
      <c r="CK445" s="515"/>
      <c r="CL445" s="515"/>
      <c r="CM445" s="515"/>
      <c r="CN445" s="515"/>
      <c r="CO445" s="515"/>
      <c r="CP445" s="515"/>
      <c r="CQ445" s="515"/>
      <c r="CR445" s="515"/>
      <c r="CS445" s="515"/>
      <c r="CT445" s="515"/>
      <c r="CU445" s="515"/>
      <c r="CV445" s="515"/>
      <c r="CW445" s="515"/>
      <c r="CX445" s="515"/>
      <c r="CY445" s="515"/>
      <c r="CZ445" s="515"/>
      <c r="DA445" s="515"/>
      <c r="DB445" s="515"/>
      <c r="DC445" s="515"/>
      <c r="DD445" s="515"/>
      <c r="DE445" s="515"/>
      <c r="DF445" s="515"/>
      <c r="DG445" s="125"/>
      <c r="DH445" s="125"/>
      <c r="DI445" s="27"/>
      <c r="DJ445" s="7"/>
      <c r="DK445" s="7"/>
      <c r="DL445" s="7"/>
      <c r="DM445" s="7"/>
      <c r="DN445" s="7"/>
      <c r="DO445" s="7"/>
      <c r="DP445" s="7"/>
      <c r="DQ445" s="2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row>
    <row r="446" spans="1:155" s="565" customFormat="1" ht="18.75" hidden="1" customHeight="1">
      <c r="A446" s="539"/>
      <c r="B446" s="630"/>
      <c r="C446" s="630"/>
      <c r="D446" s="630"/>
      <c r="E446" s="630"/>
      <c r="F446" s="540"/>
      <c r="G446" s="3"/>
      <c r="H446" s="27"/>
      <c r="I446" s="27"/>
      <c r="J446" s="27"/>
      <c r="K446" s="27"/>
      <c r="L446" s="70"/>
      <c r="M446" s="70"/>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3"/>
      <c r="BE446" s="514"/>
      <c r="BF446" s="514"/>
      <c r="BG446" s="514"/>
      <c r="BH446" s="125"/>
      <c r="BI446" s="515"/>
      <c r="BJ446" s="515"/>
      <c r="BK446" s="515"/>
      <c r="BL446" s="515"/>
      <c r="BM446" s="515"/>
      <c r="BN446" s="515"/>
      <c r="BO446" s="515"/>
      <c r="BP446" s="515"/>
      <c r="BQ446" s="515"/>
      <c r="BR446" s="515"/>
      <c r="BS446" s="515"/>
      <c r="BT446" s="515"/>
      <c r="BU446" s="515"/>
      <c r="BV446" s="515"/>
      <c r="BW446" s="515"/>
      <c r="BX446" s="515"/>
      <c r="BY446" s="515"/>
      <c r="BZ446" s="515"/>
      <c r="CA446" s="515"/>
      <c r="CB446" s="515"/>
      <c r="CC446" s="515"/>
      <c r="CD446" s="515"/>
      <c r="CE446" s="515"/>
      <c r="CF446" s="515"/>
      <c r="CG446" s="515"/>
      <c r="CH446" s="515"/>
      <c r="CI446" s="515"/>
      <c r="CJ446" s="515"/>
      <c r="CK446" s="515"/>
      <c r="CL446" s="515"/>
      <c r="CM446" s="515"/>
      <c r="CN446" s="515"/>
      <c r="CO446" s="515"/>
      <c r="CP446" s="515"/>
      <c r="CQ446" s="515"/>
      <c r="CR446" s="515"/>
      <c r="CS446" s="515"/>
      <c r="CT446" s="515"/>
      <c r="CU446" s="515"/>
      <c r="CV446" s="515"/>
      <c r="CW446" s="515"/>
      <c r="CX446" s="515"/>
      <c r="CY446" s="515"/>
      <c r="CZ446" s="515"/>
      <c r="DA446" s="515"/>
      <c r="DB446" s="515"/>
      <c r="DC446" s="515"/>
      <c r="DD446" s="515"/>
      <c r="DE446" s="515"/>
      <c r="DF446" s="515"/>
      <c r="DG446" s="125"/>
      <c r="DH446" s="125"/>
      <c r="DI446" s="27"/>
      <c r="DJ446" s="7"/>
      <c r="DK446" s="7"/>
      <c r="DL446" s="7"/>
      <c r="DM446" s="7"/>
      <c r="DN446" s="7"/>
      <c r="DO446" s="7"/>
      <c r="DP446" s="7"/>
      <c r="DQ446" s="2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219"/>
      <c r="EY446" s="219"/>
    </row>
    <row r="447" spans="1:155" s="565" customFormat="1" hidden="1">
      <c r="A447" s="188"/>
      <c r="B447" s="628"/>
      <c r="C447" s="628"/>
      <c r="D447" s="628"/>
      <c r="E447" s="27"/>
      <c r="F447" s="3"/>
      <c r="G447" s="3"/>
      <c r="H447" s="27"/>
      <c r="I447" s="27"/>
      <c r="J447" s="27"/>
      <c r="K447" s="27"/>
      <c r="L447" s="70"/>
      <c r="M447" s="70"/>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3"/>
      <c r="BE447" s="514"/>
      <c r="BF447" s="514"/>
      <c r="BG447" s="514"/>
      <c r="BH447" s="125"/>
      <c r="BI447" s="515"/>
      <c r="BJ447" s="515"/>
      <c r="BK447" s="515"/>
      <c r="BL447" s="515"/>
      <c r="BM447" s="515"/>
      <c r="BN447" s="515"/>
      <c r="BO447" s="515"/>
      <c r="BP447" s="515"/>
      <c r="BQ447" s="515"/>
      <c r="BR447" s="515"/>
      <c r="BS447" s="515"/>
      <c r="BT447" s="515"/>
      <c r="BU447" s="515"/>
      <c r="BV447" s="515"/>
      <c r="BW447" s="515"/>
      <c r="BX447" s="515"/>
      <c r="BY447" s="515"/>
      <c r="BZ447" s="515"/>
      <c r="CA447" s="515"/>
      <c r="CB447" s="515"/>
      <c r="CC447" s="515"/>
      <c r="CD447" s="515"/>
      <c r="CE447" s="515"/>
      <c r="CF447" s="515"/>
      <c r="CG447" s="515"/>
      <c r="CH447" s="515"/>
      <c r="CI447" s="515"/>
      <c r="CJ447" s="515"/>
      <c r="CK447" s="515"/>
      <c r="CL447" s="515"/>
      <c r="CM447" s="515"/>
      <c r="CN447" s="515"/>
      <c r="CO447" s="515"/>
      <c r="CP447" s="515"/>
      <c r="CQ447" s="515"/>
      <c r="CR447" s="515"/>
      <c r="CS447" s="515"/>
      <c r="CT447" s="515"/>
      <c r="CU447" s="515"/>
      <c r="CV447" s="515"/>
      <c r="CW447" s="515"/>
      <c r="CX447" s="515"/>
      <c r="CY447" s="515"/>
      <c r="CZ447" s="515"/>
      <c r="DA447" s="515"/>
      <c r="DB447" s="515"/>
      <c r="DC447" s="515"/>
      <c r="DD447" s="515"/>
      <c r="DE447" s="515"/>
      <c r="DF447" s="515"/>
      <c r="DG447" s="125"/>
      <c r="DH447" s="125"/>
      <c r="DI447" s="27"/>
      <c r="DJ447" s="7"/>
      <c r="DK447" s="7"/>
      <c r="DL447" s="7"/>
      <c r="DM447" s="7"/>
      <c r="DN447" s="7"/>
      <c r="DO447" s="7"/>
      <c r="DP447" s="7"/>
      <c r="DQ447" s="2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row>
    <row r="448" spans="1:155" s="565" customFormat="1" ht="21.75" hidden="1" customHeight="1">
      <c r="A448" s="51"/>
      <c r="B448" s="27"/>
      <c r="C448" s="631"/>
      <c r="D448" s="631"/>
      <c r="E448" s="631"/>
      <c r="F448" s="631"/>
      <c r="G448" s="3"/>
      <c r="H448" s="27"/>
      <c r="I448" s="27"/>
      <c r="J448" s="27"/>
      <c r="K448" s="27"/>
      <c r="L448" s="70"/>
      <c r="M448" s="70"/>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3"/>
      <c r="BE448" s="514"/>
      <c r="BF448" s="514"/>
      <c r="BG448" s="514"/>
      <c r="BH448" s="125"/>
      <c r="BI448" s="515"/>
      <c r="BJ448" s="515"/>
      <c r="BK448" s="515"/>
      <c r="BL448" s="515"/>
      <c r="BM448" s="515"/>
      <c r="BN448" s="515"/>
      <c r="BO448" s="515"/>
      <c r="BP448" s="515"/>
      <c r="BQ448" s="515"/>
      <c r="BR448" s="515"/>
      <c r="BS448" s="515"/>
      <c r="BT448" s="515"/>
      <c r="BU448" s="515"/>
      <c r="BV448" s="515"/>
      <c r="BW448" s="515"/>
      <c r="BX448" s="515"/>
      <c r="BY448" s="515"/>
      <c r="BZ448" s="515"/>
      <c r="CA448" s="515"/>
      <c r="CB448" s="515"/>
      <c r="CC448" s="515"/>
      <c r="CD448" s="515"/>
      <c r="CE448" s="515"/>
      <c r="CF448" s="515"/>
      <c r="CG448" s="515"/>
      <c r="CH448" s="515"/>
      <c r="CI448" s="515"/>
      <c r="CJ448" s="515"/>
      <c r="CK448" s="515"/>
      <c r="CL448" s="515"/>
      <c r="CM448" s="515"/>
      <c r="CN448" s="515"/>
      <c r="CO448" s="515"/>
      <c r="CP448" s="515"/>
      <c r="CQ448" s="515"/>
      <c r="CR448" s="515"/>
      <c r="CS448" s="515"/>
      <c r="CT448" s="515"/>
      <c r="CU448" s="515"/>
      <c r="CV448" s="515"/>
      <c r="CW448" s="515"/>
      <c r="CX448" s="515"/>
      <c r="CY448" s="515"/>
      <c r="CZ448" s="515"/>
      <c r="DA448" s="515"/>
      <c r="DB448" s="515"/>
      <c r="DC448" s="515"/>
      <c r="DD448" s="515"/>
      <c r="DE448" s="515"/>
      <c r="DF448" s="515"/>
      <c r="DG448" s="125"/>
      <c r="DH448" s="125"/>
      <c r="DI448" s="27"/>
      <c r="DJ448" s="7"/>
      <c r="DK448" s="7"/>
      <c r="DL448" s="7"/>
      <c r="DM448" s="7"/>
      <c r="DN448" s="7"/>
      <c r="DO448" s="7"/>
      <c r="DP448" s="7"/>
      <c r="DQ448" s="27"/>
      <c r="DR448" s="7"/>
      <c r="DS448" s="7"/>
      <c r="DT448" s="7"/>
      <c r="DU448" s="7"/>
      <c r="DV448" s="7"/>
      <c r="DW448" s="7"/>
      <c r="DX448" s="7"/>
      <c r="DY448" s="7"/>
      <c r="DZ448" s="7"/>
      <c r="EA448" s="7"/>
      <c r="EB448" s="7"/>
      <c r="EC448" s="7"/>
      <c r="ED448" s="7"/>
      <c r="EE448" s="7"/>
      <c r="EF448" s="7"/>
      <c r="EG448" s="7"/>
      <c r="EH448" s="7"/>
      <c r="EI448" s="7"/>
      <c r="EJ448" s="7"/>
      <c r="EK448" s="7"/>
      <c r="EL448" s="7"/>
      <c r="EM448" s="7"/>
      <c r="EN448" s="7"/>
      <c r="EO448" s="7"/>
      <c r="EP448" s="7"/>
      <c r="EQ448" s="7"/>
      <c r="ER448" s="7"/>
      <c r="ES448" s="7"/>
      <c r="ET448" s="7"/>
      <c r="EU448" s="7"/>
      <c r="EV448" s="7"/>
      <c r="EW448" s="7"/>
      <c r="EX448" s="7"/>
      <c r="EY448" s="7"/>
    </row>
    <row r="449" spans="1:155" s="565" customFormat="1" ht="29.25" hidden="1" customHeight="1">
      <c r="A449" s="51"/>
      <c r="B449" s="27"/>
      <c r="C449" s="632"/>
      <c r="D449" s="632"/>
      <c r="E449" s="632"/>
      <c r="F449" s="631"/>
      <c r="G449" s="3"/>
      <c r="H449" s="3"/>
      <c r="I449" s="27"/>
      <c r="J449" s="27"/>
      <c r="K449" s="27"/>
      <c r="L449" s="70"/>
      <c r="M449" s="70"/>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3"/>
      <c r="BE449" s="514"/>
      <c r="BF449" s="514"/>
      <c r="BG449" s="514"/>
      <c r="BH449" s="125"/>
      <c r="BI449" s="515"/>
      <c r="BJ449" s="515"/>
      <c r="BK449" s="515"/>
      <c r="BL449" s="515"/>
      <c r="BM449" s="515"/>
      <c r="BN449" s="515"/>
      <c r="BO449" s="515"/>
      <c r="BP449" s="515"/>
      <c r="BQ449" s="515"/>
      <c r="BR449" s="515"/>
      <c r="BS449" s="515"/>
      <c r="BT449" s="515"/>
      <c r="BU449" s="515"/>
      <c r="BV449" s="515"/>
      <c r="BW449" s="515"/>
      <c r="BX449" s="515"/>
      <c r="BY449" s="515"/>
      <c r="BZ449" s="515"/>
      <c r="CA449" s="515"/>
      <c r="CB449" s="515"/>
      <c r="CC449" s="515"/>
      <c r="CD449" s="515"/>
      <c r="CE449" s="515"/>
      <c r="CF449" s="515"/>
      <c r="CG449" s="515"/>
      <c r="CH449" s="515"/>
      <c r="CI449" s="515"/>
      <c r="CJ449" s="515"/>
      <c r="CK449" s="515"/>
      <c r="CL449" s="515"/>
      <c r="CM449" s="515"/>
      <c r="CN449" s="515"/>
      <c r="CO449" s="515"/>
      <c r="CP449" s="515"/>
      <c r="CQ449" s="515"/>
      <c r="CR449" s="515"/>
      <c r="CS449" s="515"/>
      <c r="CT449" s="515"/>
      <c r="CU449" s="515"/>
      <c r="CV449" s="515"/>
      <c r="CW449" s="515"/>
      <c r="CX449" s="515"/>
      <c r="CY449" s="515"/>
      <c r="CZ449" s="515"/>
      <c r="DA449" s="515"/>
      <c r="DB449" s="515"/>
      <c r="DC449" s="515"/>
      <c r="DD449" s="515"/>
      <c r="DE449" s="515"/>
      <c r="DF449" s="515"/>
      <c r="DG449" s="125"/>
      <c r="DH449" s="125"/>
      <c r="DI449" s="27"/>
      <c r="DJ449" s="7"/>
      <c r="DK449" s="7"/>
      <c r="DL449" s="7"/>
      <c r="DM449" s="7"/>
      <c r="DN449" s="7"/>
      <c r="DO449" s="7"/>
      <c r="DP449" s="7"/>
      <c r="DQ449" s="2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row>
    <row r="450" spans="1:155" s="565" customFormat="1" ht="15" hidden="1" customHeight="1">
      <c r="A450" s="221"/>
      <c r="B450" s="190"/>
      <c r="C450" s="255"/>
      <c r="D450" s="255"/>
      <c r="E450" s="255"/>
      <c r="F450" s="345"/>
      <c r="G450" s="3"/>
      <c r="H450" s="3"/>
      <c r="I450" s="27"/>
      <c r="J450" s="27"/>
      <c r="K450" s="27"/>
      <c r="L450" s="70"/>
      <c r="M450" s="70"/>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3"/>
      <c r="BE450" s="514"/>
      <c r="BF450" s="514"/>
      <c r="BG450" s="514"/>
      <c r="BH450" s="125"/>
      <c r="BI450" s="515"/>
      <c r="BJ450" s="515"/>
      <c r="BK450" s="515"/>
      <c r="BL450" s="515"/>
      <c r="BM450" s="515"/>
      <c r="BN450" s="515"/>
      <c r="BO450" s="515"/>
      <c r="BP450" s="515"/>
      <c r="BQ450" s="515"/>
      <c r="BR450" s="515"/>
      <c r="BS450" s="515"/>
      <c r="BT450" s="515"/>
      <c r="BU450" s="515"/>
      <c r="BV450" s="515"/>
      <c r="BW450" s="515"/>
      <c r="BX450" s="515"/>
      <c r="BY450" s="515"/>
      <c r="BZ450" s="515"/>
      <c r="CA450" s="515"/>
      <c r="CB450" s="515"/>
      <c r="CC450" s="515"/>
      <c r="CD450" s="515"/>
      <c r="CE450" s="515"/>
      <c r="CF450" s="515"/>
      <c r="CG450" s="515"/>
      <c r="CH450" s="515"/>
      <c r="CI450" s="515"/>
      <c r="CJ450" s="515"/>
      <c r="CK450" s="515"/>
      <c r="CL450" s="515"/>
      <c r="CM450" s="515"/>
      <c r="CN450" s="515"/>
      <c r="CO450" s="515"/>
      <c r="CP450" s="515"/>
      <c r="CQ450" s="515"/>
      <c r="CR450" s="515"/>
      <c r="CS450" s="515"/>
      <c r="CT450" s="515"/>
      <c r="CU450" s="515"/>
      <c r="CV450" s="515"/>
      <c r="CW450" s="515"/>
      <c r="CX450" s="515"/>
      <c r="CY450" s="515"/>
      <c r="CZ450" s="515"/>
      <c r="DA450" s="515"/>
      <c r="DB450" s="515"/>
      <c r="DC450" s="515"/>
      <c r="DD450" s="515"/>
      <c r="DE450" s="515"/>
      <c r="DF450" s="515"/>
      <c r="DG450" s="125"/>
      <c r="DH450" s="125"/>
      <c r="DI450" s="27"/>
      <c r="DJ450" s="7"/>
      <c r="DK450" s="7"/>
      <c r="DL450" s="7"/>
      <c r="DM450" s="7"/>
      <c r="DN450" s="7"/>
      <c r="DO450" s="7"/>
      <c r="DP450" s="7"/>
      <c r="DQ450" s="2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row>
    <row r="451" spans="1:155" s="565" customFormat="1" ht="15" hidden="1" customHeight="1">
      <c r="A451" s="181"/>
      <c r="B451" s="190"/>
      <c r="C451" s="255"/>
      <c r="D451" s="255"/>
      <c r="E451" s="255"/>
      <c r="F451" s="345"/>
      <c r="G451" s="351"/>
      <c r="H451" s="351"/>
      <c r="I451" s="27"/>
      <c r="J451" s="27"/>
      <c r="K451" s="27"/>
      <c r="L451" s="70"/>
      <c r="M451" s="351"/>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3"/>
      <c r="BE451" s="514"/>
      <c r="BF451" s="514"/>
      <c r="BG451" s="514"/>
      <c r="BH451" s="125"/>
      <c r="BI451" s="515"/>
      <c r="BJ451" s="515"/>
      <c r="BK451" s="515"/>
      <c r="BL451" s="515"/>
      <c r="BM451" s="515"/>
      <c r="BN451" s="515"/>
      <c r="BO451" s="515"/>
      <c r="BP451" s="515"/>
      <c r="BQ451" s="515"/>
      <c r="BR451" s="515"/>
      <c r="BS451" s="515"/>
      <c r="BT451" s="515"/>
      <c r="BU451" s="515"/>
      <c r="BV451" s="515"/>
      <c r="BW451" s="515"/>
      <c r="BX451" s="515"/>
      <c r="BY451" s="515"/>
      <c r="BZ451" s="515"/>
      <c r="CA451" s="515"/>
      <c r="CB451" s="515"/>
      <c r="CC451" s="515"/>
      <c r="CD451" s="515"/>
      <c r="CE451" s="515"/>
      <c r="CF451" s="515"/>
      <c r="CG451" s="515"/>
      <c r="CH451" s="515"/>
      <c r="CI451" s="515"/>
      <c r="CJ451" s="515"/>
      <c r="CK451" s="515"/>
      <c r="CL451" s="515"/>
      <c r="CM451" s="515"/>
      <c r="CN451" s="515"/>
      <c r="CO451" s="515"/>
      <c r="CP451" s="515"/>
      <c r="CQ451" s="515"/>
      <c r="CR451" s="515"/>
      <c r="CS451" s="515"/>
      <c r="CT451" s="515"/>
      <c r="CU451" s="515"/>
      <c r="CV451" s="515"/>
      <c r="CW451" s="515"/>
      <c r="CX451" s="515"/>
      <c r="CY451" s="515"/>
      <c r="CZ451" s="515"/>
      <c r="DA451" s="515"/>
      <c r="DB451" s="515"/>
      <c r="DC451" s="515"/>
      <c r="DD451" s="515"/>
      <c r="DE451" s="515"/>
      <c r="DF451" s="515"/>
      <c r="DG451" s="125"/>
      <c r="DH451" s="125"/>
      <c r="DI451" s="27"/>
      <c r="DJ451" s="7"/>
      <c r="DK451" s="7"/>
      <c r="DL451" s="7"/>
      <c r="DM451" s="7"/>
      <c r="DN451" s="7"/>
      <c r="DO451" s="7"/>
      <c r="DP451" s="7"/>
      <c r="DQ451" s="27"/>
      <c r="DR451" s="219"/>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row>
    <row r="452" spans="1:155" s="565" customFormat="1" ht="15" hidden="1" customHeight="1">
      <c r="A452" s="197"/>
      <c r="B452" s="190"/>
      <c r="C452" s="255"/>
      <c r="D452" s="255"/>
      <c r="E452" s="255"/>
      <c r="F452" s="345"/>
      <c r="G452" s="70"/>
      <c r="H452" s="70"/>
      <c r="I452" s="27"/>
      <c r="J452" s="27"/>
      <c r="K452" s="27"/>
      <c r="L452" s="70"/>
      <c r="M452" s="70"/>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3"/>
      <c r="BE452" s="514"/>
      <c r="BF452" s="514"/>
      <c r="BG452" s="514"/>
      <c r="BH452" s="125"/>
      <c r="BI452" s="515"/>
      <c r="BJ452" s="515"/>
      <c r="BK452" s="515"/>
      <c r="BL452" s="515"/>
      <c r="BM452" s="515"/>
      <c r="BN452" s="515"/>
      <c r="BO452" s="515"/>
      <c r="BP452" s="515"/>
      <c r="BQ452" s="515"/>
      <c r="BR452" s="515"/>
      <c r="BS452" s="515"/>
      <c r="BT452" s="515"/>
      <c r="BU452" s="515"/>
      <c r="BV452" s="515"/>
      <c r="BW452" s="515"/>
      <c r="BX452" s="515"/>
      <c r="BY452" s="515"/>
      <c r="BZ452" s="515"/>
      <c r="CA452" s="515"/>
      <c r="CB452" s="515"/>
      <c r="CC452" s="515"/>
      <c r="CD452" s="515"/>
      <c r="CE452" s="515"/>
      <c r="CF452" s="515"/>
      <c r="CG452" s="515"/>
      <c r="CH452" s="515"/>
      <c r="CI452" s="515"/>
      <c r="CJ452" s="515"/>
      <c r="CK452" s="515"/>
      <c r="CL452" s="515"/>
      <c r="CM452" s="515"/>
      <c r="CN452" s="515"/>
      <c r="CO452" s="515"/>
      <c r="CP452" s="515"/>
      <c r="CQ452" s="515"/>
      <c r="CR452" s="515"/>
      <c r="CS452" s="515"/>
      <c r="CT452" s="515"/>
      <c r="CU452" s="515"/>
      <c r="CV452" s="515"/>
      <c r="CW452" s="515"/>
      <c r="CX452" s="515"/>
      <c r="CY452" s="515"/>
      <c r="CZ452" s="515"/>
      <c r="DA452" s="515"/>
      <c r="DB452" s="515"/>
      <c r="DC452" s="515"/>
      <c r="DD452" s="515"/>
      <c r="DE452" s="515"/>
      <c r="DF452" s="515"/>
      <c r="DG452" s="125"/>
      <c r="DH452" s="125"/>
      <c r="DI452" s="27"/>
      <c r="DJ452" s="7"/>
      <c r="DK452" s="7"/>
      <c r="DL452" s="7"/>
      <c r="DM452" s="7"/>
      <c r="DN452" s="7"/>
      <c r="DO452" s="7"/>
      <c r="DP452" s="7"/>
      <c r="DQ452" s="27"/>
      <c r="DR452" s="219"/>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row>
    <row r="453" spans="1:155" s="565" customFormat="1" ht="15" hidden="1" customHeight="1">
      <c r="A453" s="197"/>
      <c r="B453" s="190"/>
      <c r="C453" s="255"/>
      <c r="D453" s="255"/>
      <c r="E453" s="255"/>
      <c r="F453" s="345"/>
      <c r="G453" s="3"/>
      <c r="H453" s="3"/>
      <c r="I453" s="27"/>
      <c r="J453" s="27"/>
      <c r="K453" s="27"/>
      <c r="L453" s="70"/>
      <c r="M453" s="3"/>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3"/>
      <c r="BE453" s="514"/>
      <c r="BF453" s="514"/>
      <c r="BG453" s="514"/>
      <c r="BH453" s="125"/>
      <c r="BI453" s="515"/>
      <c r="BJ453" s="515"/>
      <c r="BK453" s="515"/>
      <c r="BL453" s="515"/>
      <c r="BM453" s="515"/>
      <c r="BN453" s="515"/>
      <c r="BO453" s="515"/>
      <c r="BP453" s="515"/>
      <c r="BQ453" s="515"/>
      <c r="BR453" s="515"/>
      <c r="BS453" s="515"/>
      <c r="BT453" s="515"/>
      <c r="BU453" s="515"/>
      <c r="BV453" s="515"/>
      <c r="BW453" s="515"/>
      <c r="BX453" s="515"/>
      <c r="BY453" s="515"/>
      <c r="BZ453" s="515"/>
      <c r="CA453" s="515"/>
      <c r="CB453" s="515"/>
      <c r="CC453" s="515"/>
      <c r="CD453" s="515"/>
      <c r="CE453" s="515"/>
      <c r="CF453" s="515"/>
      <c r="CG453" s="515"/>
      <c r="CH453" s="515"/>
      <c r="CI453" s="515"/>
      <c r="CJ453" s="515"/>
      <c r="CK453" s="515"/>
      <c r="CL453" s="515"/>
      <c r="CM453" s="515"/>
      <c r="CN453" s="515"/>
      <c r="CO453" s="515"/>
      <c r="CP453" s="515"/>
      <c r="CQ453" s="515"/>
      <c r="CR453" s="515"/>
      <c r="CS453" s="515"/>
      <c r="CT453" s="515"/>
      <c r="CU453" s="515"/>
      <c r="CV453" s="515"/>
      <c r="CW453" s="515"/>
      <c r="CX453" s="515"/>
      <c r="CY453" s="515"/>
      <c r="CZ453" s="515"/>
      <c r="DA453" s="515"/>
      <c r="DB453" s="515"/>
      <c r="DC453" s="515"/>
      <c r="DD453" s="515"/>
      <c r="DE453" s="515"/>
      <c r="DF453" s="515"/>
      <c r="DG453" s="125"/>
      <c r="DH453" s="125"/>
      <c r="DI453" s="27"/>
      <c r="DJ453" s="7"/>
      <c r="DK453" s="7"/>
      <c r="DL453" s="7"/>
      <c r="DM453" s="7"/>
      <c r="DN453" s="7"/>
      <c r="DO453" s="7"/>
      <c r="DP453" s="7"/>
      <c r="DQ453" s="27"/>
      <c r="DR453" s="219"/>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row>
    <row r="454" spans="1:155" s="565" customFormat="1" ht="18.75" hidden="1" customHeight="1">
      <c r="A454" s="197"/>
      <c r="B454" s="190"/>
      <c r="C454" s="255"/>
      <c r="D454" s="255"/>
      <c r="E454" s="255"/>
      <c r="F454" s="345"/>
      <c r="G454" s="3"/>
      <c r="H454" s="3"/>
      <c r="I454" s="27"/>
      <c r="J454" s="27"/>
      <c r="K454" s="27"/>
      <c r="L454" s="70"/>
      <c r="M454" s="3"/>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3"/>
      <c r="BE454" s="514"/>
      <c r="BF454" s="514"/>
      <c r="BG454" s="514"/>
      <c r="BH454" s="125"/>
      <c r="BI454" s="515"/>
      <c r="BJ454" s="515"/>
      <c r="BK454" s="515"/>
      <c r="BL454" s="515"/>
      <c r="BM454" s="515"/>
      <c r="BN454" s="515"/>
      <c r="BO454" s="515"/>
      <c r="BP454" s="515"/>
      <c r="BQ454" s="515"/>
      <c r="BR454" s="515"/>
      <c r="BS454" s="515"/>
      <c r="BT454" s="515"/>
      <c r="BU454" s="515"/>
      <c r="BV454" s="515"/>
      <c r="BW454" s="515"/>
      <c r="BX454" s="515"/>
      <c r="BY454" s="515"/>
      <c r="BZ454" s="515"/>
      <c r="CA454" s="515"/>
      <c r="CB454" s="515"/>
      <c r="CC454" s="515"/>
      <c r="CD454" s="515"/>
      <c r="CE454" s="515"/>
      <c r="CF454" s="515"/>
      <c r="CG454" s="515"/>
      <c r="CH454" s="515"/>
      <c r="CI454" s="515"/>
      <c r="CJ454" s="515"/>
      <c r="CK454" s="515"/>
      <c r="CL454" s="515"/>
      <c r="CM454" s="515"/>
      <c r="CN454" s="515"/>
      <c r="CO454" s="515"/>
      <c r="CP454" s="515"/>
      <c r="CQ454" s="515"/>
      <c r="CR454" s="515"/>
      <c r="CS454" s="515"/>
      <c r="CT454" s="515"/>
      <c r="CU454" s="515"/>
      <c r="CV454" s="515"/>
      <c r="CW454" s="515"/>
      <c r="CX454" s="515"/>
      <c r="CY454" s="515"/>
      <c r="CZ454" s="515"/>
      <c r="DA454" s="515"/>
      <c r="DB454" s="515"/>
      <c r="DC454" s="515"/>
      <c r="DD454" s="515"/>
      <c r="DE454" s="515"/>
      <c r="DF454" s="515"/>
      <c r="DG454" s="125"/>
      <c r="DH454" s="125"/>
      <c r="DI454" s="27"/>
      <c r="DJ454" s="7"/>
      <c r="DK454" s="7"/>
      <c r="DL454" s="7"/>
      <c r="DM454" s="7"/>
      <c r="DN454" s="7"/>
      <c r="DO454" s="7"/>
      <c r="DP454" s="7"/>
      <c r="DQ454" s="2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row>
    <row r="455" spans="1:155" s="565" customFormat="1" ht="18.75" hidden="1" customHeight="1">
      <c r="A455" s="197"/>
      <c r="B455" s="190"/>
      <c r="C455" s="255"/>
      <c r="D455" s="255"/>
      <c r="E455" s="255"/>
      <c r="F455" s="345"/>
      <c r="G455" s="3"/>
      <c r="H455" s="3"/>
      <c r="I455" s="27"/>
      <c r="J455" s="27"/>
      <c r="K455" s="27"/>
      <c r="L455" s="70"/>
      <c r="M455" s="3"/>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3"/>
      <c r="BE455" s="514"/>
      <c r="BF455" s="514"/>
      <c r="BG455" s="514"/>
      <c r="BH455" s="125"/>
      <c r="BI455" s="515"/>
      <c r="BJ455" s="515"/>
      <c r="BK455" s="515"/>
      <c r="BL455" s="515"/>
      <c r="BM455" s="515"/>
      <c r="BN455" s="515"/>
      <c r="BO455" s="515"/>
      <c r="BP455" s="515"/>
      <c r="BQ455" s="515"/>
      <c r="BR455" s="515"/>
      <c r="BS455" s="515"/>
      <c r="BT455" s="515"/>
      <c r="BU455" s="515"/>
      <c r="BV455" s="515"/>
      <c r="BW455" s="515"/>
      <c r="BX455" s="515"/>
      <c r="BY455" s="515"/>
      <c r="BZ455" s="515"/>
      <c r="CA455" s="515"/>
      <c r="CB455" s="515"/>
      <c r="CC455" s="515"/>
      <c r="CD455" s="515"/>
      <c r="CE455" s="515"/>
      <c r="CF455" s="515"/>
      <c r="CG455" s="515"/>
      <c r="CH455" s="515"/>
      <c r="CI455" s="515"/>
      <c r="CJ455" s="515"/>
      <c r="CK455" s="515"/>
      <c r="CL455" s="515"/>
      <c r="CM455" s="515"/>
      <c r="CN455" s="515"/>
      <c r="CO455" s="515"/>
      <c r="CP455" s="515"/>
      <c r="CQ455" s="515"/>
      <c r="CR455" s="515"/>
      <c r="CS455" s="515"/>
      <c r="CT455" s="515"/>
      <c r="CU455" s="515"/>
      <c r="CV455" s="515"/>
      <c r="CW455" s="515"/>
      <c r="CX455" s="515"/>
      <c r="CY455" s="515"/>
      <c r="CZ455" s="515"/>
      <c r="DA455" s="515"/>
      <c r="DB455" s="515"/>
      <c r="DC455" s="515"/>
      <c r="DD455" s="515"/>
      <c r="DE455" s="515"/>
      <c r="DF455" s="515"/>
      <c r="DG455" s="125"/>
      <c r="DH455" s="125"/>
      <c r="DI455" s="541"/>
      <c r="DJ455" s="7"/>
      <c r="DK455" s="7"/>
      <c r="DL455" s="7"/>
      <c r="DM455" s="7"/>
      <c r="DN455" s="7"/>
      <c r="DO455" s="7"/>
      <c r="DP455" s="219"/>
      <c r="DQ455" s="541"/>
      <c r="DR455" s="7"/>
      <c r="DS455" s="219"/>
      <c r="DT455" s="219"/>
      <c r="DU455" s="219"/>
      <c r="DV455" s="219"/>
      <c r="DW455" s="219"/>
      <c r="DX455" s="219"/>
      <c r="DY455" s="219"/>
      <c r="DZ455" s="219"/>
      <c r="EA455" s="219"/>
      <c r="EB455" s="219"/>
      <c r="EC455" s="219"/>
      <c r="ED455" s="219"/>
      <c r="EE455" s="219"/>
      <c r="EF455" s="219"/>
      <c r="EG455" s="219"/>
      <c r="EH455" s="219"/>
      <c r="EI455" s="219"/>
      <c r="EJ455" s="219"/>
      <c r="EK455" s="219"/>
      <c r="EL455" s="219"/>
      <c r="EM455" s="219"/>
      <c r="EN455" s="219"/>
      <c r="EO455" s="219"/>
      <c r="EP455" s="219"/>
      <c r="EQ455" s="219"/>
      <c r="ER455" s="219"/>
      <c r="ES455" s="219"/>
      <c r="ET455" s="219"/>
      <c r="EU455" s="219"/>
      <c r="EV455" s="219"/>
      <c r="EW455" s="219"/>
      <c r="EX455" s="7"/>
      <c r="EY455" s="7"/>
    </row>
    <row r="456" spans="1:155" s="565" customFormat="1" hidden="1">
      <c r="A456" s="197"/>
      <c r="B456" s="190"/>
      <c r="C456" s="255"/>
      <c r="D456" s="255"/>
      <c r="E456" s="255"/>
      <c r="F456" s="345"/>
      <c r="G456" s="3"/>
      <c r="H456" s="3"/>
      <c r="I456" s="27"/>
      <c r="J456" s="27"/>
      <c r="K456" s="27"/>
      <c r="L456" s="70"/>
      <c r="M456" s="3"/>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3"/>
      <c r="BE456" s="514"/>
      <c r="BF456" s="514"/>
      <c r="BG456" s="514"/>
      <c r="BH456" s="125"/>
      <c r="BI456" s="515"/>
      <c r="BJ456" s="515"/>
      <c r="BK456" s="515"/>
      <c r="BL456" s="515"/>
      <c r="BM456" s="515"/>
      <c r="BN456" s="515"/>
      <c r="BO456" s="515"/>
      <c r="BP456" s="515"/>
      <c r="BQ456" s="515"/>
      <c r="BR456" s="515"/>
      <c r="BS456" s="515"/>
      <c r="BT456" s="515"/>
      <c r="BU456" s="515"/>
      <c r="BV456" s="515"/>
      <c r="BW456" s="515"/>
      <c r="BX456" s="515"/>
      <c r="BY456" s="515"/>
      <c r="BZ456" s="515"/>
      <c r="CA456" s="515"/>
      <c r="CB456" s="515"/>
      <c r="CC456" s="515"/>
      <c r="CD456" s="515"/>
      <c r="CE456" s="515"/>
      <c r="CF456" s="515"/>
      <c r="CG456" s="515"/>
      <c r="CH456" s="515"/>
      <c r="CI456" s="515"/>
      <c r="CJ456" s="515"/>
      <c r="CK456" s="515"/>
      <c r="CL456" s="515"/>
      <c r="CM456" s="515"/>
      <c r="CN456" s="515"/>
      <c r="CO456" s="515"/>
      <c r="CP456" s="515"/>
      <c r="CQ456" s="515"/>
      <c r="CR456" s="515"/>
      <c r="CS456" s="515"/>
      <c r="CT456" s="515"/>
      <c r="CU456" s="515"/>
      <c r="CV456" s="515"/>
      <c r="CW456" s="515"/>
      <c r="CX456" s="515"/>
      <c r="CY456" s="515"/>
      <c r="CZ456" s="515"/>
      <c r="DA456" s="515"/>
      <c r="DB456" s="515"/>
      <c r="DC456" s="515"/>
      <c r="DD456" s="515"/>
      <c r="DE456" s="515"/>
      <c r="DF456" s="515"/>
      <c r="DG456" s="125"/>
      <c r="DH456" s="125"/>
      <c r="DI456" s="27"/>
      <c r="DJ456" s="7"/>
      <c r="DK456" s="7"/>
      <c r="DL456" s="7"/>
      <c r="DM456" s="219"/>
      <c r="DN456" s="219"/>
      <c r="DO456" s="219"/>
      <c r="DP456" s="7"/>
      <c r="DQ456" s="2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row>
    <row r="457" spans="1:155" s="565" customFormat="1" hidden="1">
      <c r="A457" s="197"/>
      <c r="B457" s="190"/>
      <c r="C457" s="255"/>
      <c r="D457" s="255"/>
      <c r="E457" s="255"/>
      <c r="F457" s="345"/>
      <c r="G457" s="3"/>
      <c r="H457" s="3"/>
      <c r="I457" s="27"/>
      <c r="J457" s="27"/>
      <c r="K457" s="27"/>
      <c r="L457" s="70"/>
      <c r="M457" s="3"/>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3"/>
      <c r="BE457" s="514"/>
      <c r="BF457" s="514"/>
      <c r="BG457" s="514"/>
      <c r="BH457" s="125"/>
      <c r="BI457" s="515"/>
      <c r="BJ457" s="515"/>
      <c r="BK457" s="515"/>
      <c r="BL457" s="515"/>
      <c r="BM457" s="515"/>
      <c r="BN457" s="515"/>
      <c r="BO457" s="515"/>
      <c r="BP457" s="515"/>
      <c r="BQ457" s="515"/>
      <c r="BR457" s="515"/>
      <c r="BS457" s="515"/>
      <c r="BT457" s="515"/>
      <c r="BU457" s="515"/>
      <c r="BV457" s="515"/>
      <c r="BW457" s="515"/>
      <c r="BX457" s="515"/>
      <c r="BY457" s="515"/>
      <c r="BZ457" s="515"/>
      <c r="CA457" s="515"/>
      <c r="CB457" s="515"/>
      <c r="CC457" s="515"/>
      <c r="CD457" s="515"/>
      <c r="CE457" s="515"/>
      <c r="CF457" s="515"/>
      <c r="CG457" s="515"/>
      <c r="CH457" s="515"/>
      <c r="CI457" s="515"/>
      <c r="CJ457" s="515"/>
      <c r="CK457" s="515"/>
      <c r="CL457" s="515"/>
      <c r="CM457" s="515"/>
      <c r="CN457" s="515"/>
      <c r="CO457" s="515"/>
      <c r="CP457" s="515"/>
      <c r="CQ457" s="515"/>
      <c r="CR457" s="515"/>
      <c r="CS457" s="515"/>
      <c r="CT457" s="515"/>
      <c r="CU457" s="515"/>
      <c r="CV457" s="515"/>
      <c r="CW457" s="515"/>
      <c r="CX457" s="515"/>
      <c r="CY457" s="515"/>
      <c r="CZ457" s="515"/>
      <c r="DA457" s="515"/>
      <c r="DB457" s="515"/>
      <c r="DC457" s="515"/>
      <c r="DD457" s="515"/>
      <c r="DE457" s="515"/>
      <c r="DF457" s="515"/>
      <c r="DG457" s="125"/>
      <c r="DH457" s="125"/>
      <c r="DI457" s="27"/>
      <c r="DJ457" s="219"/>
      <c r="DK457" s="219"/>
      <c r="DL457" s="219"/>
      <c r="DM457" s="7"/>
      <c r="DN457" s="7"/>
      <c r="DO457" s="7"/>
      <c r="DP457" s="7"/>
      <c r="DQ457" s="2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row>
    <row r="458" spans="1:155" s="565" customFormat="1" hidden="1">
      <c r="A458" s="197"/>
      <c r="B458" s="190"/>
      <c r="C458" s="255"/>
      <c r="D458" s="255"/>
      <c r="E458" s="255"/>
      <c r="F458" s="345"/>
      <c r="G458" s="3"/>
      <c r="H458" s="3"/>
      <c r="I458" s="27"/>
      <c r="J458" s="27"/>
      <c r="K458" s="27"/>
      <c r="L458" s="70"/>
      <c r="M458" s="3"/>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3"/>
      <c r="BE458" s="514"/>
      <c r="BF458" s="514"/>
      <c r="BG458" s="514"/>
      <c r="BH458" s="125"/>
      <c r="BI458" s="515"/>
      <c r="BJ458" s="515"/>
      <c r="BK458" s="515"/>
      <c r="BL458" s="515"/>
      <c r="BM458" s="515"/>
      <c r="BN458" s="515"/>
      <c r="BO458" s="515"/>
      <c r="BP458" s="515"/>
      <c r="BQ458" s="515"/>
      <c r="BR458" s="515"/>
      <c r="BS458" s="515"/>
      <c r="BT458" s="515"/>
      <c r="BU458" s="515"/>
      <c r="BV458" s="515"/>
      <c r="BW458" s="515"/>
      <c r="BX458" s="515"/>
      <c r="BY458" s="515"/>
      <c r="BZ458" s="515"/>
      <c r="CA458" s="515"/>
      <c r="CB458" s="515"/>
      <c r="CC458" s="515"/>
      <c r="CD458" s="515"/>
      <c r="CE458" s="515"/>
      <c r="CF458" s="515"/>
      <c r="CG458" s="515"/>
      <c r="CH458" s="515"/>
      <c r="CI458" s="515"/>
      <c r="CJ458" s="515"/>
      <c r="CK458" s="515"/>
      <c r="CL458" s="515"/>
      <c r="CM458" s="515"/>
      <c r="CN458" s="515"/>
      <c r="CO458" s="515"/>
      <c r="CP458" s="515"/>
      <c r="CQ458" s="515"/>
      <c r="CR458" s="515"/>
      <c r="CS458" s="515"/>
      <c r="CT458" s="515"/>
      <c r="CU458" s="515"/>
      <c r="CV458" s="515"/>
      <c r="CW458" s="515"/>
      <c r="CX458" s="515"/>
      <c r="CY458" s="515"/>
      <c r="CZ458" s="515"/>
      <c r="DA458" s="515"/>
      <c r="DB458" s="515"/>
      <c r="DC458" s="515"/>
      <c r="DD458" s="515"/>
      <c r="DE458" s="515"/>
      <c r="DF458" s="515"/>
      <c r="DG458" s="125"/>
      <c r="DH458" s="125"/>
      <c r="DI458" s="27"/>
      <c r="DJ458" s="7"/>
      <c r="DK458" s="7"/>
      <c r="DL458" s="7"/>
      <c r="DM458" s="7"/>
      <c r="DN458" s="7"/>
      <c r="DO458" s="7"/>
      <c r="DP458" s="7"/>
      <c r="DQ458" s="2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row>
    <row r="459" spans="1:155" s="565" customFormat="1" hidden="1">
      <c r="A459" s="270"/>
      <c r="B459" s="190"/>
      <c r="C459" s="255"/>
      <c r="D459" s="255"/>
      <c r="E459" s="255"/>
      <c r="F459" s="345"/>
      <c r="G459" s="3"/>
      <c r="H459" s="3"/>
      <c r="I459" s="27"/>
      <c r="J459" s="27"/>
      <c r="K459" s="27"/>
      <c r="L459" s="70"/>
      <c r="M459" s="3"/>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3"/>
      <c r="BE459" s="514"/>
      <c r="BF459" s="514"/>
      <c r="BG459" s="514"/>
      <c r="BH459" s="125"/>
      <c r="BI459" s="515"/>
      <c r="BJ459" s="515"/>
      <c r="BK459" s="515"/>
      <c r="BL459" s="515"/>
      <c r="BM459" s="515"/>
      <c r="BN459" s="515"/>
      <c r="BO459" s="515"/>
      <c r="BP459" s="515"/>
      <c r="BQ459" s="515"/>
      <c r="BR459" s="515"/>
      <c r="BS459" s="515"/>
      <c r="BT459" s="515"/>
      <c r="BU459" s="515"/>
      <c r="BV459" s="515"/>
      <c r="BW459" s="515"/>
      <c r="BX459" s="515"/>
      <c r="BY459" s="515"/>
      <c r="BZ459" s="515"/>
      <c r="CA459" s="515"/>
      <c r="CB459" s="515"/>
      <c r="CC459" s="515"/>
      <c r="CD459" s="515"/>
      <c r="CE459" s="515"/>
      <c r="CF459" s="515"/>
      <c r="CG459" s="515"/>
      <c r="CH459" s="515"/>
      <c r="CI459" s="515"/>
      <c r="CJ459" s="515"/>
      <c r="CK459" s="515"/>
      <c r="CL459" s="515"/>
      <c r="CM459" s="515"/>
      <c r="CN459" s="515"/>
      <c r="CO459" s="515"/>
      <c r="CP459" s="515"/>
      <c r="CQ459" s="515"/>
      <c r="CR459" s="515"/>
      <c r="CS459" s="515"/>
      <c r="CT459" s="515"/>
      <c r="CU459" s="515"/>
      <c r="CV459" s="515"/>
      <c r="CW459" s="515"/>
      <c r="CX459" s="515"/>
      <c r="CY459" s="515"/>
      <c r="CZ459" s="515"/>
      <c r="DA459" s="515"/>
      <c r="DB459" s="515"/>
      <c r="DC459" s="515"/>
      <c r="DD459" s="515"/>
      <c r="DE459" s="515"/>
      <c r="DF459" s="515"/>
      <c r="DG459" s="125"/>
      <c r="DH459" s="125"/>
      <c r="DI459" s="27"/>
      <c r="DJ459" s="7"/>
      <c r="DK459" s="7"/>
      <c r="DL459" s="7"/>
      <c r="DM459" s="7"/>
      <c r="DN459" s="7"/>
      <c r="DO459" s="7"/>
      <c r="DP459" s="7"/>
      <c r="DQ459" s="2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row>
    <row r="460" spans="1:155" s="565" customFormat="1" hidden="1">
      <c r="A460" s="270"/>
      <c r="B460" s="190"/>
      <c r="C460" s="255"/>
      <c r="D460" s="255"/>
      <c r="E460" s="255"/>
      <c r="F460" s="345"/>
      <c r="G460" s="3"/>
      <c r="H460" s="3"/>
      <c r="I460" s="27"/>
      <c r="J460" s="27"/>
      <c r="K460" s="27"/>
      <c r="L460" s="70"/>
      <c r="M460" s="3"/>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3"/>
      <c r="BE460" s="514"/>
      <c r="BF460" s="514"/>
      <c r="BG460" s="514"/>
      <c r="BH460" s="125"/>
      <c r="BI460" s="515"/>
      <c r="BJ460" s="515"/>
      <c r="BK460" s="515"/>
      <c r="BL460" s="515"/>
      <c r="BM460" s="515"/>
      <c r="BN460" s="515"/>
      <c r="BO460" s="515"/>
      <c r="BP460" s="515"/>
      <c r="BQ460" s="515"/>
      <c r="BR460" s="515"/>
      <c r="BS460" s="515"/>
      <c r="BT460" s="515"/>
      <c r="BU460" s="515"/>
      <c r="BV460" s="515"/>
      <c r="BW460" s="515"/>
      <c r="BX460" s="515"/>
      <c r="BY460" s="515"/>
      <c r="BZ460" s="515"/>
      <c r="CA460" s="515"/>
      <c r="CB460" s="515"/>
      <c r="CC460" s="515"/>
      <c r="CD460" s="515"/>
      <c r="CE460" s="515"/>
      <c r="CF460" s="515"/>
      <c r="CG460" s="515"/>
      <c r="CH460" s="515"/>
      <c r="CI460" s="515"/>
      <c r="CJ460" s="515"/>
      <c r="CK460" s="515"/>
      <c r="CL460" s="515"/>
      <c r="CM460" s="515"/>
      <c r="CN460" s="515"/>
      <c r="CO460" s="515"/>
      <c r="CP460" s="515"/>
      <c r="CQ460" s="515"/>
      <c r="CR460" s="515"/>
      <c r="CS460" s="515"/>
      <c r="CT460" s="515"/>
      <c r="CU460" s="515"/>
      <c r="CV460" s="515"/>
      <c r="CW460" s="515"/>
      <c r="CX460" s="515"/>
      <c r="CY460" s="515"/>
      <c r="CZ460" s="515"/>
      <c r="DA460" s="515"/>
      <c r="DB460" s="515"/>
      <c r="DC460" s="515"/>
      <c r="DD460" s="515"/>
      <c r="DE460" s="515"/>
      <c r="DF460" s="515"/>
      <c r="DG460" s="125"/>
      <c r="DH460" s="125"/>
      <c r="DI460" s="27"/>
      <c r="DJ460" s="7"/>
      <c r="DK460" s="7"/>
      <c r="DL460" s="7"/>
      <c r="DM460" s="7"/>
      <c r="DN460" s="7"/>
      <c r="DO460" s="7"/>
      <c r="DP460" s="7"/>
      <c r="DQ460" s="2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row>
    <row r="461" spans="1:155" s="565" customFormat="1" hidden="1">
      <c r="A461" s="270"/>
      <c r="B461" s="190"/>
      <c r="C461" s="255"/>
      <c r="D461" s="255"/>
      <c r="E461" s="255"/>
      <c r="F461" s="345"/>
      <c r="G461" s="3"/>
      <c r="H461" s="3"/>
      <c r="I461" s="27"/>
      <c r="J461" s="27"/>
      <c r="K461" s="27"/>
      <c r="L461" s="70"/>
      <c r="M461" s="3"/>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3"/>
      <c r="BE461" s="514"/>
      <c r="BF461" s="514"/>
      <c r="BG461" s="514"/>
      <c r="BH461" s="125"/>
      <c r="BI461" s="515"/>
      <c r="BJ461" s="515"/>
      <c r="BK461" s="515"/>
      <c r="BL461" s="515"/>
      <c r="BM461" s="515"/>
      <c r="BN461" s="515"/>
      <c r="BO461" s="515"/>
      <c r="BP461" s="515"/>
      <c r="BQ461" s="515"/>
      <c r="BR461" s="515"/>
      <c r="BS461" s="515"/>
      <c r="BT461" s="515"/>
      <c r="BU461" s="515"/>
      <c r="BV461" s="515"/>
      <c r="BW461" s="515"/>
      <c r="BX461" s="515"/>
      <c r="BY461" s="515"/>
      <c r="BZ461" s="515"/>
      <c r="CA461" s="515"/>
      <c r="CB461" s="515"/>
      <c r="CC461" s="515"/>
      <c r="CD461" s="515"/>
      <c r="CE461" s="515"/>
      <c r="CF461" s="515"/>
      <c r="CG461" s="515"/>
      <c r="CH461" s="515"/>
      <c r="CI461" s="515"/>
      <c r="CJ461" s="515"/>
      <c r="CK461" s="515"/>
      <c r="CL461" s="515"/>
      <c r="CM461" s="515"/>
      <c r="CN461" s="515"/>
      <c r="CO461" s="515"/>
      <c r="CP461" s="515"/>
      <c r="CQ461" s="515"/>
      <c r="CR461" s="515"/>
      <c r="CS461" s="515"/>
      <c r="CT461" s="515"/>
      <c r="CU461" s="515"/>
      <c r="CV461" s="515"/>
      <c r="CW461" s="515"/>
      <c r="CX461" s="515"/>
      <c r="CY461" s="515"/>
      <c r="CZ461" s="515"/>
      <c r="DA461" s="515"/>
      <c r="DB461" s="515"/>
      <c r="DC461" s="515"/>
      <c r="DD461" s="515"/>
      <c r="DE461" s="515"/>
      <c r="DF461" s="515"/>
      <c r="DG461" s="125"/>
      <c r="DH461" s="125"/>
      <c r="DI461" s="27"/>
      <c r="DJ461" s="7"/>
      <c r="DK461" s="7"/>
      <c r="DL461" s="7"/>
      <c r="DM461" s="7"/>
      <c r="DN461" s="7"/>
      <c r="DO461" s="7"/>
      <c r="DP461" s="7"/>
      <c r="DQ461" s="2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row>
    <row r="462" spans="1:155" s="565" customFormat="1" hidden="1">
      <c r="A462" s="51"/>
      <c r="B462" s="625"/>
      <c r="C462" s="625"/>
      <c r="D462" s="542"/>
      <c r="E462" s="542"/>
      <c r="F462" s="543"/>
      <c r="G462" s="3"/>
      <c r="H462" s="3"/>
      <c r="I462" s="27"/>
      <c r="J462" s="27"/>
      <c r="K462" s="27"/>
      <c r="L462" s="70"/>
      <c r="M462" s="544"/>
      <c r="N462" s="545"/>
      <c r="O462" s="545"/>
      <c r="P462" s="545"/>
      <c r="Q462" s="545"/>
      <c r="R462" s="545"/>
      <c r="S462" s="545"/>
      <c r="T462" s="545"/>
      <c r="U462" s="545"/>
      <c r="V462" s="545"/>
      <c r="W462" s="545"/>
      <c r="X462" s="545"/>
      <c r="Y462" s="545"/>
      <c r="Z462" s="545"/>
      <c r="AA462" s="545"/>
      <c r="AB462" s="545"/>
      <c r="AC462" s="545"/>
      <c r="AD462" s="545"/>
      <c r="AE462" s="545"/>
      <c r="AF462" s="545"/>
      <c r="AG462" s="545"/>
      <c r="AH462" s="545"/>
      <c r="AI462" s="545"/>
      <c r="AJ462" s="545"/>
      <c r="AK462" s="545"/>
      <c r="AL462" s="545"/>
      <c r="AM462" s="545"/>
      <c r="AN462" s="545"/>
      <c r="AO462" s="545"/>
      <c r="AP462" s="545"/>
      <c r="AQ462" s="545"/>
      <c r="AR462" s="545"/>
      <c r="AS462" s="545"/>
      <c r="AT462" s="545"/>
      <c r="AU462" s="545"/>
      <c r="AV462" s="545"/>
      <c r="AW462" s="545"/>
      <c r="AX462" s="545"/>
      <c r="AY462" s="545"/>
      <c r="AZ462" s="545"/>
      <c r="BA462" s="545"/>
      <c r="BB462" s="545"/>
      <c r="BC462" s="545"/>
      <c r="BD462" s="3"/>
      <c r="BE462" s="514"/>
      <c r="BF462" s="514"/>
      <c r="BG462" s="514"/>
      <c r="BH462" s="125"/>
      <c r="BI462" s="515"/>
      <c r="BJ462" s="515"/>
      <c r="BK462" s="515"/>
      <c r="BL462" s="515"/>
      <c r="BM462" s="515"/>
      <c r="BN462" s="515"/>
      <c r="BO462" s="515"/>
      <c r="BP462" s="515"/>
      <c r="BQ462" s="515"/>
      <c r="BR462" s="515"/>
      <c r="BS462" s="515"/>
      <c r="BT462" s="515"/>
      <c r="BU462" s="515"/>
      <c r="BV462" s="515"/>
      <c r="BW462" s="515"/>
      <c r="BX462" s="515"/>
      <c r="BY462" s="515"/>
      <c r="BZ462" s="515"/>
      <c r="CA462" s="515"/>
      <c r="CB462" s="515"/>
      <c r="CC462" s="515"/>
      <c r="CD462" s="515"/>
      <c r="CE462" s="515"/>
      <c r="CF462" s="515"/>
      <c r="CG462" s="515"/>
      <c r="CH462" s="515"/>
      <c r="CI462" s="515"/>
      <c r="CJ462" s="515"/>
      <c r="CK462" s="515"/>
      <c r="CL462" s="515"/>
      <c r="CM462" s="515"/>
      <c r="CN462" s="515"/>
      <c r="CO462" s="515"/>
      <c r="CP462" s="515"/>
      <c r="CQ462" s="515"/>
      <c r="CR462" s="515"/>
      <c r="CS462" s="515"/>
      <c r="CT462" s="515"/>
      <c r="CU462" s="515"/>
      <c r="CV462" s="515"/>
      <c r="CW462" s="515"/>
      <c r="CX462" s="515"/>
      <c r="CY462" s="515"/>
      <c r="CZ462" s="515"/>
      <c r="DA462" s="515"/>
      <c r="DB462" s="515"/>
      <c r="DC462" s="515"/>
      <c r="DD462" s="515"/>
      <c r="DE462" s="515"/>
      <c r="DF462" s="515"/>
      <c r="DG462" s="125"/>
      <c r="DH462" s="125"/>
      <c r="DI462" s="27"/>
      <c r="DJ462" s="7"/>
      <c r="DK462" s="7"/>
      <c r="DL462" s="7"/>
      <c r="DM462" s="7"/>
      <c r="DN462" s="7"/>
      <c r="DO462" s="7"/>
      <c r="DP462" s="7"/>
      <c r="DQ462" s="2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row>
    <row r="463" spans="1:155" s="565" customFormat="1" hidden="1">
      <c r="A463" s="51"/>
      <c r="B463" s="3"/>
      <c r="C463" s="3"/>
      <c r="D463" s="3"/>
      <c r="E463" s="3"/>
      <c r="F463" s="3"/>
      <c r="G463" s="3"/>
      <c r="H463" s="3"/>
      <c r="I463" s="27"/>
      <c r="J463" s="27"/>
      <c r="K463" s="27"/>
      <c r="L463" s="70"/>
      <c r="M463" s="544"/>
      <c r="N463" s="14"/>
      <c r="O463" s="545" t="s">
        <v>588</v>
      </c>
      <c r="P463" s="545"/>
      <c r="Q463" s="545"/>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3"/>
      <c r="BE463" s="514"/>
      <c r="BF463" s="514"/>
      <c r="BG463" s="514"/>
      <c r="BH463" s="125"/>
      <c r="BI463" s="515"/>
      <c r="BJ463" s="515"/>
      <c r="BK463" s="515"/>
      <c r="BL463" s="515"/>
      <c r="BM463" s="515"/>
      <c r="BN463" s="515"/>
      <c r="BO463" s="515"/>
      <c r="BP463" s="515"/>
      <c r="BQ463" s="515"/>
      <c r="BR463" s="515"/>
      <c r="BS463" s="515"/>
      <c r="BT463" s="515"/>
      <c r="BU463" s="515"/>
      <c r="BV463" s="515"/>
      <c r="BW463" s="515"/>
      <c r="BX463" s="515"/>
      <c r="BY463" s="515"/>
      <c r="BZ463" s="515"/>
      <c r="CA463" s="515"/>
      <c r="CB463" s="515"/>
      <c r="CC463" s="515"/>
      <c r="CD463" s="515"/>
      <c r="CE463" s="515"/>
      <c r="CF463" s="515"/>
      <c r="CG463" s="515"/>
      <c r="CH463" s="515"/>
      <c r="CI463" s="515"/>
      <c r="CJ463" s="515"/>
      <c r="CK463" s="515"/>
      <c r="CL463" s="515"/>
      <c r="CM463" s="515"/>
      <c r="CN463" s="515"/>
      <c r="CO463" s="515"/>
      <c r="CP463" s="515"/>
      <c r="CQ463" s="515"/>
      <c r="CR463" s="515"/>
      <c r="CS463" s="515"/>
      <c r="CT463" s="515"/>
      <c r="CU463" s="515"/>
      <c r="CV463" s="515"/>
      <c r="CW463" s="515"/>
      <c r="CX463" s="515"/>
      <c r="CY463" s="515"/>
      <c r="CZ463" s="515"/>
      <c r="DA463" s="515"/>
      <c r="DB463" s="515"/>
      <c r="DC463" s="515"/>
      <c r="DD463" s="515"/>
      <c r="DE463" s="515"/>
      <c r="DF463" s="515"/>
      <c r="DG463" s="125"/>
      <c r="DH463" s="125"/>
      <c r="DI463" s="27"/>
      <c r="DJ463" s="7"/>
      <c r="DK463" s="7"/>
      <c r="DL463" s="7"/>
      <c r="DM463" s="7"/>
      <c r="DN463" s="7"/>
      <c r="DO463" s="7"/>
      <c r="DP463" s="7"/>
      <c r="DQ463" s="2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row>
    <row r="464" spans="1:155" s="565" customFormat="1" hidden="1">
      <c r="A464" s="51"/>
      <c r="B464" s="3"/>
      <c r="C464" s="3"/>
      <c r="D464" s="3"/>
      <c r="E464" s="3"/>
      <c r="F464" s="3"/>
      <c r="G464" s="3"/>
      <c r="H464" s="3"/>
      <c r="I464" s="3"/>
      <c r="J464" s="3"/>
      <c r="K464" s="3"/>
      <c r="L464" s="3"/>
      <c r="M464" s="3"/>
      <c r="N464" s="14"/>
      <c r="O464" s="545" t="s">
        <v>589</v>
      </c>
      <c r="P464" s="6"/>
      <c r="Q464" s="6"/>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3"/>
      <c r="BE464" s="514"/>
      <c r="BF464" s="514"/>
      <c r="BG464" s="514"/>
      <c r="BH464" s="125"/>
      <c r="BI464" s="515"/>
      <c r="BJ464" s="515"/>
      <c r="BK464" s="515"/>
      <c r="BL464" s="515"/>
      <c r="BM464" s="515"/>
      <c r="BN464" s="515"/>
      <c r="BO464" s="515"/>
      <c r="BP464" s="515"/>
      <c r="BQ464" s="515"/>
      <c r="BR464" s="515"/>
      <c r="BS464" s="515"/>
      <c r="BT464" s="515"/>
      <c r="BU464" s="515"/>
      <c r="BV464" s="515"/>
      <c r="BW464" s="515"/>
      <c r="BX464" s="515"/>
      <c r="BY464" s="515"/>
      <c r="BZ464" s="515"/>
      <c r="CA464" s="515"/>
      <c r="CB464" s="515"/>
      <c r="CC464" s="515"/>
      <c r="CD464" s="515"/>
      <c r="CE464" s="515"/>
      <c r="CF464" s="515"/>
      <c r="CG464" s="515"/>
      <c r="CH464" s="515"/>
      <c r="CI464" s="515"/>
      <c r="CJ464" s="515"/>
      <c r="CK464" s="515"/>
      <c r="CL464" s="515"/>
      <c r="CM464" s="515"/>
      <c r="CN464" s="515"/>
      <c r="CO464" s="515"/>
      <c r="CP464" s="515"/>
      <c r="CQ464" s="515"/>
      <c r="CR464" s="515"/>
      <c r="CS464" s="515"/>
      <c r="CT464" s="515"/>
      <c r="CU464" s="515"/>
      <c r="CV464" s="515"/>
      <c r="CW464" s="515"/>
      <c r="CX464" s="515"/>
      <c r="CY464" s="515"/>
      <c r="CZ464" s="515"/>
      <c r="DA464" s="515"/>
      <c r="DB464" s="515"/>
      <c r="DC464" s="515"/>
      <c r="DD464" s="515"/>
      <c r="DE464" s="515"/>
      <c r="DF464" s="515"/>
      <c r="DG464" s="125"/>
      <c r="DH464" s="125"/>
      <c r="DI464" s="27"/>
      <c r="DJ464" s="7"/>
      <c r="DK464" s="7"/>
      <c r="DL464" s="7"/>
      <c r="DM464" s="7"/>
      <c r="DN464" s="7"/>
      <c r="DO464" s="7"/>
      <c r="DP464" s="7"/>
      <c r="DQ464" s="27"/>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row>
    <row r="465" spans="1:155" s="565" customFormat="1" ht="15.75">
      <c r="A465" s="51"/>
      <c r="B465" s="546" t="s">
        <v>590</v>
      </c>
      <c r="C465" s="545"/>
      <c r="D465" s="545"/>
      <c r="E465" s="545"/>
      <c r="F465" s="545"/>
      <c r="G465" s="545"/>
      <c r="H465" s="545"/>
      <c r="I465" s="545"/>
      <c r="J465" s="545"/>
      <c r="K465" s="545"/>
      <c r="L465" s="545"/>
      <c r="M465" s="545"/>
      <c r="N465" s="14"/>
      <c r="O465" s="234"/>
      <c r="P465" s="547" t="s">
        <v>314</v>
      </c>
      <c r="Q465" s="273" t="s">
        <v>315</v>
      </c>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3"/>
      <c r="BE465" s="514"/>
      <c r="BF465" s="514"/>
      <c r="BG465" s="514"/>
      <c r="BH465" s="125"/>
      <c r="BI465" s="515"/>
      <c r="BJ465" s="515"/>
      <c r="BK465" s="515"/>
      <c r="BL465" s="515"/>
      <c r="BM465" s="515"/>
      <c r="BN465" s="515"/>
      <c r="BO465" s="515"/>
      <c r="BP465" s="515"/>
      <c r="BQ465" s="515"/>
      <c r="BR465" s="515"/>
      <c r="BS465" s="515"/>
      <c r="BT465" s="515"/>
      <c r="BU465" s="515"/>
      <c r="BV465" s="515"/>
      <c r="BW465" s="515"/>
      <c r="BX465" s="515"/>
      <c r="BY465" s="515"/>
      <c r="BZ465" s="515"/>
      <c r="CA465" s="515"/>
      <c r="CB465" s="515"/>
      <c r="CC465" s="515"/>
      <c r="CD465" s="515"/>
      <c r="CE465" s="515"/>
      <c r="CF465" s="515"/>
      <c r="CG465" s="515"/>
      <c r="CH465" s="515"/>
      <c r="CI465" s="515"/>
      <c r="CJ465" s="515"/>
      <c r="CK465" s="515"/>
      <c r="CL465" s="515"/>
      <c r="CM465" s="515"/>
      <c r="CN465" s="515"/>
      <c r="CO465" s="515"/>
      <c r="CP465" s="515"/>
      <c r="CQ465" s="515"/>
      <c r="CR465" s="515"/>
      <c r="CS465" s="515"/>
      <c r="CT465" s="515"/>
      <c r="CU465" s="515"/>
      <c r="CV465" s="515"/>
      <c r="CW465" s="515"/>
      <c r="CX465" s="515"/>
      <c r="CY465" s="515"/>
      <c r="CZ465" s="515"/>
      <c r="DA465" s="515"/>
      <c r="DB465" s="515"/>
      <c r="DC465" s="515"/>
      <c r="DD465" s="515"/>
      <c r="DE465" s="515"/>
      <c r="DF465" s="515"/>
      <c r="DG465" s="125"/>
      <c r="DH465" s="125"/>
      <c r="DI465" s="27"/>
      <c r="DJ465" s="7"/>
      <c r="DK465" s="7"/>
      <c r="DL465" s="7"/>
      <c r="DM465" s="7"/>
      <c r="DN465" s="7"/>
      <c r="DO465" s="7"/>
      <c r="DP465" s="7"/>
      <c r="DQ465" s="2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row>
    <row r="466" spans="1:155" s="565" customFormat="1">
      <c r="A466" s="51"/>
      <c r="B466" s="51"/>
      <c r="C466" s="51"/>
      <c r="D466" s="51"/>
      <c r="E466" s="51"/>
      <c r="F466" s="51"/>
      <c r="G466" s="51"/>
      <c r="H466" s="51"/>
      <c r="I466" s="51"/>
      <c r="J466" s="51"/>
      <c r="K466" s="51"/>
      <c r="L466" s="51"/>
      <c r="M466" s="51"/>
      <c r="N466" s="14"/>
      <c r="O466" s="234" t="s">
        <v>105</v>
      </c>
      <c r="P466" s="23">
        <f>C105-F375</f>
        <v>0</v>
      </c>
      <c r="Q466" s="23">
        <f>D337</f>
        <v>0</v>
      </c>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3"/>
      <c r="BE466" s="514"/>
      <c r="BF466" s="514"/>
      <c r="BG466" s="514"/>
      <c r="BH466" s="125"/>
      <c r="BI466" s="515"/>
      <c r="BJ466" s="515"/>
      <c r="BK466" s="515"/>
      <c r="BL466" s="515"/>
      <c r="BM466" s="515"/>
      <c r="BN466" s="515"/>
      <c r="BO466" s="515"/>
      <c r="BP466" s="515"/>
      <c r="BQ466" s="515"/>
      <c r="BR466" s="515"/>
      <c r="BS466" s="515"/>
      <c r="BT466" s="515"/>
      <c r="BU466" s="515"/>
      <c r="BV466" s="515"/>
      <c r="BW466" s="515"/>
      <c r="BX466" s="515"/>
      <c r="BY466" s="515"/>
      <c r="BZ466" s="515"/>
      <c r="CA466" s="515"/>
      <c r="CB466" s="515"/>
      <c r="CC466" s="515"/>
      <c r="CD466" s="515"/>
      <c r="CE466" s="515"/>
      <c r="CF466" s="515"/>
      <c r="CG466" s="515"/>
      <c r="CH466" s="515"/>
      <c r="CI466" s="515"/>
      <c r="CJ466" s="515"/>
      <c r="CK466" s="515"/>
      <c r="CL466" s="515"/>
      <c r="CM466" s="515"/>
      <c r="CN466" s="515"/>
      <c r="CO466" s="515"/>
      <c r="CP466" s="515"/>
      <c r="CQ466" s="515"/>
      <c r="CR466" s="515"/>
      <c r="CS466" s="515"/>
      <c r="CT466" s="515"/>
      <c r="CU466" s="515"/>
      <c r="CV466" s="515"/>
      <c r="CW466" s="515"/>
      <c r="CX466" s="515"/>
      <c r="CY466" s="515"/>
      <c r="CZ466" s="515"/>
      <c r="DA466" s="515"/>
      <c r="DB466" s="515"/>
      <c r="DC466" s="515"/>
      <c r="DD466" s="515"/>
      <c r="DE466" s="515"/>
      <c r="DF466" s="515"/>
      <c r="DG466" s="125"/>
      <c r="DH466" s="125"/>
      <c r="DI466" s="27"/>
      <c r="DJ466" s="7"/>
      <c r="DK466" s="7"/>
      <c r="DL466" s="7"/>
      <c r="DM466" s="7"/>
      <c r="DN466" s="7"/>
      <c r="DO466" s="7"/>
      <c r="DP466" s="7"/>
      <c r="DQ466" s="2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row>
    <row r="467" spans="1:155" s="565" customFormat="1" ht="15.75" thickBot="1">
      <c r="A467" s="51"/>
      <c r="B467" s="622" t="s">
        <v>591</v>
      </c>
      <c r="C467" s="623"/>
      <c r="D467" s="555" t="s">
        <v>600</v>
      </c>
      <c r="E467" s="556" t="str">
        <f>$AI$193</f>
        <v>Notional building</v>
      </c>
      <c r="F467" s="51"/>
      <c r="G467" s="51"/>
      <c r="H467" s="51"/>
      <c r="I467" s="562" t="s">
        <v>596</v>
      </c>
      <c r="J467" s="562" t="s">
        <v>601</v>
      </c>
      <c r="K467" s="27"/>
      <c r="L467" s="27"/>
      <c r="M467" s="27"/>
      <c r="N467" s="14"/>
      <c r="O467" s="234" t="s">
        <v>106</v>
      </c>
      <c r="P467" s="23">
        <f>C106-F376</f>
        <v>0</v>
      </c>
      <c r="Q467" s="23">
        <f>D338</f>
        <v>0</v>
      </c>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3"/>
      <c r="BE467" s="514"/>
      <c r="BF467" s="514"/>
      <c r="BG467" s="514"/>
      <c r="BH467" s="125"/>
      <c r="BI467" s="515"/>
      <c r="BJ467" s="515"/>
      <c r="BK467" s="515"/>
      <c r="BL467" s="515"/>
      <c r="BM467" s="515"/>
      <c r="BN467" s="515"/>
      <c r="BO467" s="515"/>
      <c r="BP467" s="515"/>
      <c r="BQ467" s="515"/>
      <c r="BR467" s="515"/>
      <c r="BS467" s="515"/>
      <c r="BT467" s="515"/>
      <c r="BU467" s="515"/>
      <c r="BV467" s="515"/>
      <c r="BW467" s="515"/>
      <c r="BX467" s="515"/>
      <c r="BY467" s="515"/>
      <c r="BZ467" s="515"/>
      <c r="CA467" s="515"/>
      <c r="CB467" s="515"/>
      <c r="CC467" s="515"/>
      <c r="CD467" s="515"/>
      <c r="CE467" s="515"/>
      <c r="CF467" s="515"/>
      <c r="CG467" s="515"/>
      <c r="CH467" s="515"/>
      <c r="CI467" s="515"/>
      <c r="CJ467" s="515"/>
      <c r="CK467" s="515"/>
      <c r="CL467" s="515"/>
      <c r="CM467" s="515"/>
      <c r="CN467" s="515"/>
      <c r="CO467" s="515"/>
      <c r="CP467" s="515"/>
      <c r="CQ467" s="515"/>
      <c r="CR467" s="515"/>
      <c r="CS467" s="515"/>
      <c r="CT467" s="515"/>
      <c r="CU467" s="515"/>
      <c r="CV467" s="515"/>
      <c r="CW467" s="515"/>
      <c r="CX467" s="515"/>
      <c r="CY467" s="515"/>
      <c r="CZ467" s="515"/>
      <c r="DA467" s="515"/>
      <c r="DB467" s="515"/>
      <c r="DC467" s="515"/>
      <c r="DD467" s="515"/>
      <c r="DE467" s="515"/>
      <c r="DF467" s="515"/>
      <c r="DG467" s="125"/>
      <c r="DH467" s="125"/>
      <c r="DI467" s="27"/>
      <c r="DJ467" s="7"/>
      <c r="DK467" s="7"/>
      <c r="DL467" s="7"/>
      <c r="DM467" s="7"/>
      <c r="DN467" s="7"/>
      <c r="DO467" s="7"/>
      <c r="DP467" s="7"/>
      <c r="DQ467" s="2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row>
    <row r="468" spans="1:155" s="565" customFormat="1">
      <c r="A468" s="51"/>
      <c r="B468" s="557" t="s">
        <v>602</v>
      </c>
      <c r="C468" s="558"/>
      <c r="D468" s="578"/>
      <c r="E468" s="559">
        <f>D363</f>
        <v>0</v>
      </c>
      <c r="F468" s="51"/>
      <c r="G468" s="51"/>
      <c r="H468" s="51"/>
      <c r="I468" s="603">
        <v>0</v>
      </c>
      <c r="J468" s="604">
        <v>1</v>
      </c>
      <c r="K468" s="27"/>
      <c r="L468" s="27"/>
      <c r="M468" s="27"/>
      <c r="N468" s="14"/>
      <c r="O468" s="234" t="s">
        <v>592</v>
      </c>
      <c r="P468" s="23">
        <f>C107-F377</f>
        <v>0</v>
      </c>
      <c r="Q468" s="23">
        <f>D339</f>
        <v>0</v>
      </c>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3"/>
      <c r="BE468" s="514"/>
      <c r="BF468" s="514"/>
      <c r="BG468" s="514"/>
      <c r="BH468" s="125"/>
      <c r="BI468" s="515"/>
      <c r="BJ468" s="515"/>
      <c r="BK468" s="515"/>
      <c r="BL468" s="515"/>
      <c r="BM468" s="515"/>
      <c r="BN468" s="515"/>
      <c r="BO468" s="515"/>
      <c r="BP468" s="515"/>
      <c r="BQ468" s="515"/>
      <c r="BR468" s="515"/>
      <c r="BS468" s="515"/>
      <c r="BT468" s="515"/>
      <c r="BU468" s="515"/>
      <c r="BV468" s="515"/>
      <c r="BW468" s="515"/>
      <c r="BX468" s="515"/>
      <c r="BY468" s="515"/>
      <c r="BZ468" s="515"/>
      <c r="CA468" s="515"/>
      <c r="CB468" s="515"/>
      <c r="CC468" s="515"/>
      <c r="CD468" s="515"/>
      <c r="CE468" s="515"/>
      <c r="CF468" s="515"/>
      <c r="CG468" s="515"/>
      <c r="CH468" s="515"/>
      <c r="CI468" s="515"/>
      <c r="CJ468" s="515"/>
      <c r="CK468" s="515"/>
      <c r="CL468" s="515"/>
      <c r="CM468" s="515"/>
      <c r="CN468" s="515"/>
      <c r="CO468" s="515"/>
      <c r="CP468" s="515"/>
      <c r="CQ468" s="515"/>
      <c r="CR468" s="515"/>
      <c r="CS468" s="515"/>
      <c r="CT468" s="515"/>
      <c r="CU468" s="515"/>
      <c r="CV468" s="515"/>
      <c r="CW468" s="515"/>
      <c r="CX468" s="515"/>
      <c r="CY468" s="515"/>
      <c r="CZ468" s="515"/>
      <c r="DA468" s="515"/>
      <c r="DB468" s="515"/>
      <c r="DC468" s="515"/>
      <c r="DD468" s="515"/>
      <c r="DE468" s="515"/>
      <c r="DF468" s="515"/>
      <c r="DG468" s="125"/>
      <c r="DH468" s="125"/>
      <c r="DI468" s="27"/>
      <c r="DJ468" s="7"/>
      <c r="DK468" s="7"/>
      <c r="DL468" s="7"/>
      <c r="DM468" s="7"/>
      <c r="DN468" s="7"/>
      <c r="DO468" s="7"/>
      <c r="DP468" s="7"/>
      <c r="DQ468" s="2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row>
    <row r="469" spans="1:155" s="565" customFormat="1">
      <c r="A469" s="51"/>
      <c r="B469" s="626" t="s">
        <v>611</v>
      </c>
      <c r="C469" s="627"/>
      <c r="D469" s="180"/>
      <c r="E469" s="180"/>
      <c r="F469" s="51"/>
      <c r="G469" s="51"/>
      <c r="H469" s="51"/>
      <c r="I469" s="605">
        <v>2.5000000000000001E-2</v>
      </c>
      <c r="J469" s="606">
        <v>1.5</v>
      </c>
      <c r="K469" s="27"/>
      <c r="L469" s="27"/>
      <c r="M469" s="27"/>
      <c r="N469" s="14"/>
      <c r="O469" s="234" t="s">
        <v>108</v>
      </c>
      <c r="P469" s="23">
        <f>C108-F378</f>
        <v>0</v>
      </c>
      <c r="Q469" s="23">
        <f>D340</f>
        <v>0</v>
      </c>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3"/>
      <c r="BE469" s="514"/>
      <c r="BF469" s="514"/>
      <c r="BG469" s="514"/>
      <c r="BH469" s="125"/>
      <c r="BI469" s="515"/>
      <c r="BJ469" s="515"/>
      <c r="BK469" s="515"/>
      <c r="BL469" s="515"/>
      <c r="BM469" s="515"/>
      <c r="BN469" s="515"/>
      <c r="BO469" s="515"/>
      <c r="BP469" s="515"/>
      <c r="BQ469" s="515"/>
      <c r="BR469" s="515"/>
      <c r="BS469" s="515"/>
      <c r="BT469" s="515"/>
      <c r="BU469" s="515"/>
      <c r="BV469" s="515"/>
      <c r="BW469" s="515"/>
      <c r="BX469" s="515"/>
      <c r="BY469" s="515"/>
      <c r="BZ469" s="515"/>
      <c r="CA469" s="515"/>
      <c r="CB469" s="515"/>
      <c r="CC469" s="515"/>
      <c r="CD469" s="515"/>
      <c r="CE469" s="515"/>
      <c r="CF469" s="515"/>
      <c r="CG469" s="515"/>
      <c r="CH469" s="515"/>
      <c r="CI469" s="515"/>
      <c r="CJ469" s="515"/>
      <c r="CK469" s="515"/>
      <c r="CL469" s="515"/>
      <c r="CM469" s="515"/>
      <c r="CN469" s="515"/>
      <c r="CO469" s="515"/>
      <c r="CP469" s="515"/>
      <c r="CQ469" s="515"/>
      <c r="CR469" s="515"/>
      <c r="CS469" s="515"/>
      <c r="CT469" s="515"/>
      <c r="CU469" s="515"/>
      <c r="CV469" s="515"/>
      <c r="CW469" s="515"/>
      <c r="CX469" s="515"/>
      <c r="CY469" s="515"/>
      <c r="CZ469" s="515"/>
      <c r="DA469" s="515"/>
      <c r="DB469" s="515"/>
      <c r="DC469" s="515"/>
      <c r="DD469" s="515"/>
      <c r="DE469" s="515"/>
      <c r="DF469" s="515"/>
      <c r="DG469" s="125"/>
      <c r="DH469" s="125"/>
      <c r="DI469" s="27"/>
      <c r="DJ469" s="7"/>
      <c r="DK469" s="7"/>
      <c r="DL469" s="7"/>
      <c r="DM469" s="7"/>
      <c r="DN469" s="7"/>
      <c r="DO469" s="7"/>
      <c r="DP469" s="7"/>
      <c r="DQ469" s="2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row>
    <row r="470" spans="1:155" s="565" customFormat="1">
      <c r="A470" s="51"/>
      <c r="B470" s="180"/>
      <c r="C470" s="180"/>
      <c r="D470" s="180"/>
      <c r="E470" s="180"/>
      <c r="F470" s="51"/>
      <c r="G470" s="51"/>
      <c r="H470" s="51"/>
      <c r="I470" s="607">
        <v>0.05</v>
      </c>
      <c r="J470" s="608">
        <v>2</v>
      </c>
      <c r="K470" s="27"/>
      <c r="L470" s="27"/>
      <c r="M470" s="27"/>
      <c r="N470" s="14"/>
      <c r="O470" s="234" t="s">
        <v>593</v>
      </c>
      <c r="P470" s="23">
        <f>S156-F379</f>
        <v>0</v>
      </c>
      <c r="Q470" s="23">
        <f>D341</f>
        <v>0</v>
      </c>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3"/>
      <c r="BE470" s="514"/>
      <c r="BF470" s="514"/>
      <c r="BG470" s="514"/>
      <c r="BH470" s="125"/>
      <c r="BI470" s="515"/>
      <c r="BJ470" s="515"/>
      <c r="BK470" s="515"/>
      <c r="BL470" s="515"/>
      <c r="BM470" s="515"/>
      <c r="BN470" s="515"/>
      <c r="BO470" s="515"/>
      <c r="BP470" s="515"/>
      <c r="BQ470" s="515"/>
      <c r="BR470" s="515"/>
      <c r="BS470" s="515"/>
      <c r="BT470" s="515"/>
      <c r="BU470" s="515"/>
      <c r="BV470" s="515"/>
      <c r="BW470" s="515"/>
      <c r="BX470" s="515"/>
      <c r="BY470" s="515"/>
      <c r="BZ470" s="515"/>
      <c r="CA470" s="515"/>
      <c r="CB470" s="515"/>
      <c r="CC470" s="515"/>
      <c r="CD470" s="515"/>
      <c r="CE470" s="515"/>
      <c r="CF470" s="515"/>
      <c r="CG470" s="515"/>
      <c r="CH470" s="515"/>
      <c r="CI470" s="515"/>
      <c r="CJ470" s="515"/>
      <c r="CK470" s="515"/>
      <c r="CL470" s="515"/>
      <c r="CM470" s="515"/>
      <c r="CN470" s="515"/>
      <c r="CO470" s="515"/>
      <c r="CP470" s="515"/>
      <c r="CQ470" s="515"/>
      <c r="CR470" s="515"/>
      <c r="CS470" s="515"/>
      <c r="CT470" s="515"/>
      <c r="CU470" s="515"/>
      <c r="CV470" s="515"/>
      <c r="CW470" s="515"/>
      <c r="CX470" s="515"/>
      <c r="CY470" s="515"/>
      <c r="CZ470" s="515"/>
      <c r="DA470" s="515"/>
      <c r="DB470" s="515"/>
      <c r="DC470" s="515"/>
      <c r="DD470" s="515"/>
      <c r="DE470" s="515"/>
      <c r="DF470" s="515"/>
      <c r="DG470" s="125"/>
      <c r="DH470" s="125"/>
      <c r="DI470" s="27"/>
      <c r="DJ470" s="7"/>
      <c r="DK470" s="7"/>
      <c r="DL470" s="7"/>
      <c r="DM470" s="7"/>
      <c r="DN470" s="7"/>
      <c r="DO470" s="7"/>
      <c r="DP470" s="7"/>
      <c r="DQ470" s="2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row>
    <row r="471" spans="1:155" s="565" customFormat="1">
      <c r="A471" s="51"/>
      <c r="B471" s="180"/>
      <c r="C471" s="180"/>
      <c r="D471" s="180"/>
      <c r="E471" s="180"/>
      <c r="F471" s="51"/>
      <c r="G471" s="51"/>
      <c r="H471" s="51"/>
      <c r="I471" s="605">
        <v>7.4999999999999997E-2</v>
      </c>
      <c r="J471" s="606">
        <v>2.5</v>
      </c>
      <c r="K471" s="27"/>
      <c r="L471" s="27"/>
      <c r="M471" s="27"/>
      <c r="N471" s="14"/>
      <c r="O471" s="234" t="s">
        <v>594</v>
      </c>
      <c r="P471" s="23">
        <f>D243-F380</f>
        <v>0</v>
      </c>
      <c r="Q471" s="23">
        <f>E243-G380</f>
        <v>0</v>
      </c>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3"/>
      <c r="BE471" s="514"/>
      <c r="BF471" s="514"/>
      <c r="BG471" s="514"/>
      <c r="BH471" s="125"/>
      <c r="BI471" s="515"/>
      <c r="BJ471" s="515"/>
      <c r="BK471" s="515"/>
      <c r="BL471" s="515"/>
      <c r="BM471" s="515"/>
      <c r="BN471" s="515"/>
      <c r="BO471" s="515"/>
      <c r="BP471" s="515"/>
      <c r="BQ471" s="515"/>
      <c r="BR471" s="515"/>
      <c r="BS471" s="515"/>
      <c r="BT471" s="515"/>
      <c r="BU471" s="515"/>
      <c r="BV471" s="515"/>
      <c r="BW471" s="515"/>
      <c r="BX471" s="515"/>
      <c r="BY471" s="515"/>
      <c r="BZ471" s="515"/>
      <c r="CA471" s="515"/>
      <c r="CB471" s="515"/>
      <c r="CC471" s="515"/>
      <c r="CD471" s="515"/>
      <c r="CE471" s="515"/>
      <c r="CF471" s="515"/>
      <c r="CG471" s="515"/>
      <c r="CH471" s="515"/>
      <c r="CI471" s="515"/>
      <c r="CJ471" s="515"/>
      <c r="CK471" s="515"/>
      <c r="CL471" s="515"/>
      <c r="CM471" s="515"/>
      <c r="CN471" s="515"/>
      <c r="CO471" s="515"/>
      <c r="CP471" s="515"/>
      <c r="CQ471" s="515"/>
      <c r="CR471" s="515"/>
      <c r="CS471" s="515"/>
      <c r="CT471" s="515"/>
      <c r="CU471" s="515"/>
      <c r="CV471" s="515"/>
      <c r="CW471" s="515"/>
      <c r="CX471" s="515"/>
      <c r="CY471" s="515"/>
      <c r="CZ471" s="515"/>
      <c r="DA471" s="515"/>
      <c r="DB471" s="515"/>
      <c r="DC471" s="515"/>
      <c r="DD471" s="515"/>
      <c r="DE471" s="515"/>
      <c r="DF471" s="515"/>
      <c r="DG471" s="125"/>
      <c r="DH471" s="125"/>
      <c r="DI471" s="27"/>
      <c r="DJ471" s="7"/>
      <c r="DK471" s="7"/>
      <c r="DL471" s="7"/>
      <c r="DM471" s="7"/>
      <c r="DN471" s="7"/>
      <c r="DO471" s="7"/>
      <c r="DP471" s="7"/>
      <c r="DQ471" s="2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row>
    <row r="472" spans="1:155" s="565" customFormat="1">
      <c r="A472" s="51"/>
      <c r="B472" s="180"/>
      <c r="C472" s="180"/>
      <c r="D472" s="180"/>
      <c r="E472" s="180"/>
      <c r="F472" s="51"/>
      <c r="G472" s="51"/>
      <c r="H472" s="51"/>
      <c r="I472" s="607">
        <v>0.1</v>
      </c>
      <c r="J472" s="608">
        <v>3</v>
      </c>
      <c r="K472" s="27"/>
      <c r="L472" s="27"/>
      <c r="M472" s="27"/>
      <c r="N472" s="14"/>
      <c r="O472" s="14"/>
      <c r="P472" s="548">
        <f>SUM(P466:P471)</f>
        <v>0</v>
      </c>
      <c r="Q472" s="548">
        <f>SUM(Q466:Q471)</f>
        <v>0</v>
      </c>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3"/>
      <c r="BE472" s="514"/>
      <c r="BF472" s="514"/>
      <c r="BG472" s="514"/>
      <c r="BH472" s="125"/>
      <c r="BI472" s="515"/>
      <c r="BJ472" s="515"/>
      <c r="BK472" s="515"/>
      <c r="BL472" s="515"/>
      <c r="BM472" s="515"/>
      <c r="BN472" s="515"/>
      <c r="BO472" s="515"/>
      <c r="BP472" s="515"/>
      <c r="BQ472" s="515"/>
      <c r="BR472" s="515"/>
      <c r="BS472" s="515"/>
      <c r="BT472" s="515"/>
      <c r="BU472" s="515"/>
      <c r="BV472" s="515"/>
      <c r="BW472" s="515"/>
      <c r="BX472" s="515"/>
      <c r="BY472" s="515"/>
      <c r="BZ472" s="515"/>
      <c r="CA472" s="515"/>
      <c r="CB472" s="515"/>
      <c r="CC472" s="515"/>
      <c r="CD472" s="515"/>
      <c r="CE472" s="515"/>
      <c r="CF472" s="515"/>
      <c r="CG472" s="515"/>
      <c r="CH472" s="515"/>
      <c r="CI472" s="515"/>
      <c r="CJ472" s="515"/>
      <c r="CK472" s="515"/>
      <c r="CL472" s="515"/>
      <c r="CM472" s="515"/>
      <c r="CN472" s="515"/>
      <c r="CO472" s="515"/>
      <c r="CP472" s="515"/>
      <c r="CQ472" s="515"/>
      <c r="CR472" s="515"/>
      <c r="CS472" s="515"/>
      <c r="CT472" s="515"/>
      <c r="CU472" s="515"/>
      <c r="CV472" s="515"/>
      <c r="CW472" s="515"/>
      <c r="CX472" s="515"/>
      <c r="CY472" s="515"/>
      <c r="CZ472" s="515"/>
      <c r="DA472" s="515"/>
      <c r="DB472" s="515"/>
      <c r="DC472" s="515"/>
      <c r="DD472" s="515"/>
      <c r="DE472" s="515"/>
      <c r="DF472" s="515"/>
      <c r="DG472" s="125"/>
      <c r="DH472" s="125"/>
      <c r="DI472" s="27"/>
      <c r="DJ472" s="7"/>
      <c r="DK472" s="7"/>
      <c r="DL472" s="7"/>
      <c r="DM472" s="7"/>
      <c r="DN472" s="7"/>
      <c r="DO472" s="7"/>
      <c r="DP472" s="7"/>
      <c r="DQ472" s="2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row>
    <row r="473" spans="1:155" s="565" customFormat="1">
      <c r="A473" s="51"/>
      <c r="B473" s="622" t="s">
        <v>595</v>
      </c>
      <c r="C473" s="623"/>
      <c r="D473" s="560">
        <f>D468-D470-D471-D472</f>
        <v>0</v>
      </c>
      <c r="E473" s="560">
        <f>E468</f>
        <v>0</v>
      </c>
      <c r="F473" s="51"/>
      <c r="G473" s="51"/>
      <c r="H473" s="51"/>
      <c r="I473" s="609">
        <v>0.15</v>
      </c>
      <c r="J473" s="610">
        <v>3.5</v>
      </c>
      <c r="K473" s="27"/>
      <c r="L473" s="27"/>
      <c r="M473" s="27"/>
      <c r="N473" s="14"/>
      <c r="O473" s="14" t="s">
        <v>596</v>
      </c>
      <c r="P473" s="549">
        <f>IFERROR(1-P472/Q472,0)</f>
        <v>0</v>
      </c>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3"/>
      <c r="BE473" s="514"/>
      <c r="BF473" s="514"/>
      <c r="BG473" s="514"/>
      <c r="BH473" s="125"/>
      <c r="BI473" s="515"/>
      <c r="BJ473" s="515"/>
      <c r="BK473" s="515"/>
      <c r="BL473" s="515"/>
      <c r="BM473" s="515"/>
      <c r="BN473" s="515"/>
      <c r="BO473" s="515"/>
      <c r="BP473" s="515"/>
      <c r="BQ473" s="515"/>
      <c r="BR473" s="515"/>
      <c r="BS473" s="515"/>
      <c r="BT473" s="515"/>
      <c r="BU473" s="515"/>
      <c r="BV473" s="515"/>
      <c r="BW473" s="515"/>
      <c r="BX473" s="515"/>
      <c r="BY473" s="515"/>
      <c r="BZ473" s="515"/>
      <c r="CA473" s="515"/>
      <c r="CB473" s="515"/>
      <c r="CC473" s="515"/>
      <c r="CD473" s="515"/>
      <c r="CE473" s="515"/>
      <c r="CF473" s="515"/>
      <c r="CG473" s="515"/>
      <c r="CH473" s="515"/>
      <c r="CI473" s="515"/>
      <c r="CJ473" s="515"/>
      <c r="CK473" s="515"/>
      <c r="CL473" s="515"/>
      <c r="CM473" s="515"/>
      <c r="CN473" s="515"/>
      <c r="CO473" s="515"/>
      <c r="CP473" s="515"/>
      <c r="CQ473" s="515"/>
      <c r="CR473" s="515"/>
      <c r="CS473" s="515"/>
      <c r="CT473" s="515"/>
      <c r="CU473" s="515"/>
      <c r="CV473" s="515"/>
      <c r="CW473" s="515"/>
      <c r="CX473" s="515"/>
      <c r="CY473" s="515"/>
      <c r="CZ473" s="515"/>
      <c r="DA473" s="515"/>
      <c r="DB473" s="515"/>
      <c r="DC473" s="515"/>
      <c r="DD473" s="515"/>
      <c r="DE473" s="515"/>
      <c r="DF473" s="515"/>
      <c r="DG473" s="125"/>
      <c r="DH473" s="125"/>
      <c r="DI473" s="27"/>
      <c r="DJ473" s="7"/>
      <c r="DK473" s="7"/>
      <c r="DL473" s="7"/>
      <c r="DM473" s="7"/>
      <c r="DN473" s="7"/>
      <c r="DO473" s="7"/>
      <c r="DP473" s="7"/>
      <c r="DQ473" s="2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row>
    <row r="474" spans="1:155" s="565" customFormat="1">
      <c r="A474" s="51"/>
      <c r="B474" s="180"/>
      <c r="C474" s="180"/>
      <c r="D474" s="180"/>
      <c r="E474" s="180"/>
      <c r="F474" s="51"/>
      <c r="G474" s="51"/>
      <c r="H474" s="51"/>
      <c r="I474" s="611">
        <v>0.2</v>
      </c>
      <c r="J474" s="612">
        <v>4</v>
      </c>
      <c r="K474" s="27"/>
      <c r="L474" s="27"/>
      <c r="M474" s="27"/>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3"/>
      <c r="BE474" s="514"/>
      <c r="BF474" s="514"/>
      <c r="BG474" s="514"/>
      <c r="BH474" s="125"/>
      <c r="BI474" s="515"/>
      <c r="BJ474" s="515"/>
      <c r="BK474" s="515"/>
      <c r="BL474" s="515"/>
      <c r="BM474" s="515"/>
      <c r="BN474" s="515"/>
      <c r="BO474" s="515"/>
      <c r="BP474" s="515"/>
      <c r="BQ474" s="515"/>
      <c r="BR474" s="515"/>
      <c r="BS474" s="515"/>
      <c r="BT474" s="515"/>
      <c r="BU474" s="515"/>
      <c r="BV474" s="515"/>
      <c r="BW474" s="515"/>
      <c r="BX474" s="515"/>
      <c r="BY474" s="515"/>
      <c r="BZ474" s="515"/>
      <c r="CA474" s="515"/>
      <c r="CB474" s="515"/>
      <c r="CC474" s="515"/>
      <c r="CD474" s="515"/>
      <c r="CE474" s="515"/>
      <c r="CF474" s="515"/>
      <c r="CG474" s="515"/>
      <c r="CH474" s="515"/>
      <c r="CI474" s="515"/>
      <c r="CJ474" s="515"/>
      <c r="CK474" s="515"/>
      <c r="CL474" s="515"/>
      <c r="CM474" s="515"/>
      <c r="CN474" s="515"/>
      <c r="CO474" s="515"/>
      <c r="CP474" s="515"/>
      <c r="CQ474" s="515"/>
      <c r="CR474" s="515"/>
      <c r="CS474" s="515"/>
      <c r="CT474" s="515"/>
      <c r="CU474" s="515"/>
      <c r="CV474" s="515"/>
      <c r="CW474" s="515"/>
      <c r="CX474" s="515"/>
      <c r="CY474" s="515"/>
      <c r="CZ474" s="515"/>
      <c r="DA474" s="515"/>
      <c r="DB474" s="515"/>
      <c r="DC474" s="515"/>
      <c r="DD474" s="515"/>
      <c r="DE474" s="515"/>
      <c r="DF474" s="515"/>
      <c r="DG474" s="125"/>
      <c r="DH474" s="125"/>
      <c r="DI474" s="27"/>
      <c r="DJ474" s="7"/>
      <c r="DK474" s="7"/>
      <c r="DL474" s="7"/>
      <c r="DM474" s="7"/>
      <c r="DN474" s="7"/>
      <c r="DO474" s="7"/>
      <c r="DP474" s="7"/>
      <c r="DQ474" s="2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8"/>
      <c r="EY474" s="8"/>
    </row>
    <row r="475" spans="1:155" s="565" customFormat="1" ht="15" customHeight="1">
      <c r="A475" s="51"/>
      <c r="B475" s="624" t="s">
        <v>597</v>
      </c>
      <c r="C475" s="623"/>
      <c r="D475" s="561">
        <f>IF(E473=0,0,(1-D473/E473))</f>
        <v>0</v>
      </c>
      <c r="E475" s="180"/>
      <c r="F475" s="51"/>
      <c r="G475" s="51"/>
      <c r="H475" s="51"/>
      <c r="I475" s="609">
        <v>0.25</v>
      </c>
      <c r="J475" s="610">
        <v>4.5</v>
      </c>
      <c r="K475" s="27"/>
      <c r="L475" s="27"/>
      <c r="M475" s="27"/>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3"/>
      <c r="BE475" s="514"/>
      <c r="BF475" s="514"/>
      <c r="BG475" s="514"/>
      <c r="BH475" s="125"/>
      <c r="BI475" s="515"/>
      <c r="BJ475" s="515"/>
      <c r="BK475" s="515"/>
      <c r="BL475" s="515"/>
      <c r="BM475" s="515"/>
      <c r="BN475" s="515"/>
      <c r="BO475" s="515"/>
      <c r="BP475" s="515"/>
      <c r="BQ475" s="515"/>
      <c r="BR475" s="515"/>
      <c r="BS475" s="515"/>
      <c r="BT475" s="515"/>
      <c r="BU475" s="515"/>
      <c r="BV475" s="515"/>
      <c r="BW475" s="515"/>
      <c r="BX475" s="515"/>
      <c r="BY475" s="515"/>
      <c r="BZ475" s="515"/>
      <c r="CA475" s="515"/>
      <c r="CB475" s="515"/>
      <c r="CC475" s="515"/>
      <c r="CD475" s="515"/>
      <c r="CE475" s="515"/>
      <c r="CF475" s="515"/>
      <c r="CG475" s="515"/>
      <c r="CH475" s="515"/>
      <c r="CI475" s="515"/>
      <c r="CJ475" s="515"/>
      <c r="CK475" s="515"/>
      <c r="CL475" s="515"/>
      <c r="CM475" s="515"/>
      <c r="CN475" s="515"/>
      <c r="CO475" s="515"/>
      <c r="CP475" s="515"/>
      <c r="CQ475" s="515"/>
      <c r="CR475" s="515"/>
      <c r="CS475" s="515"/>
      <c r="CT475" s="515"/>
      <c r="CU475" s="515"/>
      <c r="CV475" s="515"/>
      <c r="CW475" s="515"/>
      <c r="CX475" s="515"/>
      <c r="CY475" s="515"/>
      <c r="CZ475" s="515"/>
      <c r="DA475" s="515"/>
      <c r="DB475" s="515"/>
      <c r="DC475" s="515"/>
      <c r="DD475" s="515"/>
      <c r="DE475" s="515"/>
      <c r="DF475" s="515"/>
      <c r="DG475" s="125"/>
      <c r="DH475" s="125"/>
      <c r="DI475" s="27"/>
      <c r="DJ475" s="7"/>
      <c r="DK475" s="7"/>
      <c r="DL475" s="7"/>
      <c r="DM475" s="7"/>
      <c r="DN475" s="7"/>
      <c r="DO475" s="7"/>
      <c r="DP475" s="7"/>
      <c r="DQ475" s="2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8"/>
      <c r="EY475" s="8"/>
    </row>
    <row r="476" spans="1:155" s="565" customFormat="1" ht="15" customHeight="1">
      <c r="A476" s="51"/>
      <c r="B476" s="180"/>
      <c r="C476" s="180"/>
      <c r="D476" s="180"/>
      <c r="E476" s="180"/>
      <c r="F476" s="51"/>
      <c r="G476" s="51"/>
      <c r="H476" s="51"/>
      <c r="I476" s="611">
        <v>0.3</v>
      </c>
      <c r="J476" s="612">
        <v>5</v>
      </c>
      <c r="K476" s="27"/>
      <c r="L476" s="27"/>
      <c r="M476" s="27"/>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3"/>
      <c r="BE476" s="514"/>
      <c r="BF476" s="514"/>
      <c r="BG476" s="514"/>
      <c r="BH476" s="125"/>
      <c r="BI476" s="515"/>
      <c r="BJ476" s="515"/>
      <c r="BK476" s="515"/>
      <c r="BL476" s="515"/>
      <c r="BM476" s="515"/>
      <c r="BN476" s="515"/>
      <c r="BO476" s="515"/>
      <c r="BP476" s="515"/>
      <c r="BQ476" s="515"/>
      <c r="BR476" s="515"/>
      <c r="BS476" s="515"/>
      <c r="BT476" s="515"/>
      <c r="BU476" s="515"/>
      <c r="BV476" s="515"/>
      <c r="BW476" s="515"/>
      <c r="BX476" s="515"/>
      <c r="BY476" s="515"/>
      <c r="BZ476" s="515"/>
      <c r="CA476" s="515"/>
      <c r="CB476" s="515"/>
      <c r="CC476" s="515"/>
      <c r="CD476" s="515"/>
      <c r="CE476" s="515"/>
      <c r="CF476" s="515"/>
      <c r="CG476" s="515"/>
      <c r="CH476" s="515"/>
      <c r="CI476" s="515"/>
      <c r="CJ476" s="515"/>
      <c r="CK476" s="515"/>
      <c r="CL476" s="515"/>
      <c r="CM476" s="515"/>
      <c r="CN476" s="515"/>
      <c r="CO476" s="515"/>
      <c r="CP476" s="515"/>
      <c r="CQ476" s="515"/>
      <c r="CR476" s="515"/>
      <c r="CS476" s="515"/>
      <c r="CT476" s="515"/>
      <c r="CU476" s="515"/>
      <c r="CV476" s="515"/>
      <c r="CW476" s="515"/>
      <c r="CX476" s="515"/>
      <c r="CY476" s="515"/>
      <c r="CZ476" s="515"/>
      <c r="DA476" s="515"/>
      <c r="DB476" s="515"/>
      <c r="DC476" s="515"/>
      <c r="DD476" s="515"/>
      <c r="DE476" s="515"/>
      <c r="DF476" s="515"/>
      <c r="DG476" s="125"/>
      <c r="DH476" s="125"/>
      <c r="DI476" s="27"/>
      <c r="DJ476" s="7"/>
      <c r="DK476" s="7"/>
      <c r="DL476" s="7"/>
      <c r="DM476" s="7"/>
      <c r="DN476" s="7"/>
      <c r="DO476" s="7"/>
      <c r="DP476" s="7"/>
      <c r="DQ476" s="27"/>
      <c r="DR476" s="8"/>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8"/>
      <c r="EY476" s="8"/>
    </row>
    <row r="477" spans="1:155" s="565" customFormat="1" ht="15" customHeight="1">
      <c r="A477" s="51"/>
      <c r="B477" s="624" t="s">
        <v>598</v>
      </c>
      <c r="C477" s="623"/>
      <c r="D477" s="615">
        <f>IFERROR(VLOOKUP(D475,I468:J490,2,TRUE),0)</f>
        <v>1</v>
      </c>
      <c r="E477" s="180"/>
      <c r="F477" s="51"/>
      <c r="G477" s="51"/>
      <c r="H477" s="51"/>
      <c r="I477" s="609">
        <v>0.35</v>
      </c>
      <c r="J477" s="610">
        <v>5.5</v>
      </c>
      <c r="K477" s="27"/>
      <c r="L477" s="27"/>
      <c r="M477" s="27"/>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3"/>
      <c r="BE477" s="514"/>
      <c r="BF477" s="514"/>
      <c r="BG477" s="514"/>
      <c r="BH477" s="125"/>
      <c r="BI477" s="515"/>
      <c r="BJ477" s="515"/>
      <c r="BK477" s="515"/>
      <c r="BL477" s="515"/>
      <c r="BM477" s="515"/>
      <c r="BN477" s="515"/>
      <c r="BO477" s="515"/>
      <c r="BP477" s="515"/>
      <c r="BQ477" s="515"/>
      <c r="BR477" s="515"/>
      <c r="BS477" s="515"/>
      <c r="BT477" s="515"/>
      <c r="BU477" s="515"/>
      <c r="BV477" s="515"/>
      <c r="BW477" s="515"/>
      <c r="BX477" s="515"/>
      <c r="BY477" s="515"/>
      <c r="BZ477" s="515"/>
      <c r="CA477" s="515"/>
      <c r="CB477" s="515"/>
      <c r="CC477" s="515"/>
      <c r="CD477" s="515"/>
      <c r="CE477" s="515"/>
      <c r="CF477" s="515"/>
      <c r="CG477" s="515"/>
      <c r="CH477" s="515"/>
      <c r="CI477" s="515"/>
      <c r="CJ477" s="515"/>
      <c r="CK477" s="515"/>
      <c r="CL477" s="515"/>
      <c r="CM477" s="515"/>
      <c r="CN477" s="515"/>
      <c r="CO477" s="515"/>
      <c r="CP477" s="515"/>
      <c r="CQ477" s="515"/>
      <c r="CR477" s="515"/>
      <c r="CS477" s="515"/>
      <c r="CT477" s="515"/>
      <c r="CU477" s="515"/>
      <c r="CV477" s="515"/>
      <c r="CW477" s="515"/>
      <c r="CX477" s="515"/>
      <c r="CY477" s="515"/>
      <c r="CZ477" s="515"/>
      <c r="DA477" s="515"/>
      <c r="DB477" s="515"/>
      <c r="DC477" s="515"/>
      <c r="DD477" s="515"/>
      <c r="DE477" s="515"/>
      <c r="DF477" s="515"/>
      <c r="DG477" s="125"/>
      <c r="DH477" s="125"/>
      <c r="DI477" s="27"/>
      <c r="DJ477" s="7"/>
      <c r="DK477" s="7"/>
      <c r="DL477" s="7"/>
      <c r="DM477" s="7"/>
      <c r="DN477" s="7"/>
      <c r="DO477" s="7"/>
      <c r="DP477" s="7"/>
      <c r="DQ477" s="27"/>
      <c r="DR477" s="8"/>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8"/>
      <c r="EY477" s="8"/>
    </row>
    <row r="478" spans="1:155" s="565" customFormat="1">
      <c r="A478" s="51"/>
      <c r="B478" s="180"/>
      <c r="C478" s="180"/>
      <c r="D478" s="180"/>
      <c r="E478" s="180"/>
      <c r="F478" s="51"/>
      <c r="G478" s="51"/>
      <c r="H478" s="51"/>
      <c r="I478" s="611">
        <v>0.4</v>
      </c>
      <c r="J478" s="612">
        <v>6</v>
      </c>
      <c r="K478" s="27"/>
      <c r="L478" s="27"/>
      <c r="M478" s="27"/>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3"/>
      <c r="BE478" s="514"/>
      <c r="BF478" s="514"/>
      <c r="BG478" s="514"/>
      <c r="BH478" s="125"/>
      <c r="BI478" s="515"/>
      <c r="BJ478" s="515"/>
      <c r="BK478" s="515"/>
      <c r="BL478" s="515"/>
      <c r="BM478" s="515"/>
      <c r="BN478" s="515"/>
      <c r="BO478" s="515"/>
      <c r="BP478" s="515"/>
      <c r="BQ478" s="515"/>
      <c r="BR478" s="515"/>
      <c r="BS478" s="515"/>
      <c r="BT478" s="515"/>
      <c r="BU478" s="515"/>
      <c r="BV478" s="515"/>
      <c r="BW478" s="515"/>
      <c r="BX478" s="515"/>
      <c r="BY478" s="515"/>
      <c r="BZ478" s="515"/>
      <c r="CA478" s="515"/>
      <c r="CB478" s="515"/>
      <c r="CC478" s="515"/>
      <c r="CD478" s="515"/>
      <c r="CE478" s="515"/>
      <c r="CF478" s="515"/>
      <c r="CG478" s="515"/>
      <c r="CH478" s="515"/>
      <c r="CI478" s="515"/>
      <c r="CJ478" s="515"/>
      <c r="CK478" s="515"/>
      <c r="CL478" s="515"/>
      <c r="CM478" s="515"/>
      <c r="CN478" s="515"/>
      <c r="CO478" s="515"/>
      <c r="CP478" s="515"/>
      <c r="CQ478" s="515"/>
      <c r="CR478" s="515"/>
      <c r="CS478" s="515"/>
      <c r="CT478" s="515"/>
      <c r="CU478" s="515"/>
      <c r="CV478" s="515"/>
      <c r="CW478" s="515"/>
      <c r="CX478" s="515"/>
      <c r="CY478" s="515"/>
      <c r="CZ478" s="515"/>
      <c r="DA478" s="515"/>
      <c r="DB478" s="515"/>
      <c r="DC478" s="515"/>
      <c r="DD478" s="515"/>
      <c r="DE478" s="515"/>
      <c r="DF478" s="515"/>
      <c r="DG478" s="125"/>
      <c r="DH478" s="125"/>
      <c r="DI478" s="3"/>
      <c r="DJ478" s="7"/>
      <c r="DK478" s="7"/>
      <c r="DL478" s="7"/>
      <c r="DM478" s="7"/>
      <c r="DN478" s="7"/>
      <c r="DO478" s="7"/>
      <c r="DP478" s="8"/>
      <c r="DQ478" s="3"/>
      <c r="DR478" s="8"/>
      <c r="DS478" s="8"/>
      <c r="DT478" s="8"/>
      <c r="DU478" s="8"/>
      <c r="DV478" s="8"/>
      <c r="DW478" s="8"/>
      <c r="DX478" s="8"/>
      <c r="DY478" s="8"/>
      <c r="DZ478" s="8"/>
      <c r="EA478" s="8"/>
      <c r="EB478" s="8"/>
      <c r="EC478" s="8"/>
      <c r="ED478" s="8"/>
      <c r="EE478" s="8"/>
      <c r="EF478" s="8"/>
      <c r="EG478" s="8"/>
      <c r="EH478" s="8"/>
      <c r="EI478" s="8"/>
      <c r="EJ478" s="8"/>
      <c r="EK478" s="8"/>
      <c r="EL478" s="8"/>
      <c r="EM478" s="8"/>
      <c r="EN478" s="8"/>
      <c r="EO478" s="8"/>
      <c r="EP478" s="8"/>
      <c r="EQ478" s="8"/>
      <c r="ER478" s="8"/>
      <c r="ES478" s="8"/>
      <c r="ET478" s="8"/>
      <c r="EU478" s="8"/>
      <c r="EV478" s="8"/>
      <c r="EW478" s="8"/>
      <c r="EX478" s="8"/>
      <c r="EY478" s="8"/>
    </row>
    <row r="479" spans="1:155" s="565" customFormat="1">
      <c r="A479" s="51"/>
      <c r="B479" s="180"/>
      <c r="C479" s="180"/>
      <c r="D479" s="180"/>
      <c r="E479" s="180"/>
      <c r="F479" s="51"/>
      <c r="G479" s="51"/>
      <c r="H479" s="51"/>
      <c r="I479" s="609">
        <v>0.45</v>
      </c>
      <c r="J479" s="610">
        <v>6.5</v>
      </c>
      <c r="K479" s="27"/>
      <c r="L479" s="27"/>
      <c r="M479" s="27"/>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3"/>
      <c r="BE479" s="514"/>
      <c r="BF479" s="514"/>
      <c r="BG479" s="514"/>
      <c r="BH479" s="125"/>
      <c r="BI479" s="515"/>
      <c r="BJ479" s="515"/>
      <c r="BK479" s="515"/>
      <c r="BL479" s="515"/>
      <c r="BM479" s="515"/>
      <c r="BN479" s="515"/>
      <c r="BO479" s="515"/>
      <c r="BP479" s="515"/>
      <c r="BQ479" s="515"/>
      <c r="BR479" s="515"/>
      <c r="BS479" s="515"/>
      <c r="BT479" s="515"/>
      <c r="BU479" s="515"/>
      <c r="BV479" s="515"/>
      <c r="BW479" s="515"/>
      <c r="BX479" s="515"/>
      <c r="BY479" s="515"/>
      <c r="BZ479" s="515"/>
      <c r="CA479" s="515"/>
      <c r="CB479" s="515"/>
      <c r="CC479" s="515"/>
      <c r="CD479" s="515"/>
      <c r="CE479" s="515"/>
      <c r="CF479" s="515"/>
      <c r="CG479" s="515"/>
      <c r="CH479" s="515"/>
      <c r="CI479" s="515"/>
      <c r="CJ479" s="515"/>
      <c r="CK479" s="515"/>
      <c r="CL479" s="515"/>
      <c r="CM479" s="515"/>
      <c r="CN479" s="515"/>
      <c r="CO479" s="515"/>
      <c r="CP479" s="515"/>
      <c r="CQ479" s="515"/>
      <c r="CR479" s="515"/>
      <c r="CS479" s="515"/>
      <c r="CT479" s="515"/>
      <c r="CU479" s="515"/>
      <c r="CV479" s="515"/>
      <c r="CW479" s="515"/>
      <c r="CX479" s="515"/>
      <c r="CY479" s="515"/>
      <c r="CZ479" s="515"/>
      <c r="DA479" s="515"/>
      <c r="DB479" s="515"/>
      <c r="DC479" s="515"/>
      <c r="DD479" s="515"/>
      <c r="DE479" s="515"/>
      <c r="DF479" s="515"/>
      <c r="DG479" s="125"/>
      <c r="DH479" s="125"/>
      <c r="DI479" s="3"/>
      <c r="DJ479" s="7"/>
      <c r="DK479" s="7"/>
      <c r="DL479" s="7"/>
      <c r="DM479" s="8"/>
      <c r="DN479" s="8"/>
      <c r="DO479" s="8"/>
      <c r="DP479" s="8"/>
      <c r="DQ479" s="3"/>
      <c r="DR479" s="8"/>
      <c r="DS479" s="8"/>
      <c r="DT479" s="8"/>
      <c r="DU479" s="8"/>
      <c r="DV479" s="8"/>
      <c r="DW479" s="8"/>
      <c r="DX479" s="8"/>
      <c r="DY479" s="8"/>
      <c r="DZ479" s="8"/>
      <c r="EA479" s="8"/>
      <c r="EB479" s="8"/>
      <c r="EC479" s="8"/>
      <c r="ED479" s="8"/>
      <c r="EE479" s="8"/>
      <c r="EF479" s="8"/>
      <c r="EG479" s="8"/>
      <c r="EH479" s="8"/>
      <c r="EI479" s="8"/>
      <c r="EJ479" s="8"/>
      <c r="EK479" s="8"/>
      <c r="EL479" s="8"/>
      <c r="EM479" s="8"/>
      <c r="EN479" s="8"/>
      <c r="EO479" s="8"/>
      <c r="EP479" s="8"/>
      <c r="EQ479" s="8"/>
      <c r="ER479" s="8"/>
      <c r="ES479" s="8"/>
      <c r="ET479" s="8"/>
      <c r="EU479" s="8"/>
      <c r="EV479" s="8"/>
      <c r="EW479" s="8"/>
      <c r="EX479" s="8"/>
      <c r="EY479" s="8"/>
    </row>
    <row r="480" spans="1:155" s="565" customFormat="1">
      <c r="A480" s="51"/>
      <c r="B480" s="180"/>
      <c r="C480" s="180"/>
      <c r="D480" s="180"/>
      <c r="E480" s="180"/>
      <c r="F480" s="51"/>
      <c r="G480" s="51"/>
      <c r="H480" s="51"/>
      <c r="I480" s="611">
        <v>0.5</v>
      </c>
      <c r="J480" s="612">
        <v>7</v>
      </c>
      <c r="K480" s="27"/>
      <c r="L480" s="27"/>
      <c r="M480" s="27"/>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3"/>
      <c r="BE480" s="514"/>
      <c r="BF480" s="514"/>
      <c r="BG480" s="514"/>
      <c r="BH480" s="125"/>
      <c r="BI480" s="515"/>
      <c r="BJ480" s="515"/>
      <c r="BK480" s="515"/>
      <c r="BL480" s="515"/>
      <c r="BM480" s="515"/>
      <c r="BN480" s="515"/>
      <c r="BO480" s="515"/>
      <c r="BP480" s="515"/>
      <c r="BQ480" s="515"/>
      <c r="BR480" s="515"/>
      <c r="BS480" s="515"/>
      <c r="BT480" s="515"/>
      <c r="BU480" s="515"/>
      <c r="BV480" s="515"/>
      <c r="BW480" s="515"/>
      <c r="BX480" s="515"/>
      <c r="BY480" s="515"/>
      <c r="BZ480" s="515"/>
      <c r="CA480" s="515"/>
      <c r="CB480" s="515"/>
      <c r="CC480" s="515"/>
      <c r="CD480" s="515"/>
      <c r="CE480" s="515"/>
      <c r="CF480" s="515"/>
      <c r="CG480" s="515"/>
      <c r="CH480" s="515"/>
      <c r="CI480" s="515"/>
      <c r="CJ480" s="515"/>
      <c r="CK480" s="515"/>
      <c r="CL480" s="515"/>
      <c r="CM480" s="515"/>
      <c r="CN480" s="515"/>
      <c r="CO480" s="515"/>
      <c r="CP480" s="515"/>
      <c r="CQ480" s="515"/>
      <c r="CR480" s="515"/>
      <c r="CS480" s="515"/>
      <c r="CT480" s="515"/>
      <c r="CU480" s="515"/>
      <c r="CV480" s="515"/>
      <c r="CW480" s="515"/>
      <c r="CX480" s="515"/>
      <c r="CY480" s="515"/>
      <c r="CZ480" s="515"/>
      <c r="DA480" s="515"/>
      <c r="DB480" s="515"/>
      <c r="DC480" s="515"/>
      <c r="DD480" s="515"/>
      <c r="DE480" s="515"/>
      <c r="DF480" s="515"/>
      <c r="DG480" s="125"/>
      <c r="DH480" s="125"/>
      <c r="DI480" s="3"/>
      <c r="DJ480" s="8"/>
      <c r="DK480" s="8"/>
      <c r="DL480" s="8"/>
      <c r="DM480" s="8"/>
      <c r="DN480" s="8"/>
      <c r="DO480" s="8"/>
      <c r="DP480" s="8"/>
      <c r="DQ480" s="3"/>
      <c r="DR480" s="8"/>
      <c r="DS480" s="8"/>
      <c r="DT480" s="8"/>
      <c r="DU480" s="8"/>
      <c r="DV480" s="8"/>
      <c r="DW480" s="8"/>
      <c r="DX480" s="8"/>
      <c r="DY480" s="8"/>
      <c r="DZ480" s="8"/>
      <c r="EA480" s="8"/>
      <c r="EB480" s="8"/>
      <c r="EC480" s="8"/>
      <c r="ED480" s="8"/>
      <c r="EE480" s="8"/>
      <c r="EF480" s="8"/>
      <c r="EG480" s="8"/>
      <c r="EH480" s="8"/>
      <c r="EI480" s="8"/>
      <c r="EJ480" s="8"/>
      <c r="EK480" s="8"/>
      <c r="EL480" s="8"/>
      <c r="EM480" s="8"/>
      <c r="EN480" s="8"/>
      <c r="EO480" s="8"/>
      <c r="EP480" s="8"/>
      <c r="EQ480" s="8"/>
      <c r="ER480" s="8"/>
      <c r="ES480" s="8"/>
      <c r="ET480" s="8"/>
      <c r="EU480" s="8"/>
      <c r="EV480" s="8"/>
      <c r="EW480" s="8"/>
      <c r="EX480" s="8"/>
      <c r="EY480" s="8"/>
    </row>
    <row r="481" spans="1:155" s="565" customFormat="1">
      <c r="A481" s="51"/>
      <c r="B481" s="180"/>
      <c r="C481" s="180"/>
      <c r="D481" s="550"/>
      <c r="E481" s="180"/>
      <c r="F481" s="180"/>
      <c r="G481" s="180"/>
      <c r="H481" s="180"/>
      <c r="I481" s="609">
        <v>0.55000000000000004</v>
      </c>
      <c r="J481" s="610">
        <v>7.5</v>
      </c>
      <c r="K481" s="27"/>
      <c r="L481" s="27"/>
      <c r="M481" s="27"/>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3"/>
      <c r="BE481" s="514"/>
      <c r="BF481" s="514"/>
      <c r="BG481" s="514"/>
      <c r="BH481" s="125"/>
      <c r="BI481" s="515"/>
      <c r="BJ481" s="515"/>
      <c r="BK481" s="515"/>
      <c r="BL481" s="515"/>
      <c r="BM481" s="515"/>
      <c r="BN481" s="515"/>
      <c r="BO481" s="515"/>
      <c r="BP481" s="515"/>
      <c r="BQ481" s="515"/>
      <c r="BR481" s="515"/>
      <c r="BS481" s="515"/>
      <c r="BT481" s="515"/>
      <c r="BU481" s="515"/>
      <c r="BV481" s="515"/>
      <c r="BW481" s="515"/>
      <c r="BX481" s="515"/>
      <c r="BY481" s="515"/>
      <c r="BZ481" s="515"/>
      <c r="CA481" s="515"/>
      <c r="CB481" s="515"/>
      <c r="CC481" s="515"/>
      <c r="CD481" s="515"/>
      <c r="CE481" s="515"/>
      <c r="CF481" s="515"/>
      <c r="CG481" s="515"/>
      <c r="CH481" s="515"/>
      <c r="CI481" s="515"/>
      <c r="CJ481" s="515"/>
      <c r="CK481" s="515"/>
      <c r="CL481" s="515"/>
      <c r="CM481" s="515"/>
      <c r="CN481" s="515"/>
      <c r="CO481" s="515"/>
      <c r="CP481" s="515"/>
      <c r="CQ481" s="515"/>
      <c r="CR481" s="515"/>
      <c r="CS481" s="515"/>
      <c r="CT481" s="515"/>
      <c r="CU481" s="515"/>
      <c r="CV481" s="515"/>
      <c r="CW481" s="515"/>
      <c r="CX481" s="515"/>
      <c r="CY481" s="515"/>
      <c r="CZ481" s="515"/>
      <c r="DA481" s="515"/>
      <c r="DB481" s="515"/>
      <c r="DC481" s="515"/>
      <c r="DD481" s="515"/>
      <c r="DE481" s="515"/>
      <c r="DF481" s="515"/>
      <c r="DG481" s="125"/>
      <c r="DH481" s="125"/>
      <c r="DI481" s="3"/>
      <c r="DJ481" s="8"/>
      <c r="DK481" s="8"/>
      <c r="DL481" s="8"/>
      <c r="DM481" s="8"/>
      <c r="DN481" s="8"/>
      <c r="DO481" s="8"/>
      <c r="DP481" s="8"/>
      <c r="DQ481" s="3"/>
      <c r="DR481" s="8"/>
      <c r="DS481" s="8"/>
      <c r="DT481" s="8"/>
      <c r="DU481" s="8"/>
      <c r="DV481" s="8"/>
      <c r="DW481" s="8"/>
      <c r="DX481" s="8"/>
      <c r="DY481" s="8"/>
      <c r="DZ481" s="8"/>
      <c r="EA481" s="8"/>
      <c r="EB481" s="8"/>
      <c r="EC481" s="8"/>
      <c r="ED481" s="8"/>
      <c r="EE481" s="8"/>
      <c r="EF481" s="8"/>
      <c r="EG481" s="8"/>
      <c r="EH481" s="8"/>
      <c r="EI481" s="8"/>
      <c r="EJ481" s="8"/>
      <c r="EK481" s="8"/>
      <c r="EL481" s="8"/>
      <c r="EM481" s="8"/>
      <c r="EN481" s="8"/>
      <c r="EO481" s="8"/>
      <c r="EP481" s="8"/>
      <c r="EQ481" s="8"/>
      <c r="ER481" s="8"/>
      <c r="ES481" s="8"/>
      <c r="ET481" s="8"/>
      <c r="EU481" s="8"/>
      <c r="EV481" s="8"/>
      <c r="EW481" s="8"/>
      <c r="EX481" s="8"/>
      <c r="EY481" s="8"/>
    </row>
    <row r="482" spans="1:155" s="565" customFormat="1">
      <c r="A482" s="51"/>
      <c r="B482" s="3"/>
      <c r="C482" s="3"/>
      <c r="D482" s="3"/>
      <c r="E482" s="3"/>
      <c r="F482" s="27"/>
      <c r="G482" s="27"/>
      <c r="H482" s="27"/>
      <c r="I482" s="611">
        <v>0.6</v>
      </c>
      <c r="J482" s="612">
        <v>8</v>
      </c>
      <c r="K482" s="27"/>
      <c r="L482" s="27"/>
      <c r="M482" s="27"/>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3"/>
      <c r="BE482" s="514"/>
      <c r="BF482" s="514"/>
      <c r="BG482" s="514"/>
      <c r="BH482" s="125"/>
      <c r="BI482" s="515"/>
      <c r="BJ482" s="515"/>
      <c r="BK482" s="515"/>
      <c r="BL482" s="515"/>
      <c r="BM482" s="515"/>
      <c r="BN482" s="515"/>
      <c r="BO482" s="515"/>
      <c r="BP482" s="515"/>
      <c r="BQ482" s="515"/>
      <c r="BR482" s="515"/>
      <c r="BS482" s="515"/>
      <c r="BT482" s="515"/>
      <c r="BU482" s="515"/>
      <c r="BV482" s="515"/>
      <c r="BW482" s="515"/>
      <c r="BX482" s="515"/>
      <c r="BY482" s="515"/>
      <c r="BZ482" s="515"/>
      <c r="CA482" s="515"/>
      <c r="CB482" s="515"/>
      <c r="CC482" s="515"/>
      <c r="CD482" s="515"/>
      <c r="CE482" s="515"/>
      <c r="CF482" s="515"/>
      <c r="CG482" s="515"/>
      <c r="CH482" s="515"/>
      <c r="CI482" s="515"/>
      <c r="CJ482" s="515"/>
      <c r="CK482" s="515"/>
      <c r="CL482" s="515"/>
      <c r="CM482" s="515"/>
      <c r="CN482" s="515"/>
      <c r="CO482" s="515"/>
      <c r="CP482" s="515"/>
      <c r="CQ482" s="515"/>
      <c r="CR482" s="515"/>
      <c r="CS482" s="515"/>
      <c r="CT482" s="515"/>
      <c r="CU482" s="515"/>
      <c r="CV482" s="515"/>
      <c r="CW482" s="515"/>
      <c r="CX482" s="515"/>
      <c r="CY482" s="515"/>
      <c r="CZ482" s="515"/>
      <c r="DA482" s="515"/>
      <c r="DB482" s="515"/>
      <c r="DC482" s="515"/>
      <c r="DD482" s="515"/>
      <c r="DE482" s="515"/>
      <c r="DF482" s="515"/>
      <c r="DG482" s="125"/>
      <c r="DH482" s="125"/>
      <c r="DI482" s="3"/>
      <c r="DJ482" s="8"/>
      <c r="DK482" s="8"/>
      <c r="DL482" s="8"/>
      <c r="DM482" s="8"/>
      <c r="DN482" s="8"/>
      <c r="DO482" s="8"/>
      <c r="DP482" s="8"/>
      <c r="DQ482" s="3"/>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row>
    <row r="483" spans="1:155" s="565" customFormat="1">
      <c r="A483" s="51"/>
      <c r="B483" s="3"/>
      <c r="C483" s="3"/>
      <c r="D483" s="3"/>
      <c r="E483" s="3"/>
      <c r="F483" s="27"/>
      <c r="G483" s="27"/>
      <c r="H483" s="27"/>
      <c r="I483" s="609">
        <v>0.65</v>
      </c>
      <c r="J483" s="610">
        <v>8.5</v>
      </c>
      <c r="K483" s="27"/>
      <c r="L483" s="27"/>
      <c r="M483" s="27"/>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3"/>
      <c r="BE483" s="514"/>
      <c r="BF483" s="514"/>
      <c r="BG483" s="514"/>
      <c r="BH483" s="125"/>
      <c r="BI483" s="515"/>
      <c r="BJ483" s="515"/>
      <c r="BK483" s="515"/>
      <c r="BL483" s="515"/>
      <c r="BM483" s="515"/>
      <c r="BN483" s="515"/>
      <c r="BO483" s="515"/>
      <c r="BP483" s="515"/>
      <c r="BQ483" s="515"/>
      <c r="BR483" s="515"/>
      <c r="BS483" s="515"/>
      <c r="BT483" s="515"/>
      <c r="BU483" s="515"/>
      <c r="BV483" s="515"/>
      <c r="BW483" s="515"/>
      <c r="BX483" s="515"/>
      <c r="BY483" s="515"/>
      <c r="BZ483" s="515"/>
      <c r="CA483" s="515"/>
      <c r="CB483" s="515"/>
      <c r="CC483" s="515"/>
      <c r="CD483" s="515"/>
      <c r="CE483" s="515"/>
      <c r="CF483" s="515"/>
      <c r="CG483" s="515"/>
      <c r="CH483" s="515"/>
      <c r="CI483" s="515"/>
      <c r="CJ483" s="515"/>
      <c r="CK483" s="515"/>
      <c r="CL483" s="515"/>
      <c r="CM483" s="515"/>
      <c r="CN483" s="515"/>
      <c r="CO483" s="515"/>
      <c r="CP483" s="515"/>
      <c r="CQ483" s="515"/>
      <c r="CR483" s="515"/>
      <c r="CS483" s="515"/>
      <c r="CT483" s="515"/>
      <c r="CU483" s="515"/>
      <c r="CV483" s="515"/>
      <c r="CW483" s="515"/>
      <c r="CX483" s="515"/>
      <c r="CY483" s="515"/>
      <c r="CZ483" s="515"/>
      <c r="DA483" s="515"/>
      <c r="DB483" s="515"/>
      <c r="DC483" s="515"/>
      <c r="DD483" s="515"/>
      <c r="DE483" s="515"/>
      <c r="DF483" s="515"/>
      <c r="DG483" s="125"/>
      <c r="DH483" s="125"/>
      <c r="DI483" s="3"/>
      <c r="DJ483" s="8"/>
      <c r="DK483" s="8"/>
      <c r="DL483" s="8"/>
      <c r="DM483" s="8"/>
      <c r="DN483" s="8"/>
      <c r="DO483" s="8"/>
      <c r="DP483" s="8"/>
      <c r="DQ483" s="3"/>
      <c r="DR483" s="8"/>
      <c r="DS483" s="8"/>
      <c r="DT483" s="8"/>
      <c r="DU483" s="8"/>
      <c r="DV483" s="8"/>
      <c r="DW483" s="8"/>
      <c r="DX483" s="8"/>
      <c r="DY483" s="8"/>
      <c r="DZ483" s="8"/>
      <c r="EA483" s="8"/>
      <c r="EB483" s="8"/>
      <c r="EC483" s="8"/>
      <c r="ED483" s="8"/>
      <c r="EE483" s="8"/>
      <c r="EF483" s="8"/>
      <c r="EG483" s="8"/>
      <c r="EH483" s="8"/>
      <c r="EI483" s="8"/>
      <c r="EJ483" s="8"/>
      <c r="EK483" s="8"/>
      <c r="EL483" s="8"/>
      <c r="EM483" s="8"/>
      <c r="EN483" s="8"/>
      <c r="EO483" s="8"/>
      <c r="EP483" s="8"/>
      <c r="EQ483" s="8"/>
      <c r="ER483" s="8"/>
      <c r="ES483" s="8"/>
      <c r="ET483" s="8"/>
      <c r="EU483" s="8"/>
      <c r="EV483" s="8"/>
      <c r="EW483" s="8"/>
      <c r="EX483" s="8"/>
      <c r="EY483" s="8"/>
    </row>
    <row r="484" spans="1:155" s="565" customFormat="1">
      <c r="A484" s="51"/>
      <c r="B484" s="3"/>
      <c r="C484" s="3"/>
      <c r="D484" s="3"/>
      <c r="E484" s="3"/>
      <c r="F484" s="27"/>
      <c r="G484" s="27"/>
      <c r="H484" s="27"/>
      <c r="I484" s="611">
        <v>0.7</v>
      </c>
      <c r="J484" s="612">
        <v>9</v>
      </c>
      <c r="K484" s="27"/>
      <c r="L484" s="27"/>
      <c r="M484" s="27"/>
      <c r="N484" s="14"/>
      <c r="O484" s="551"/>
      <c r="P484" s="551"/>
      <c r="Q484" s="551"/>
      <c r="R484" s="551"/>
      <c r="S484" s="551"/>
      <c r="T484" s="551"/>
      <c r="U484" s="551"/>
      <c r="V484" s="551"/>
      <c r="W484" s="551"/>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3"/>
      <c r="BE484" s="514"/>
      <c r="BF484" s="514"/>
      <c r="BG484" s="514"/>
      <c r="BH484" s="125"/>
      <c r="BI484" s="515"/>
      <c r="BJ484" s="515"/>
      <c r="BK484" s="515"/>
      <c r="BL484" s="515"/>
      <c r="BM484" s="515"/>
      <c r="BN484" s="515"/>
      <c r="BO484" s="515"/>
      <c r="BP484" s="515"/>
      <c r="BQ484" s="515"/>
      <c r="BR484" s="515"/>
      <c r="BS484" s="515"/>
      <c r="BT484" s="515"/>
      <c r="BU484" s="515"/>
      <c r="BV484" s="515"/>
      <c r="BW484" s="515"/>
      <c r="BX484" s="515"/>
      <c r="BY484" s="515"/>
      <c r="BZ484" s="515"/>
      <c r="CA484" s="515"/>
      <c r="CB484" s="515"/>
      <c r="CC484" s="515"/>
      <c r="CD484" s="515"/>
      <c r="CE484" s="515"/>
      <c r="CF484" s="515"/>
      <c r="CG484" s="515"/>
      <c r="CH484" s="515"/>
      <c r="CI484" s="515"/>
      <c r="CJ484" s="515"/>
      <c r="CK484" s="515"/>
      <c r="CL484" s="515"/>
      <c r="CM484" s="515"/>
      <c r="CN484" s="515"/>
      <c r="CO484" s="515"/>
      <c r="CP484" s="515"/>
      <c r="CQ484" s="515"/>
      <c r="CR484" s="515"/>
      <c r="CS484" s="515"/>
      <c r="CT484" s="515"/>
      <c r="CU484" s="515"/>
      <c r="CV484" s="515"/>
      <c r="CW484" s="515"/>
      <c r="CX484" s="515"/>
      <c r="CY484" s="515"/>
      <c r="CZ484" s="515"/>
      <c r="DA484" s="515"/>
      <c r="DB484" s="515"/>
      <c r="DC484" s="515"/>
      <c r="DD484" s="515"/>
      <c r="DE484" s="515"/>
      <c r="DF484" s="515"/>
      <c r="DG484" s="125"/>
      <c r="DH484" s="125"/>
      <c r="DI484" s="3"/>
      <c r="DJ484" s="8"/>
      <c r="DK484" s="8"/>
      <c r="DL484" s="8"/>
      <c r="DM484" s="8"/>
      <c r="DN484" s="8"/>
      <c r="DO484" s="8"/>
      <c r="DP484" s="8"/>
      <c r="DQ484" s="3"/>
      <c r="DR484" s="8"/>
      <c r="DS484" s="8"/>
      <c r="DT484" s="8"/>
      <c r="DU484" s="8"/>
      <c r="DV484" s="8"/>
      <c r="DW484" s="8"/>
      <c r="DX484" s="8"/>
      <c r="DY484" s="8"/>
      <c r="DZ484" s="8"/>
      <c r="EA484" s="8"/>
      <c r="EB484" s="8"/>
      <c r="EC484" s="8"/>
      <c r="ED484" s="8"/>
      <c r="EE484" s="8"/>
      <c r="EF484" s="8"/>
      <c r="EG484" s="8"/>
      <c r="EH484" s="8"/>
      <c r="EI484" s="8"/>
      <c r="EJ484" s="8"/>
      <c r="EK484" s="8"/>
      <c r="EL484" s="8"/>
      <c r="EM484" s="8"/>
      <c r="EN484" s="8"/>
      <c r="EO484" s="8"/>
      <c r="EP484" s="8"/>
      <c r="EQ484" s="8"/>
      <c r="ER484" s="8"/>
      <c r="ES484" s="8"/>
      <c r="ET484" s="8"/>
      <c r="EU484" s="8"/>
      <c r="EV484" s="8"/>
      <c r="EW484" s="8"/>
      <c r="EX484" s="8"/>
      <c r="EY484" s="8"/>
    </row>
    <row r="485" spans="1:155" s="565" customFormat="1">
      <c r="A485" s="51"/>
      <c r="B485" s="3"/>
      <c r="C485" s="3"/>
      <c r="D485" s="3"/>
      <c r="E485" s="3"/>
      <c r="F485" s="27"/>
      <c r="G485" s="27"/>
      <c r="H485" s="27"/>
      <c r="I485" s="609">
        <v>0.75</v>
      </c>
      <c r="J485" s="610">
        <v>9.5</v>
      </c>
      <c r="K485" s="27"/>
      <c r="L485" s="27"/>
      <c r="M485" s="27"/>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3"/>
      <c r="BE485" s="514"/>
      <c r="BF485" s="514"/>
      <c r="BG485" s="514"/>
      <c r="BH485" s="125"/>
      <c r="BI485" s="515"/>
      <c r="BJ485" s="515"/>
      <c r="BK485" s="515"/>
      <c r="BL485" s="515"/>
      <c r="BM485" s="515"/>
      <c r="BN485" s="515"/>
      <c r="BO485" s="515"/>
      <c r="BP485" s="515"/>
      <c r="BQ485" s="515"/>
      <c r="BR485" s="515"/>
      <c r="BS485" s="515"/>
      <c r="BT485" s="515"/>
      <c r="BU485" s="515"/>
      <c r="BV485" s="515"/>
      <c r="BW485" s="515"/>
      <c r="BX485" s="515"/>
      <c r="BY485" s="515"/>
      <c r="BZ485" s="515"/>
      <c r="CA485" s="515"/>
      <c r="CB485" s="515"/>
      <c r="CC485" s="515"/>
      <c r="CD485" s="515"/>
      <c r="CE485" s="515"/>
      <c r="CF485" s="515"/>
      <c r="CG485" s="515"/>
      <c r="CH485" s="515"/>
      <c r="CI485" s="515"/>
      <c r="CJ485" s="515"/>
      <c r="CK485" s="515"/>
      <c r="CL485" s="515"/>
      <c r="CM485" s="515"/>
      <c r="CN485" s="515"/>
      <c r="CO485" s="515"/>
      <c r="CP485" s="515"/>
      <c r="CQ485" s="515"/>
      <c r="CR485" s="515"/>
      <c r="CS485" s="515"/>
      <c r="CT485" s="515"/>
      <c r="CU485" s="515"/>
      <c r="CV485" s="515"/>
      <c r="CW485" s="515"/>
      <c r="CX485" s="515"/>
      <c r="CY485" s="515"/>
      <c r="CZ485" s="515"/>
      <c r="DA485" s="515"/>
      <c r="DB485" s="515"/>
      <c r="DC485" s="515"/>
      <c r="DD485" s="515"/>
      <c r="DE485" s="515"/>
      <c r="DF485" s="515"/>
      <c r="DG485" s="125"/>
      <c r="DH485" s="125"/>
      <c r="DI485" s="3"/>
      <c r="DJ485" s="8"/>
      <c r="DK485" s="8"/>
      <c r="DL485" s="8"/>
      <c r="DM485" s="8"/>
      <c r="DN485" s="8"/>
      <c r="DO485" s="8"/>
      <c r="DP485" s="8"/>
      <c r="DQ485" s="3"/>
      <c r="DR485" s="8"/>
      <c r="DS485" s="8"/>
      <c r="DT485" s="8"/>
      <c r="DU485" s="8"/>
      <c r="DV485" s="8"/>
      <c r="DW485" s="8"/>
      <c r="DX485" s="8"/>
      <c r="DY485" s="8"/>
      <c r="DZ485" s="8"/>
      <c r="EA485" s="8"/>
      <c r="EB485" s="8"/>
      <c r="EC485" s="8"/>
      <c r="ED485" s="8"/>
      <c r="EE485" s="8"/>
      <c r="EF485" s="8"/>
      <c r="EG485" s="8"/>
      <c r="EH485" s="8"/>
      <c r="EI485" s="8"/>
      <c r="EJ485" s="8"/>
      <c r="EK485" s="8"/>
      <c r="EL485" s="8"/>
      <c r="EM485" s="8"/>
      <c r="EN485" s="8"/>
      <c r="EO485" s="8"/>
      <c r="EP485" s="8"/>
      <c r="EQ485" s="8"/>
      <c r="ER485" s="8"/>
      <c r="ES485" s="8"/>
      <c r="ET485" s="8"/>
      <c r="EU485" s="8"/>
      <c r="EV485" s="8"/>
      <c r="EW485" s="8"/>
      <c r="EX485" s="8"/>
      <c r="EY485" s="8"/>
    </row>
    <row r="486" spans="1:155" s="565" customFormat="1">
      <c r="A486" s="51"/>
      <c r="B486" s="3"/>
      <c r="C486" s="3"/>
      <c r="D486" s="3"/>
      <c r="E486" s="3"/>
      <c r="F486" s="27"/>
      <c r="G486" s="27"/>
      <c r="H486" s="27"/>
      <c r="I486" s="611">
        <v>0.8</v>
      </c>
      <c r="J486" s="612">
        <v>10</v>
      </c>
      <c r="K486" s="27"/>
      <c r="L486" s="27"/>
      <c r="M486" s="27"/>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3"/>
      <c r="BE486" s="514"/>
      <c r="BF486" s="514"/>
      <c r="BG486" s="514"/>
      <c r="BH486" s="125"/>
      <c r="BI486" s="515"/>
      <c r="BJ486" s="515"/>
      <c r="BK486" s="515"/>
      <c r="BL486" s="515"/>
      <c r="BM486" s="515"/>
      <c r="BN486" s="515"/>
      <c r="BO486" s="515"/>
      <c r="BP486" s="515"/>
      <c r="BQ486" s="515"/>
      <c r="BR486" s="515"/>
      <c r="BS486" s="515"/>
      <c r="BT486" s="515"/>
      <c r="BU486" s="515"/>
      <c r="BV486" s="515"/>
      <c r="BW486" s="515"/>
      <c r="BX486" s="515"/>
      <c r="BY486" s="515"/>
      <c r="BZ486" s="515"/>
      <c r="CA486" s="515"/>
      <c r="CB486" s="515"/>
      <c r="CC486" s="515"/>
      <c r="CD486" s="515"/>
      <c r="CE486" s="515"/>
      <c r="CF486" s="515"/>
      <c r="CG486" s="515"/>
      <c r="CH486" s="515"/>
      <c r="CI486" s="515"/>
      <c r="CJ486" s="515"/>
      <c r="CK486" s="515"/>
      <c r="CL486" s="515"/>
      <c r="CM486" s="515"/>
      <c r="CN486" s="515"/>
      <c r="CO486" s="515"/>
      <c r="CP486" s="515"/>
      <c r="CQ486" s="515"/>
      <c r="CR486" s="515"/>
      <c r="CS486" s="515"/>
      <c r="CT486" s="515"/>
      <c r="CU486" s="515"/>
      <c r="CV486" s="515"/>
      <c r="CW486" s="515"/>
      <c r="CX486" s="515"/>
      <c r="CY486" s="515"/>
      <c r="CZ486" s="515"/>
      <c r="DA486" s="515"/>
      <c r="DB486" s="515"/>
      <c r="DC486" s="515"/>
      <c r="DD486" s="515"/>
      <c r="DE486" s="515"/>
      <c r="DF486" s="515"/>
      <c r="DG486" s="125"/>
      <c r="DH486" s="125"/>
      <c r="DI486" s="3"/>
      <c r="DJ486" s="8"/>
      <c r="DK486" s="8"/>
      <c r="DL486" s="8"/>
      <c r="DM486" s="8"/>
      <c r="DN486" s="8"/>
      <c r="DO486" s="8"/>
      <c r="DP486" s="8"/>
      <c r="DQ486" s="3"/>
      <c r="DR486" s="8"/>
      <c r="DS486" s="8"/>
      <c r="DT486" s="8"/>
      <c r="DU486" s="8"/>
      <c r="DV486" s="8"/>
      <c r="DW486" s="8"/>
      <c r="DX486" s="8"/>
      <c r="DY486" s="8"/>
      <c r="DZ486" s="8"/>
      <c r="EA486" s="8"/>
      <c r="EB486" s="8"/>
      <c r="EC486" s="8"/>
      <c r="ED486" s="8"/>
      <c r="EE486" s="8"/>
      <c r="EF486" s="8"/>
      <c r="EG486" s="8"/>
      <c r="EH486" s="8"/>
      <c r="EI486" s="8"/>
      <c r="EJ486" s="8"/>
      <c r="EK486" s="8"/>
      <c r="EL486" s="8"/>
      <c r="EM486" s="8"/>
      <c r="EN486" s="8"/>
      <c r="EO486" s="8"/>
      <c r="EP486" s="8"/>
      <c r="EQ486" s="8"/>
      <c r="ER486" s="8"/>
      <c r="ES486" s="8"/>
      <c r="ET486" s="8"/>
      <c r="EU486" s="8"/>
      <c r="EV486" s="8"/>
      <c r="EW486" s="8"/>
      <c r="EX486" s="8"/>
      <c r="EY486" s="8"/>
    </row>
    <row r="487" spans="1:155" s="565" customFormat="1">
      <c r="A487" s="51"/>
      <c r="B487" s="3"/>
      <c r="C487" s="3"/>
      <c r="D487" s="3"/>
      <c r="E487" s="3"/>
      <c r="F487" s="27"/>
      <c r="G487" s="27"/>
      <c r="H487" s="27"/>
      <c r="I487" s="609">
        <v>0.85</v>
      </c>
      <c r="J487" s="610">
        <v>10.5</v>
      </c>
      <c r="K487" s="27"/>
      <c r="L487" s="27"/>
      <c r="M487" s="27"/>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3"/>
      <c r="BE487" s="514"/>
      <c r="BF487" s="514"/>
      <c r="BG487" s="514"/>
      <c r="BH487" s="125"/>
      <c r="BI487" s="515"/>
      <c r="BJ487" s="515"/>
      <c r="BK487" s="515"/>
      <c r="BL487" s="515"/>
      <c r="BM487" s="515"/>
      <c r="BN487" s="515"/>
      <c r="BO487" s="515"/>
      <c r="BP487" s="515"/>
      <c r="BQ487" s="515"/>
      <c r="BR487" s="515"/>
      <c r="BS487" s="515"/>
      <c r="BT487" s="515"/>
      <c r="BU487" s="515"/>
      <c r="BV487" s="515"/>
      <c r="BW487" s="515"/>
      <c r="BX487" s="515"/>
      <c r="BY487" s="515"/>
      <c r="BZ487" s="515"/>
      <c r="CA487" s="515"/>
      <c r="CB487" s="515"/>
      <c r="CC487" s="515"/>
      <c r="CD487" s="515"/>
      <c r="CE487" s="515"/>
      <c r="CF487" s="515"/>
      <c r="CG487" s="515"/>
      <c r="CH487" s="515"/>
      <c r="CI487" s="515"/>
      <c r="CJ487" s="515"/>
      <c r="CK487" s="515"/>
      <c r="CL487" s="515"/>
      <c r="CM487" s="515"/>
      <c r="CN487" s="515"/>
      <c r="CO487" s="515"/>
      <c r="CP487" s="515"/>
      <c r="CQ487" s="515"/>
      <c r="CR487" s="515"/>
      <c r="CS487" s="515"/>
      <c r="CT487" s="515"/>
      <c r="CU487" s="515"/>
      <c r="CV487" s="515"/>
      <c r="CW487" s="515"/>
      <c r="CX487" s="515"/>
      <c r="CY487" s="515"/>
      <c r="CZ487" s="515"/>
      <c r="DA487" s="515"/>
      <c r="DB487" s="515"/>
      <c r="DC487" s="515"/>
      <c r="DD487" s="515"/>
      <c r="DE487" s="515"/>
      <c r="DF487" s="515"/>
      <c r="DG487" s="125"/>
      <c r="DH487" s="125"/>
      <c r="DI487" s="3"/>
      <c r="DJ487" s="8"/>
      <c r="DK487" s="8"/>
      <c r="DL487" s="8"/>
      <c r="DM487" s="8"/>
      <c r="DN487" s="8"/>
      <c r="DO487" s="8"/>
      <c r="DP487" s="8"/>
      <c r="DQ487" s="3"/>
      <c r="DR487" s="8"/>
      <c r="DS487" s="8"/>
      <c r="DT487" s="8"/>
      <c r="DU487" s="8"/>
      <c r="DV487" s="8"/>
      <c r="DW487" s="8"/>
      <c r="DX487" s="8"/>
      <c r="DY487" s="8"/>
      <c r="DZ487" s="8"/>
      <c r="EA487" s="8"/>
      <c r="EB487" s="8"/>
      <c r="EC487" s="8"/>
      <c r="ED487" s="8"/>
      <c r="EE487" s="8"/>
      <c r="EF487" s="8"/>
      <c r="EG487" s="8"/>
      <c r="EH487" s="8"/>
      <c r="EI487" s="8"/>
      <c r="EJ487" s="8"/>
      <c r="EK487" s="8"/>
      <c r="EL487" s="8"/>
      <c r="EM487" s="8"/>
      <c r="EN487" s="8"/>
      <c r="EO487" s="8"/>
      <c r="EP487" s="8"/>
      <c r="EQ487" s="8"/>
      <c r="ER487" s="8"/>
      <c r="ES487" s="8"/>
      <c r="ET487" s="8"/>
      <c r="EU487" s="8"/>
      <c r="EV487" s="8"/>
      <c r="EW487" s="8"/>
      <c r="EX487" s="8"/>
      <c r="EY487" s="8"/>
    </row>
    <row r="488" spans="1:155" s="565" customFormat="1">
      <c r="A488" s="51"/>
      <c r="B488" s="3"/>
      <c r="C488" s="3"/>
      <c r="D488" s="3"/>
      <c r="E488" s="3"/>
      <c r="F488" s="27"/>
      <c r="G488" s="27"/>
      <c r="H488" s="27"/>
      <c r="I488" s="611">
        <v>0.9</v>
      </c>
      <c r="J488" s="612">
        <v>11</v>
      </c>
      <c r="K488" s="27"/>
      <c r="L488" s="27"/>
      <c r="M488" s="27"/>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3"/>
      <c r="BE488" s="514"/>
      <c r="BF488" s="514"/>
      <c r="BG488" s="514"/>
      <c r="BH488" s="125"/>
      <c r="BI488" s="515"/>
      <c r="BJ488" s="515"/>
      <c r="BK488" s="515"/>
      <c r="BL488" s="515"/>
      <c r="BM488" s="515"/>
      <c r="BN488" s="515"/>
      <c r="BO488" s="515"/>
      <c r="BP488" s="515"/>
      <c r="BQ488" s="515"/>
      <c r="BR488" s="515"/>
      <c r="BS488" s="515"/>
      <c r="BT488" s="515"/>
      <c r="BU488" s="515"/>
      <c r="BV488" s="515"/>
      <c r="BW488" s="515"/>
      <c r="BX488" s="515"/>
      <c r="BY488" s="515"/>
      <c r="BZ488" s="515"/>
      <c r="CA488" s="515"/>
      <c r="CB488" s="515"/>
      <c r="CC488" s="515"/>
      <c r="CD488" s="515"/>
      <c r="CE488" s="515"/>
      <c r="CF488" s="515"/>
      <c r="CG488" s="515"/>
      <c r="CH488" s="515"/>
      <c r="CI488" s="515"/>
      <c r="CJ488" s="515"/>
      <c r="CK488" s="515"/>
      <c r="CL488" s="515"/>
      <c r="CM488" s="515"/>
      <c r="CN488" s="515"/>
      <c r="CO488" s="515"/>
      <c r="CP488" s="515"/>
      <c r="CQ488" s="515"/>
      <c r="CR488" s="515"/>
      <c r="CS488" s="515"/>
      <c r="CT488" s="515"/>
      <c r="CU488" s="515"/>
      <c r="CV488" s="515"/>
      <c r="CW488" s="515"/>
      <c r="CX488" s="515"/>
      <c r="CY488" s="515"/>
      <c r="CZ488" s="515"/>
      <c r="DA488" s="515"/>
      <c r="DB488" s="515"/>
      <c r="DC488" s="515"/>
      <c r="DD488" s="515"/>
      <c r="DE488" s="515"/>
      <c r="DF488" s="515"/>
      <c r="DG488" s="125"/>
      <c r="DH488" s="125"/>
      <c r="DI488" s="3"/>
      <c r="DJ488" s="8"/>
      <c r="DK488" s="8"/>
      <c r="DL488" s="8"/>
      <c r="DM488" s="8"/>
      <c r="DN488" s="8"/>
      <c r="DO488" s="8"/>
      <c r="DP488" s="8"/>
      <c r="DQ488" s="3"/>
      <c r="DR488" s="8"/>
      <c r="DS488" s="8"/>
      <c r="DT488" s="8"/>
      <c r="DU488" s="8"/>
      <c r="DV488" s="8"/>
      <c r="DW488" s="8"/>
      <c r="DX488" s="8"/>
      <c r="DY488" s="8"/>
      <c r="DZ488" s="8"/>
      <c r="EA488" s="8"/>
      <c r="EB488" s="8"/>
      <c r="EC488" s="8"/>
      <c r="ED488" s="8"/>
      <c r="EE488" s="8"/>
      <c r="EF488" s="8"/>
      <c r="EG488" s="8"/>
      <c r="EH488" s="8"/>
      <c r="EI488" s="8"/>
      <c r="EJ488" s="8"/>
      <c r="EK488" s="8"/>
      <c r="EL488" s="8"/>
      <c r="EM488" s="8"/>
      <c r="EN488" s="8"/>
      <c r="EO488" s="8"/>
      <c r="EP488" s="8"/>
      <c r="EQ488" s="8"/>
      <c r="ER488" s="8"/>
      <c r="ES488" s="8"/>
      <c r="ET488" s="8"/>
      <c r="EU488" s="8"/>
      <c r="EV488" s="8"/>
      <c r="EW488" s="8"/>
      <c r="EX488" s="8"/>
      <c r="EY488" s="8"/>
    </row>
    <row r="489" spans="1:155" s="565" customFormat="1">
      <c r="A489" s="51"/>
      <c r="B489" s="3"/>
      <c r="C489" s="3"/>
      <c r="D489" s="3"/>
      <c r="E489" s="3"/>
      <c r="F489" s="3"/>
      <c r="G489" s="3"/>
      <c r="H489" s="3"/>
      <c r="I489" s="609">
        <v>0.95</v>
      </c>
      <c r="J489" s="610">
        <v>11.5</v>
      </c>
      <c r="K489" s="27"/>
      <c r="L489" s="3"/>
      <c r="M489" s="3"/>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3"/>
      <c r="BE489" s="514"/>
      <c r="BF489" s="514"/>
      <c r="BG489" s="514"/>
      <c r="BH489" s="125"/>
      <c r="BI489" s="515"/>
      <c r="BJ489" s="515"/>
      <c r="BK489" s="515"/>
      <c r="BL489" s="515"/>
      <c r="BM489" s="515"/>
      <c r="BN489" s="515"/>
      <c r="BO489" s="515"/>
      <c r="BP489" s="515"/>
      <c r="BQ489" s="515"/>
      <c r="BR489" s="515"/>
      <c r="BS489" s="515"/>
      <c r="BT489" s="515"/>
      <c r="BU489" s="515"/>
      <c r="BV489" s="515"/>
      <c r="BW489" s="515"/>
      <c r="BX489" s="515"/>
      <c r="BY489" s="515"/>
      <c r="BZ489" s="515"/>
      <c r="CA489" s="515"/>
      <c r="CB489" s="515"/>
      <c r="CC489" s="515"/>
      <c r="CD489" s="515"/>
      <c r="CE489" s="515"/>
      <c r="CF489" s="515"/>
      <c r="CG489" s="515"/>
      <c r="CH489" s="515"/>
      <c r="CI489" s="515"/>
      <c r="CJ489" s="515"/>
      <c r="CK489" s="515"/>
      <c r="CL489" s="515"/>
      <c r="CM489" s="515"/>
      <c r="CN489" s="515"/>
      <c r="CO489" s="515"/>
      <c r="CP489" s="515"/>
      <c r="CQ489" s="515"/>
      <c r="CR489" s="515"/>
      <c r="CS489" s="515"/>
      <c r="CT489" s="515"/>
      <c r="CU489" s="515"/>
      <c r="CV489" s="515"/>
      <c r="CW489" s="515"/>
      <c r="CX489" s="515"/>
      <c r="CY489" s="515"/>
      <c r="CZ489" s="515"/>
      <c r="DA489" s="515"/>
      <c r="DB489" s="515"/>
      <c r="DC489" s="515"/>
      <c r="DD489" s="515"/>
      <c r="DE489" s="515"/>
      <c r="DF489" s="515"/>
      <c r="DG489" s="125"/>
      <c r="DH489" s="125"/>
      <c r="DI489" s="3"/>
      <c r="DJ489" s="8"/>
      <c r="DK489" s="8"/>
      <c r="DL489" s="8"/>
      <c r="DM489" s="8"/>
      <c r="DN489" s="8"/>
      <c r="DO489" s="8"/>
      <c r="DP489" s="8"/>
      <c r="DQ489" s="3"/>
      <c r="DR489" s="8"/>
      <c r="DS489" s="8"/>
      <c r="DT489" s="8"/>
      <c r="DU489" s="8"/>
      <c r="DV489" s="8"/>
      <c r="DW489" s="8"/>
      <c r="DX489" s="8"/>
      <c r="DY489" s="8"/>
      <c r="DZ489" s="8"/>
      <c r="EA489" s="8"/>
      <c r="EB489" s="8"/>
      <c r="EC489" s="8"/>
      <c r="ED489" s="8"/>
      <c r="EE489" s="8"/>
      <c r="EF489" s="8"/>
      <c r="EG489" s="8"/>
      <c r="EH489" s="8"/>
      <c r="EI489" s="8"/>
      <c r="EJ489" s="8"/>
      <c r="EK489" s="8"/>
      <c r="EL489" s="8"/>
      <c r="EM489" s="8"/>
      <c r="EN489" s="8"/>
      <c r="EO489" s="8"/>
      <c r="EP489" s="8"/>
      <c r="EQ489" s="8"/>
      <c r="ER489" s="8"/>
      <c r="ES489" s="8"/>
      <c r="ET489" s="8"/>
      <c r="EU489" s="8"/>
      <c r="EV489" s="8"/>
      <c r="EW489" s="8"/>
      <c r="EX489" s="8"/>
      <c r="EY489" s="8"/>
    </row>
    <row r="490" spans="1:155" s="565" customFormat="1" ht="15.75" thickBot="1">
      <c r="A490" s="51"/>
      <c r="B490" s="3"/>
      <c r="C490" s="3"/>
      <c r="D490" s="3"/>
      <c r="E490" s="3"/>
      <c r="F490" s="3"/>
      <c r="G490" s="3"/>
      <c r="H490" s="3"/>
      <c r="I490" s="613">
        <v>1</v>
      </c>
      <c r="J490" s="614">
        <v>12</v>
      </c>
      <c r="K490" s="27"/>
      <c r="L490" s="3"/>
      <c r="M490" s="3"/>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3"/>
      <c r="BE490" s="514"/>
      <c r="BF490" s="514"/>
      <c r="BG490" s="514"/>
      <c r="BH490" s="125"/>
      <c r="BI490" s="515"/>
      <c r="BJ490" s="515"/>
      <c r="BK490" s="515"/>
      <c r="BL490" s="515"/>
      <c r="BM490" s="515"/>
      <c r="BN490" s="515"/>
      <c r="BO490" s="515"/>
      <c r="BP490" s="515"/>
      <c r="BQ490" s="515"/>
      <c r="BR490" s="515"/>
      <c r="BS490" s="515"/>
      <c r="BT490" s="515"/>
      <c r="BU490" s="515"/>
      <c r="BV490" s="515"/>
      <c r="BW490" s="515"/>
      <c r="BX490" s="515"/>
      <c r="BY490" s="515"/>
      <c r="BZ490" s="515"/>
      <c r="CA490" s="515"/>
      <c r="CB490" s="515"/>
      <c r="CC490" s="515"/>
      <c r="CD490" s="515"/>
      <c r="CE490" s="515"/>
      <c r="CF490" s="515"/>
      <c r="CG490" s="515"/>
      <c r="CH490" s="515"/>
      <c r="CI490" s="515"/>
      <c r="CJ490" s="515"/>
      <c r="CK490" s="515"/>
      <c r="CL490" s="515"/>
      <c r="CM490" s="515"/>
      <c r="CN490" s="515"/>
      <c r="CO490" s="515"/>
      <c r="CP490" s="515"/>
      <c r="CQ490" s="515"/>
      <c r="CR490" s="515"/>
      <c r="CS490" s="515"/>
      <c r="CT490" s="515"/>
      <c r="CU490" s="515"/>
      <c r="CV490" s="515"/>
      <c r="CW490" s="515"/>
      <c r="CX490" s="515"/>
      <c r="CY490" s="515"/>
      <c r="CZ490" s="515"/>
      <c r="DA490" s="515"/>
      <c r="DB490" s="515"/>
      <c r="DC490" s="515"/>
      <c r="DD490" s="515"/>
      <c r="DE490" s="515"/>
      <c r="DF490" s="515"/>
      <c r="DG490" s="125"/>
      <c r="DH490" s="125"/>
      <c r="DI490" s="3"/>
      <c r="DJ490" s="8"/>
      <c r="DK490" s="8"/>
      <c r="DL490" s="8"/>
      <c r="DM490" s="8"/>
      <c r="DN490" s="8"/>
      <c r="DO490" s="8"/>
      <c r="DP490" s="8"/>
      <c r="DQ490" s="3"/>
      <c r="DR490" s="8"/>
      <c r="DS490" s="8"/>
      <c r="DT490" s="8"/>
      <c r="DU490" s="8"/>
      <c r="DV490" s="8"/>
      <c r="DW490" s="8"/>
      <c r="DX490" s="8"/>
      <c r="DY490" s="8"/>
      <c r="DZ490" s="8"/>
      <c r="EA490" s="8"/>
      <c r="EB490" s="8"/>
      <c r="EC490" s="8"/>
      <c r="ED490" s="8"/>
      <c r="EE490" s="8"/>
      <c r="EF490" s="8"/>
      <c r="EG490" s="8"/>
      <c r="EH490" s="8"/>
      <c r="EI490" s="8"/>
      <c r="EJ490" s="8"/>
      <c r="EK490" s="8"/>
      <c r="EL490" s="8"/>
      <c r="EM490" s="8"/>
      <c r="EN490" s="8"/>
      <c r="EO490" s="8"/>
      <c r="EP490" s="8"/>
      <c r="EQ490" s="8"/>
      <c r="ER490" s="8"/>
      <c r="ES490" s="8"/>
      <c r="ET490" s="8"/>
      <c r="EU490" s="8"/>
      <c r="EV490" s="8"/>
      <c r="EW490" s="8"/>
      <c r="EX490" s="8"/>
      <c r="EY490" s="8"/>
    </row>
    <row r="491" spans="1:155" s="565" customFormat="1">
      <c r="A491" s="51"/>
      <c r="B491" s="3"/>
      <c r="C491" s="3"/>
      <c r="D491" s="3"/>
      <c r="E491" s="3"/>
      <c r="F491" s="3"/>
      <c r="G491" s="3"/>
      <c r="H491" s="3"/>
      <c r="I491" s="27"/>
      <c r="J491" s="27"/>
      <c r="K491" s="27"/>
      <c r="L491" s="3"/>
      <c r="M491" s="3"/>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3"/>
      <c r="BE491" s="514"/>
      <c r="BF491" s="514"/>
      <c r="BG491" s="514"/>
      <c r="BH491" s="125"/>
      <c r="BI491" s="515"/>
      <c r="BJ491" s="515"/>
      <c r="BK491" s="515"/>
      <c r="BL491" s="515"/>
      <c r="BM491" s="515"/>
      <c r="BN491" s="515"/>
      <c r="BO491" s="515"/>
      <c r="BP491" s="515"/>
      <c r="BQ491" s="515"/>
      <c r="BR491" s="515"/>
      <c r="BS491" s="515"/>
      <c r="BT491" s="515"/>
      <c r="BU491" s="515"/>
      <c r="BV491" s="515"/>
      <c r="BW491" s="515"/>
      <c r="BX491" s="515"/>
      <c r="BY491" s="515"/>
      <c r="BZ491" s="515"/>
      <c r="CA491" s="515"/>
      <c r="CB491" s="515"/>
      <c r="CC491" s="515"/>
      <c r="CD491" s="515"/>
      <c r="CE491" s="515"/>
      <c r="CF491" s="515"/>
      <c r="CG491" s="515"/>
      <c r="CH491" s="515"/>
      <c r="CI491" s="515"/>
      <c r="CJ491" s="515"/>
      <c r="CK491" s="515"/>
      <c r="CL491" s="515"/>
      <c r="CM491" s="515"/>
      <c r="CN491" s="515"/>
      <c r="CO491" s="515"/>
      <c r="CP491" s="515"/>
      <c r="CQ491" s="515"/>
      <c r="CR491" s="515"/>
      <c r="CS491" s="515"/>
      <c r="CT491" s="515"/>
      <c r="CU491" s="515"/>
      <c r="CV491" s="515"/>
      <c r="CW491" s="515"/>
      <c r="CX491" s="515"/>
      <c r="CY491" s="515"/>
      <c r="CZ491" s="515"/>
      <c r="DA491" s="515"/>
      <c r="DB491" s="515"/>
      <c r="DC491" s="515"/>
      <c r="DD491" s="515"/>
      <c r="DE491" s="515"/>
      <c r="DF491" s="515"/>
      <c r="DG491" s="125"/>
      <c r="DH491" s="125"/>
      <c r="DI491" s="3"/>
      <c r="DJ491" s="8"/>
      <c r="DK491" s="8"/>
      <c r="DL491" s="8"/>
      <c r="DM491" s="8"/>
      <c r="DN491" s="8"/>
      <c r="DO491" s="8"/>
      <c r="DP491" s="8"/>
      <c r="DQ491" s="3"/>
      <c r="DR491" s="8"/>
      <c r="DS491" s="8"/>
      <c r="DT491" s="8"/>
      <c r="DU491" s="8"/>
      <c r="DV491" s="8"/>
      <c r="DW491" s="8"/>
      <c r="DX491" s="8"/>
      <c r="DY491" s="8"/>
      <c r="DZ491" s="8"/>
      <c r="EA491" s="8"/>
      <c r="EB491" s="8"/>
      <c r="EC491" s="8"/>
      <c r="ED491" s="8"/>
      <c r="EE491" s="8"/>
      <c r="EF491" s="8"/>
      <c r="EG491" s="8"/>
      <c r="EH491" s="8"/>
      <c r="EI491" s="8"/>
      <c r="EJ491" s="8"/>
      <c r="EK491" s="8"/>
      <c r="EL491" s="8"/>
      <c r="EM491" s="8"/>
      <c r="EN491" s="8"/>
      <c r="EO491" s="8"/>
      <c r="EP491" s="8"/>
      <c r="EQ491" s="8"/>
      <c r="ER491" s="8"/>
      <c r="ES491" s="8"/>
      <c r="ET491" s="8"/>
      <c r="EU491" s="8"/>
      <c r="EV491" s="8"/>
      <c r="EW491" s="8"/>
      <c r="EX491" s="8"/>
      <c r="EY491" s="8"/>
    </row>
    <row r="492" spans="1:155" s="565" customFormat="1">
      <c r="A492" s="51"/>
      <c r="B492" s="3"/>
      <c r="C492" s="3"/>
      <c r="D492" s="3"/>
      <c r="E492" s="3"/>
      <c r="F492" s="3"/>
      <c r="G492" s="3"/>
      <c r="H492" s="3"/>
      <c r="I492" s="27"/>
      <c r="J492" s="27"/>
      <c r="K492" s="27"/>
      <c r="L492" s="3"/>
      <c r="M492" s="3"/>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3"/>
      <c r="BE492" s="514"/>
      <c r="BF492" s="514"/>
      <c r="BG492" s="514"/>
      <c r="BH492" s="125"/>
      <c r="BI492" s="515"/>
      <c r="BJ492" s="515"/>
      <c r="BK492" s="515"/>
      <c r="BL492" s="515"/>
      <c r="BM492" s="515"/>
      <c r="BN492" s="515"/>
      <c r="BO492" s="515"/>
      <c r="BP492" s="515"/>
      <c r="BQ492" s="515"/>
      <c r="BR492" s="515"/>
      <c r="BS492" s="515"/>
      <c r="BT492" s="515"/>
      <c r="BU492" s="515"/>
      <c r="BV492" s="515"/>
      <c r="BW492" s="515"/>
      <c r="BX492" s="515"/>
      <c r="BY492" s="515"/>
      <c r="BZ492" s="515"/>
      <c r="CA492" s="515"/>
      <c r="CB492" s="515"/>
      <c r="CC492" s="515"/>
      <c r="CD492" s="515"/>
      <c r="CE492" s="515"/>
      <c r="CF492" s="515"/>
      <c r="CG492" s="515"/>
      <c r="CH492" s="515"/>
      <c r="CI492" s="515"/>
      <c r="CJ492" s="515"/>
      <c r="CK492" s="515"/>
      <c r="CL492" s="515"/>
      <c r="CM492" s="515"/>
      <c r="CN492" s="515"/>
      <c r="CO492" s="515"/>
      <c r="CP492" s="515"/>
      <c r="CQ492" s="515"/>
      <c r="CR492" s="515"/>
      <c r="CS492" s="515"/>
      <c r="CT492" s="515"/>
      <c r="CU492" s="515"/>
      <c r="CV492" s="515"/>
      <c r="CW492" s="515"/>
      <c r="CX492" s="515"/>
      <c r="CY492" s="515"/>
      <c r="CZ492" s="515"/>
      <c r="DA492" s="515"/>
      <c r="DB492" s="515"/>
      <c r="DC492" s="515"/>
      <c r="DD492" s="515"/>
      <c r="DE492" s="515"/>
      <c r="DF492" s="515"/>
      <c r="DG492" s="125"/>
      <c r="DH492" s="125"/>
      <c r="DI492" s="3"/>
      <c r="DJ492" s="8"/>
      <c r="DK492" s="8"/>
      <c r="DL492" s="8"/>
      <c r="DM492" s="8"/>
      <c r="DN492" s="8"/>
      <c r="DO492" s="8"/>
      <c r="DP492" s="8"/>
      <c r="DQ492" s="3"/>
      <c r="DR492" s="8"/>
      <c r="DS492" s="8"/>
      <c r="DT492" s="8"/>
      <c r="DU492" s="8"/>
      <c r="DV492" s="8"/>
      <c r="DW492" s="8"/>
      <c r="DX492" s="8"/>
      <c r="DY492" s="8"/>
      <c r="DZ492" s="8"/>
      <c r="EA492" s="8"/>
      <c r="EB492" s="8"/>
      <c r="EC492" s="8"/>
      <c r="ED492" s="8"/>
      <c r="EE492" s="8"/>
      <c r="EF492" s="8"/>
      <c r="EG492" s="8"/>
      <c r="EH492" s="8"/>
      <c r="EI492" s="8"/>
      <c r="EJ492" s="8"/>
      <c r="EK492" s="8"/>
      <c r="EL492" s="8"/>
      <c r="EM492" s="8"/>
      <c r="EN492" s="8"/>
      <c r="EO492" s="8"/>
      <c r="EP492" s="8"/>
      <c r="EQ492" s="8"/>
      <c r="ER492" s="8"/>
      <c r="ES492" s="8"/>
      <c r="ET492" s="8"/>
      <c r="EU492" s="8"/>
      <c r="EV492" s="8"/>
      <c r="EW492" s="8"/>
      <c r="EX492" s="8"/>
      <c r="EY492" s="8"/>
    </row>
    <row r="493" spans="1:155" s="565" customFormat="1">
      <c r="A493" s="51"/>
      <c r="B493" s="3"/>
      <c r="C493" s="3"/>
      <c r="D493" s="3"/>
      <c r="E493" s="3"/>
      <c r="F493" s="3"/>
      <c r="G493" s="3"/>
      <c r="H493" s="3"/>
      <c r="I493" s="27"/>
      <c r="J493" s="27"/>
      <c r="K493" s="27"/>
      <c r="L493" s="3"/>
      <c r="M493" s="3"/>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3"/>
      <c r="BE493" s="514"/>
      <c r="BF493" s="514"/>
      <c r="BG493" s="514"/>
      <c r="BH493" s="125"/>
      <c r="BI493" s="515"/>
      <c r="BJ493" s="515"/>
      <c r="BK493" s="515"/>
      <c r="BL493" s="515"/>
      <c r="BM493" s="515"/>
      <c r="BN493" s="515"/>
      <c r="BO493" s="515"/>
      <c r="BP493" s="515"/>
      <c r="BQ493" s="515"/>
      <c r="BR493" s="515"/>
      <c r="BS493" s="515"/>
      <c r="BT493" s="515"/>
      <c r="BU493" s="515"/>
      <c r="BV493" s="515"/>
      <c r="BW493" s="515"/>
      <c r="BX493" s="515"/>
      <c r="BY493" s="515"/>
      <c r="BZ493" s="515"/>
      <c r="CA493" s="515"/>
      <c r="CB493" s="515"/>
      <c r="CC493" s="515"/>
      <c r="CD493" s="515"/>
      <c r="CE493" s="515"/>
      <c r="CF493" s="515"/>
      <c r="CG493" s="515"/>
      <c r="CH493" s="515"/>
      <c r="CI493" s="515"/>
      <c r="CJ493" s="515"/>
      <c r="CK493" s="515"/>
      <c r="CL493" s="515"/>
      <c r="CM493" s="515"/>
      <c r="CN493" s="515"/>
      <c r="CO493" s="515"/>
      <c r="CP493" s="515"/>
      <c r="CQ493" s="515"/>
      <c r="CR493" s="515"/>
      <c r="CS493" s="515"/>
      <c r="CT493" s="515"/>
      <c r="CU493" s="515"/>
      <c r="CV493" s="515"/>
      <c r="CW493" s="515"/>
      <c r="CX493" s="515"/>
      <c r="CY493" s="515"/>
      <c r="CZ493" s="515"/>
      <c r="DA493" s="515"/>
      <c r="DB493" s="515"/>
      <c r="DC493" s="515"/>
      <c r="DD493" s="515"/>
      <c r="DE493" s="515"/>
      <c r="DF493" s="515"/>
      <c r="DG493" s="125"/>
      <c r="DH493" s="125"/>
      <c r="DI493" s="3"/>
      <c r="DJ493" s="8"/>
      <c r="DK493" s="8"/>
      <c r="DL493" s="8"/>
      <c r="DM493" s="8"/>
      <c r="DN493" s="8"/>
      <c r="DO493" s="8"/>
      <c r="DP493" s="8"/>
      <c r="DQ493" s="3"/>
      <c r="DR493" s="8"/>
      <c r="DS493" s="8"/>
      <c r="DT493" s="8"/>
      <c r="DU493" s="8"/>
      <c r="DV493" s="8"/>
      <c r="DW493" s="8"/>
      <c r="DX493" s="8"/>
      <c r="DY493" s="8"/>
      <c r="DZ493" s="8"/>
      <c r="EA493" s="8"/>
      <c r="EB493" s="8"/>
      <c r="EC493" s="8"/>
      <c r="ED493" s="8"/>
      <c r="EE493" s="8"/>
      <c r="EF493" s="8"/>
      <c r="EG493" s="8"/>
      <c r="EH493" s="8"/>
      <c r="EI493" s="8"/>
      <c r="EJ493" s="8"/>
      <c r="EK493" s="8"/>
      <c r="EL493" s="8"/>
      <c r="EM493" s="8"/>
      <c r="EN493" s="8"/>
      <c r="EO493" s="8"/>
      <c r="EP493" s="8"/>
      <c r="EQ493" s="8"/>
      <c r="ER493" s="8"/>
      <c r="ES493" s="8"/>
      <c r="ET493" s="8"/>
      <c r="EU493" s="8"/>
      <c r="EV493" s="8"/>
      <c r="EW493" s="8"/>
      <c r="EX493" s="8"/>
      <c r="EY493" s="8"/>
    </row>
    <row r="494" spans="1:155" s="565" customFormat="1">
      <c r="A494" s="51"/>
      <c r="B494" s="3"/>
      <c r="C494" s="3"/>
      <c r="D494" s="3"/>
      <c r="E494" s="3"/>
      <c r="F494" s="3"/>
      <c r="G494" s="3"/>
      <c r="H494" s="3"/>
      <c r="I494" s="27"/>
      <c r="J494" s="27"/>
      <c r="K494" s="27"/>
      <c r="L494" s="3"/>
      <c r="M494" s="3"/>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3"/>
      <c r="BE494" s="514"/>
      <c r="BF494" s="514"/>
      <c r="BG494" s="514"/>
      <c r="BH494" s="125"/>
      <c r="BI494" s="515"/>
      <c r="BJ494" s="515"/>
      <c r="BK494" s="515"/>
      <c r="BL494" s="515"/>
      <c r="BM494" s="515"/>
      <c r="BN494" s="515"/>
      <c r="BO494" s="515"/>
      <c r="BP494" s="515"/>
      <c r="BQ494" s="515"/>
      <c r="BR494" s="515"/>
      <c r="BS494" s="515"/>
      <c r="BT494" s="515"/>
      <c r="BU494" s="515"/>
      <c r="BV494" s="515"/>
      <c r="BW494" s="515"/>
      <c r="BX494" s="515"/>
      <c r="BY494" s="515"/>
      <c r="BZ494" s="515"/>
      <c r="CA494" s="515"/>
      <c r="CB494" s="515"/>
      <c r="CC494" s="515"/>
      <c r="CD494" s="515"/>
      <c r="CE494" s="515"/>
      <c r="CF494" s="515"/>
      <c r="CG494" s="515"/>
      <c r="CH494" s="515"/>
      <c r="CI494" s="515"/>
      <c r="CJ494" s="515"/>
      <c r="CK494" s="515"/>
      <c r="CL494" s="515"/>
      <c r="CM494" s="515"/>
      <c r="CN494" s="515"/>
      <c r="CO494" s="515"/>
      <c r="CP494" s="515"/>
      <c r="CQ494" s="515"/>
      <c r="CR494" s="515"/>
      <c r="CS494" s="515"/>
      <c r="CT494" s="515"/>
      <c r="CU494" s="515"/>
      <c r="CV494" s="515"/>
      <c r="CW494" s="515"/>
      <c r="CX494" s="515"/>
      <c r="CY494" s="515"/>
      <c r="CZ494" s="515"/>
      <c r="DA494" s="515"/>
      <c r="DB494" s="515"/>
      <c r="DC494" s="515"/>
      <c r="DD494" s="515"/>
      <c r="DE494" s="515"/>
      <c r="DF494" s="515"/>
      <c r="DG494" s="125"/>
      <c r="DH494" s="125"/>
      <c r="DI494" s="3"/>
      <c r="DJ494" s="8"/>
      <c r="DK494" s="8"/>
      <c r="DL494" s="8"/>
      <c r="DM494" s="8"/>
      <c r="DN494" s="8"/>
      <c r="DO494" s="8"/>
      <c r="DP494" s="8"/>
      <c r="DQ494" s="3"/>
      <c r="DR494" s="8"/>
      <c r="DS494" s="8"/>
      <c r="DT494" s="8"/>
      <c r="DU494" s="8"/>
      <c r="DV494" s="8"/>
      <c r="DW494" s="8"/>
      <c r="DX494" s="8"/>
      <c r="DY494" s="8"/>
      <c r="DZ494" s="8"/>
      <c r="EA494" s="8"/>
      <c r="EB494" s="8"/>
      <c r="EC494" s="8"/>
      <c r="ED494" s="8"/>
      <c r="EE494" s="8"/>
      <c r="EF494" s="8"/>
      <c r="EG494" s="8"/>
      <c r="EH494" s="8"/>
      <c r="EI494" s="8"/>
      <c r="EJ494" s="8"/>
      <c r="EK494" s="8"/>
      <c r="EL494" s="8"/>
      <c r="EM494" s="8"/>
      <c r="EN494" s="8"/>
      <c r="EO494" s="8"/>
      <c r="EP494" s="8"/>
      <c r="EQ494" s="8"/>
      <c r="ER494" s="8"/>
      <c r="ES494" s="8"/>
      <c r="ET494" s="8"/>
      <c r="EU494" s="8"/>
      <c r="EV494" s="8"/>
      <c r="EW494" s="8"/>
      <c r="EX494" s="8"/>
      <c r="EY494" s="8"/>
    </row>
    <row r="495" spans="1:155" s="565" customFormat="1">
      <c r="A495" s="51"/>
      <c r="B495" s="3"/>
      <c r="C495" s="3"/>
      <c r="D495" s="3"/>
      <c r="E495" s="3"/>
      <c r="F495" s="3"/>
      <c r="G495" s="3"/>
      <c r="H495" s="3"/>
      <c r="I495" s="27"/>
      <c r="J495" s="27"/>
      <c r="K495" s="27"/>
      <c r="L495" s="3"/>
      <c r="M495" s="3"/>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3"/>
      <c r="BE495" s="514"/>
      <c r="BF495" s="514"/>
      <c r="BG495" s="514"/>
      <c r="BH495" s="125"/>
      <c r="BI495" s="515"/>
      <c r="BJ495" s="515"/>
      <c r="BK495" s="515"/>
      <c r="BL495" s="515"/>
      <c r="BM495" s="515"/>
      <c r="BN495" s="515"/>
      <c r="BO495" s="515"/>
      <c r="BP495" s="515"/>
      <c r="BQ495" s="515"/>
      <c r="BR495" s="515"/>
      <c r="BS495" s="515"/>
      <c r="BT495" s="515"/>
      <c r="BU495" s="515"/>
      <c r="BV495" s="515"/>
      <c r="BW495" s="515"/>
      <c r="BX495" s="515"/>
      <c r="BY495" s="515"/>
      <c r="BZ495" s="515"/>
      <c r="CA495" s="515"/>
      <c r="CB495" s="515"/>
      <c r="CC495" s="515"/>
      <c r="CD495" s="515"/>
      <c r="CE495" s="515"/>
      <c r="CF495" s="515"/>
      <c r="CG495" s="515"/>
      <c r="CH495" s="515"/>
      <c r="CI495" s="515"/>
      <c r="CJ495" s="515"/>
      <c r="CK495" s="515"/>
      <c r="CL495" s="515"/>
      <c r="CM495" s="515"/>
      <c r="CN495" s="515"/>
      <c r="CO495" s="515"/>
      <c r="CP495" s="515"/>
      <c r="CQ495" s="515"/>
      <c r="CR495" s="515"/>
      <c r="CS495" s="515"/>
      <c r="CT495" s="515"/>
      <c r="CU495" s="515"/>
      <c r="CV495" s="515"/>
      <c r="CW495" s="515"/>
      <c r="CX495" s="515"/>
      <c r="CY495" s="515"/>
      <c r="CZ495" s="515"/>
      <c r="DA495" s="515"/>
      <c r="DB495" s="515"/>
      <c r="DC495" s="515"/>
      <c r="DD495" s="515"/>
      <c r="DE495" s="515"/>
      <c r="DF495" s="515"/>
      <c r="DG495" s="125"/>
      <c r="DH495" s="125"/>
      <c r="DI495" s="3"/>
      <c r="DJ495" s="8"/>
      <c r="DK495" s="8"/>
      <c r="DL495" s="8"/>
      <c r="DM495" s="8"/>
      <c r="DN495" s="8"/>
      <c r="DO495" s="8"/>
      <c r="DP495" s="8"/>
      <c r="DQ495" s="3"/>
      <c r="DR495" s="8"/>
      <c r="DS495" s="8"/>
      <c r="DT495" s="8"/>
      <c r="DU495" s="8"/>
      <c r="DV495" s="8"/>
      <c r="DW495" s="8"/>
      <c r="DX495" s="8"/>
      <c r="DY495" s="8"/>
      <c r="DZ495" s="8"/>
      <c r="EA495" s="8"/>
      <c r="EB495" s="8"/>
      <c r="EC495" s="8"/>
      <c r="ED495" s="8"/>
      <c r="EE495" s="8"/>
      <c r="EF495" s="8"/>
      <c r="EG495" s="8"/>
      <c r="EH495" s="8"/>
      <c r="EI495" s="8"/>
      <c r="EJ495" s="8"/>
      <c r="EK495" s="8"/>
      <c r="EL495" s="8"/>
      <c r="EM495" s="8"/>
      <c r="EN495" s="8"/>
      <c r="EO495" s="8"/>
      <c r="EP495" s="8"/>
      <c r="EQ495" s="8"/>
      <c r="ER495" s="8"/>
      <c r="ES495" s="8"/>
      <c r="ET495" s="8"/>
      <c r="EU495" s="8"/>
      <c r="EV495" s="8"/>
      <c r="EW495" s="8"/>
      <c r="EX495" s="8"/>
      <c r="EY495" s="8"/>
    </row>
    <row r="496" spans="1:155" s="565" customFormat="1">
      <c r="A496" s="51"/>
      <c r="B496" s="3"/>
      <c r="C496" s="3"/>
      <c r="D496" s="3"/>
      <c r="E496" s="3"/>
      <c r="F496" s="3"/>
      <c r="G496" s="3"/>
      <c r="H496" s="3"/>
      <c r="I496" s="27"/>
      <c r="J496" s="27"/>
      <c r="K496" s="27"/>
      <c r="L496" s="3"/>
      <c r="M496" s="3"/>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3"/>
      <c r="BE496" s="514"/>
      <c r="BF496" s="514"/>
      <c r="BG496" s="514"/>
      <c r="BH496" s="125"/>
      <c r="BI496" s="515"/>
      <c r="BJ496" s="515"/>
      <c r="BK496" s="515"/>
      <c r="BL496" s="515"/>
      <c r="BM496" s="515"/>
      <c r="BN496" s="515"/>
      <c r="BO496" s="515"/>
      <c r="BP496" s="515"/>
      <c r="BQ496" s="515"/>
      <c r="BR496" s="515"/>
      <c r="BS496" s="515"/>
      <c r="BT496" s="515"/>
      <c r="BU496" s="515"/>
      <c r="BV496" s="515"/>
      <c r="BW496" s="515"/>
      <c r="BX496" s="515"/>
      <c r="BY496" s="515"/>
      <c r="BZ496" s="515"/>
      <c r="CA496" s="515"/>
      <c r="CB496" s="515"/>
      <c r="CC496" s="515"/>
      <c r="CD496" s="515"/>
      <c r="CE496" s="515"/>
      <c r="CF496" s="515"/>
      <c r="CG496" s="515"/>
      <c r="CH496" s="515"/>
      <c r="CI496" s="515"/>
      <c r="CJ496" s="515"/>
      <c r="CK496" s="515"/>
      <c r="CL496" s="515"/>
      <c r="CM496" s="515"/>
      <c r="CN496" s="515"/>
      <c r="CO496" s="515"/>
      <c r="CP496" s="515"/>
      <c r="CQ496" s="515"/>
      <c r="CR496" s="515"/>
      <c r="CS496" s="515"/>
      <c r="CT496" s="515"/>
      <c r="CU496" s="515"/>
      <c r="CV496" s="515"/>
      <c r="CW496" s="515"/>
      <c r="CX496" s="515"/>
      <c r="CY496" s="515"/>
      <c r="CZ496" s="515"/>
      <c r="DA496" s="515"/>
      <c r="DB496" s="515"/>
      <c r="DC496" s="515"/>
      <c r="DD496" s="515"/>
      <c r="DE496" s="515"/>
      <c r="DF496" s="515"/>
      <c r="DG496" s="125"/>
      <c r="DH496" s="125"/>
      <c r="DI496" s="3"/>
      <c r="DJ496" s="8"/>
      <c r="DK496" s="8"/>
      <c r="DL496" s="8"/>
      <c r="DM496" s="8"/>
      <c r="DN496" s="8"/>
      <c r="DO496" s="8"/>
      <c r="DP496" s="8"/>
      <c r="DQ496" s="3"/>
      <c r="DR496" s="8"/>
      <c r="DS496" s="8"/>
      <c r="DT496" s="8"/>
      <c r="DU496" s="8"/>
      <c r="DV496" s="8"/>
      <c r="DW496" s="8"/>
      <c r="DX496" s="8"/>
      <c r="DY496" s="8"/>
      <c r="DZ496" s="8"/>
      <c r="EA496" s="8"/>
      <c r="EB496" s="8"/>
      <c r="EC496" s="8"/>
      <c r="ED496" s="8"/>
      <c r="EE496" s="8"/>
      <c r="EF496" s="8"/>
      <c r="EG496" s="8"/>
      <c r="EH496" s="8"/>
      <c r="EI496" s="8"/>
      <c r="EJ496" s="8"/>
      <c r="EK496" s="8"/>
      <c r="EL496" s="8"/>
      <c r="EM496" s="8"/>
      <c r="EN496" s="8"/>
      <c r="EO496" s="8"/>
      <c r="EP496" s="8"/>
      <c r="EQ496" s="8"/>
      <c r="ER496" s="8"/>
      <c r="ES496" s="8"/>
      <c r="ET496" s="8"/>
      <c r="EU496" s="8"/>
      <c r="EV496" s="8"/>
      <c r="EW496" s="8"/>
      <c r="EX496" s="8"/>
      <c r="EY496" s="8"/>
    </row>
    <row r="497" spans="1:155" s="565" customFormat="1">
      <c r="A497" s="51"/>
      <c r="B497" s="3"/>
      <c r="C497" s="3"/>
      <c r="D497" s="3"/>
      <c r="E497" s="3"/>
      <c r="F497" s="3"/>
      <c r="G497" s="3"/>
      <c r="H497" s="3"/>
      <c r="I497" s="27"/>
      <c r="J497" s="27"/>
      <c r="K497" s="27"/>
      <c r="L497" s="3"/>
      <c r="M497" s="3"/>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3"/>
      <c r="BE497" s="514"/>
      <c r="BF497" s="514"/>
      <c r="BG497" s="514"/>
      <c r="BH497" s="125"/>
      <c r="BI497" s="515"/>
      <c r="BJ497" s="515"/>
      <c r="BK497" s="515"/>
      <c r="BL497" s="515"/>
      <c r="BM497" s="515"/>
      <c r="BN497" s="515"/>
      <c r="BO497" s="515"/>
      <c r="BP497" s="515"/>
      <c r="BQ497" s="515"/>
      <c r="BR497" s="515"/>
      <c r="BS497" s="515"/>
      <c r="BT497" s="515"/>
      <c r="BU497" s="515"/>
      <c r="BV497" s="515"/>
      <c r="BW497" s="515"/>
      <c r="BX497" s="515"/>
      <c r="BY497" s="515"/>
      <c r="BZ497" s="515"/>
      <c r="CA497" s="515"/>
      <c r="CB497" s="515"/>
      <c r="CC497" s="515"/>
      <c r="CD497" s="515"/>
      <c r="CE497" s="515"/>
      <c r="CF497" s="515"/>
      <c r="CG497" s="515"/>
      <c r="CH497" s="515"/>
      <c r="CI497" s="515"/>
      <c r="CJ497" s="515"/>
      <c r="CK497" s="515"/>
      <c r="CL497" s="515"/>
      <c r="CM497" s="515"/>
      <c r="CN497" s="515"/>
      <c r="CO497" s="515"/>
      <c r="CP497" s="515"/>
      <c r="CQ497" s="515"/>
      <c r="CR497" s="515"/>
      <c r="CS497" s="515"/>
      <c r="CT497" s="515"/>
      <c r="CU497" s="515"/>
      <c r="CV497" s="515"/>
      <c r="CW497" s="515"/>
      <c r="CX497" s="515"/>
      <c r="CY497" s="515"/>
      <c r="CZ497" s="515"/>
      <c r="DA497" s="515"/>
      <c r="DB497" s="515"/>
      <c r="DC497" s="515"/>
      <c r="DD497" s="515"/>
      <c r="DE497" s="515"/>
      <c r="DF497" s="515"/>
      <c r="DG497" s="125"/>
      <c r="DH497" s="125"/>
      <c r="DI497" s="3"/>
      <c r="DJ497" s="8"/>
      <c r="DK497" s="8"/>
      <c r="DL497" s="8"/>
      <c r="DM497" s="8"/>
      <c r="DN497" s="8"/>
      <c r="DO497" s="8"/>
      <c r="DP497" s="8"/>
      <c r="DQ497" s="3"/>
      <c r="DR497" s="8"/>
      <c r="DS497" s="8"/>
      <c r="DT497" s="8"/>
      <c r="DU497" s="8"/>
      <c r="DV497" s="8"/>
      <c r="DW497" s="8"/>
      <c r="DX497" s="8"/>
      <c r="DY497" s="8"/>
      <c r="DZ497" s="8"/>
      <c r="EA497" s="8"/>
      <c r="EB497" s="8"/>
      <c r="EC497" s="8"/>
      <c r="ED497" s="8"/>
      <c r="EE497" s="8"/>
      <c r="EF497" s="8"/>
      <c r="EG497" s="8"/>
      <c r="EH497" s="8"/>
      <c r="EI497" s="8"/>
      <c r="EJ497" s="8"/>
      <c r="EK497" s="8"/>
      <c r="EL497" s="8"/>
      <c r="EM497" s="8"/>
      <c r="EN497" s="8"/>
      <c r="EO497" s="8"/>
      <c r="EP497" s="8"/>
      <c r="EQ497" s="8"/>
      <c r="ER497" s="8"/>
      <c r="ES497" s="8"/>
      <c r="ET497" s="8"/>
      <c r="EU497" s="8"/>
      <c r="EV497" s="8"/>
      <c r="EW497" s="8"/>
      <c r="EX497" s="8"/>
      <c r="EY497" s="8"/>
    </row>
    <row r="498" spans="1:155" s="565" customFormat="1">
      <c r="A498" s="51"/>
      <c r="B498" s="3"/>
      <c r="C498" s="3"/>
      <c r="D498" s="3"/>
      <c r="E498" s="3"/>
      <c r="F498" s="3"/>
      <c r="G498" s="3"/>
      <c r="H498" s="3"/>
      <c r="I498" s="27"/>
      <c r="J498" s="27"/>
      <c r="K498" s="27"/>
      <c r="L498" s="3"/>
      <c r="M498" s="3"/>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3"/>
      <c r="BE498" s="514"/>
      <c r="BF498" s="514"/>
      <c r="BG498" s="514"/>
      <c r="BH498" s="125"/>
      <c r="BI498" s="515"/>
      <c r="BJ498" s="515"/>
      <c r="BK498" s="515"/>
      <c r="BL498" s="515"/>
      <c r="BM498" s="515"/>
      <c r="BN498" s="515"/>
      <c r="BO498" s="515"/>
      <c r="BP498" s="515"/>
      <c r="BQ498" s="515"/>
      <c r="BR498" s="515"/>
      <c r="BS498" s="515"/>
      <c r="BT498" s="515"/>
      <c r="BU498" s="515"/>
      <c r="BV498" s="515"/>
      <c r="BW498" s="515"/>
      <c r="BX498" s="515"/>
      <c r="BY498" s="515"/>
      <c r="BZ498" s="515"/>
      <c r="CA498" s="515"/>
      <c r="CB498" s="515"/>
      <c r="CC498" s="515"/>
      <c r="CD498" s="515"/>
      <c r="CE498" s="515"/>
      <c r="CF498" s="515"/>
      <c r="CG498" s="515"/>
      <c r="CH498" s="515"/>
      <c r="CI498" s="515"/>
      <c r="CJ498" s="515"/>
      <c r="CK498" s="515"/>
      <c r="CL498" s="515"/>
      <c r="CM498" s="515"/>
      <c r="CN498" s="515"/>
      <c r="CO498" s="515"/>
      <c r="CP498" s="515"/>
      <c r="CQ498" s="515"/>
      <c r="CR498" s="515"/>
      <c r="CS498" s="515"/>
      <c r="CT498" s="515"/>
      <c r="CU498" s="515"/>
      <c r="CV498" s="515"/>
      <c r="CW498" s="515"/>
      <c r="CX498" s="515"/>
      <c r="CY498" s="515"/>
      <c r="CZ498" s="515"/>
      <c r="DA498" s="515"/>
      <c r="DB498" s="515"/>
      <c r="DC498" s="515"/>
      <c r="DD498" s="515"/>
      <c r="DE498" s="515"/>
      <c r="DF498" s="515"/>
      <c r="DG498" s="125"/>
      <c r="DH498" s="125"/>
      <c r="DI498" s="3"/>
      <c r="DJ498" s="8"/>
      <c r="DK498" s="8"/>
      <c r="DL498" s="8"/>
      <c r="DM498" s="8"/>
      <c r="DN498" s="8"/>
      <c r="DO498" s="8"/>
      <c r="DP498" s="8"/>
      <c r="DQ498" s="3"/>
      <c r="DR498" s="8"/>
      <c r="DS498" s="8"/>
      <c r="DT498" s="8"/>
      <c r="DU498" s="8"/>
      <c r="DV498" s="8"/>
      <c r="DW498" s="8"/>
      <c r="DX498" s="8"/>
      <c r="DY498" s="8"/>
      <c r="DZ498" s="8"/>
      <c r="EA498" s="8"/>
      <c r="EB498" s="8"/>
      <c r="EC498" s="8"/>
      <c r="ED498" s="8"/>
      <c r="EE498" s="8"/>
      <c r="EF498" s="8"/>
      <c r="EG498" s="8"/>
      <c r="EH498" s="8"/>
      <c r="EI498" s="8"/>
      <c r="EJ498" s="8"/>
      <c r="EK498" s="8"/>
      <c r="EL498" s="8"/>
      <c r="EM498" s="8"/>
      <c r="EN498" s="8"/>
      <c r="EO498" s="8"/>
      <c r="EP498" s="8"/>
      <c r="EQ498" s="8"/>
      <c r="ER498" s="8"/>
      <c r="ES498" s="8"/>
      <c r="ET498" s="8"/>
      <c r="EU498" s="8"/>
      <c r="EV498" s="8"/>
      <c r="EW498" s="8"/>
      <c r="EX498" s="8"/>
      <c r="EY498" s="8"/>
    </row>
    <row r="499" spans="1:155" s="565" customFormat="1">
      <c r="A499" s="51"/>
      <c r="B499" s="3"/>
      <c r="C499" s="3"/>
      <c r="D499" s="3"/>
      <c r="E499" s="3"/>
      <c r="F499" s="3"/>
      <c r="G499" s="3"/>
      <c r="H499" s="3"/>
      <c r="I499" s="27"/>
      <c r="J499" s="27"/>
      <c r="K499" s="27"/>
      <c r="L499" s="3"/>
      <c r="M499" s="3"/>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3"/>
      <c r="BE499" s="514"/>
      <c r="BF499" s="514"/>
      <c r="BG499" s="514"/>
      <c r="BH499" s="125"/>
      <c r="BI499" s="515"/>
      <c r="BJ499" s="515"/>
      <c r="BK499" s="515"/>
      <c r="BL499" s="515"/>
      <c r="BM499" s="515"/>
      <c r="BN499" s="515"/>
      <c r="BO499" s="515"/>
      <c r="BP499" s="515"/>
      <c r="BQ499" s="515"/>
      <c r="BR499" s="515"/>
      <c r="BS499" s="515"/>
      <c r="BT499" s="515"/>
      <c r="BU499" s="515"/>
      <c r="BV499" s="515"/>
      <c r="BW499" s="515"/>
      <c r="BX499" s="515"/>
      <c r="BY499" s="515"/>
      <c r="BZ499" s="515"/>
      <c r="CA499" s="515"/>
      <c r="CB499" s="515"/>
      <c r="CC499" s="515"/>
      <c r="CD499" s="515"/>
      <c r="CE499" s="515"/>
      <c r="CF499" s="515"/>
      <c r="CG499" s="515"/>
      <c r="CH499" s="515"/>
      <c r="CI499" s="515"/>
      <c r="CJ499" s="515"/>
      <c r="CK499" s="515"/>
      <c r="CL499" s="515"/>
      <c r="CM499" s="515"/>
      <c r="CN499" s="515"/>
      <c r="CO499" s="515"/>
      <c r="CP499" s="515"/>
      <c r="CQ499" s="515"/>
      <c r="CR499" s="515"/>
      <c r="CS499" s="515"/>
      <c r="CT499" s="515"/>
      <c r="CU499" s="515"/>
      <c r="CV499" s="515"/>
      <c r="CW499" s="515"/>
      <c r="CX499" s="515"/>
      <c r="CY499" s="515"/>
      <c r="CZ499" s="515"/>
      <c r="DA499" s="515"/>
      <c r="DB499" s="515"/>
      <c r="DC499" s="515"/>
      <c r="DD499" s="515"/>
      <c r="DE499" s="515"/>
      <c r="DF499" s="515"/>
      <c r="DG499" s="125"/>
      <c r="DH499" s="125"/>
      <c r="DI499" s="3"/>
      <c r="DJ499" s="8"/>
      <c r="DK499" s="8"/>
      <c r="DL499" s="8"/>
      <c r="DM499" s="8"/>
      <c r="DN499" s="8"/>
      <c r="DO499" s="8"/>
      <c r="DP499" s="8"/>
      <c r="DQ499" s="3"/>
      <c r="DR499" s="8"/>
      <c r="DS499" s="8"/>
      <c r="DT499" s="8"/>
      <c r="DU499" s="8"/>
      <c r="DV499" s="8"/>
      <c r="DW499" s="8"/>
      <c r="DX499" s="8"/>
      <c r="DY499" s="8"/>
      <c r="DZ499" s="8"/>
      <c r="EA499" s="8"/>
      <c r="EB499" s="8"/>
      <c r="EC499" s="8"/>
      <c r="ED499" s="8"/>
      <c r="EE499" s="8"/>
      <c r="EF499" s="8"/>
      <c r="EG499" s="8"/>
      <c r="EH499" s="8"/>
      <c r="EI499" s="8"/>
      <c r="EJ499" s="8"/>
      <c r="EK499" s="8"/>
      <c r="EL499" s="8"/>
      <c r="EM499" s="8"/>
      <c r="EN499" s="8"/>
      <c r="EO499" s="8"/>
      <c r="EP499" s="8"/>
      <c r="EQ499" s="8"/>
      <c r="ER499" s="8"/>
      <c r="ES499" s="8"/>
      <c r="ET499" s="8"/>
      <c r="EU499" s="8"/>
      <c r="EV499" s="8"/>
      <c r="EW499" s="8"/>
      <c r="EX499" s="8"/>
      <c r="EY499" s="8"/>
    </row>
    <row r="500" spans="1:155" s="565" customFormat="1">
      <c r="A500" s="51"/>
      <c r="B500" s="3"/>
      <c r="C500" s="3"/>
      <c r="D500" s="3"/>
      <c r="E500" s="3"/>
      <c r="F500" s="3"/>
      <c r="G500" s="3"/>
      <c r="H500" s="3"/>
      <c r="I500" s="27"/>
      <c r="J500" s="27"/>
      <c r="K500" s="27"/>
      <c r="L500" s="3"/>
      <c r="M500" s="3"/>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3"/>
      <c r="BE500" s="514"/>
      <c r="BF500" s="514"/>
      <c r="BG500" s="514"/>
      <c r="BH500" s="125"/>
      <c r="BI500" s="515"/>
      <c r="BJ500" s="515"/>
      <c r="BK500" s="515"/>
      <c r="BL500" s="515"/>
      <c r="BM500" s="515"/>
      <c r="BN500" s="515"/>
      <c r="BO500" s="515"/>
      <c r="BP500" s="515"/>
      <c r="BQ500" s="515"/>
      <c r="BR500" s="515"/>
      <c r="BS500" s="515"/>
      <c r="BT500" s="515"/>
      <c r="BU500" s="515"/>
      <c r="BV500" s="515"/>
      <c r="BW500" s="515"/>
      <c r="BX500" s="515"/>
      <c r="BY500" s="515"/>
      <c r="BZ500" s="515"/>
      <c r="CA500" s="515"/>
      <c r="CB500" s="515"/>
      <c r="CC500" s="515"/>
      <c r="CD500" s="515"/>
      <c r="CE500" s="515"/>
      <c r="CF500" s="515"/>
      <c r="CG500" s="515"/>
      <c r="CH500" s="515"/>
      <c r="CI500" s="515"/>
      <c r="CJ500" s="515"/>
      <c r="CK500" s="515"/>
      <c r="CL500" s="515"/>
      <c r="CM500" s="515"/>
      <c r="CN500" s="515"/>
      <c r="CO500" s="515"/>
      <c r="CP500" s="515"/>
      <c r="CQ500" s="515"/>
      <c r="CR500" s="515"/>
      <c r="CS500" s="515"/>
      <c r="CT500" s="515"/>
      <c r="CU500" s="515"/>
      <c r="CV500" s="515"/>
      <c r="CW500" s="515"/>
      <c r="CX500" s="515"/>
      <c r="CY500" s="515"/>
      <c r="CZ500" s="515"/>
      <c r="DA500" s="515"/>
      <c r="DB500" s="515"/>
      <c r="DC500" s="515"/>
      <c r="DD500" s="515"/>
      <c r="DE500" s="515"/>
      <c r="DF500" s="515"/>
      <c r="DG500" s="125"/>
      <c r="DH500" s="125"/>
      <c r="DI500" s="3"/>
      <c r="DJ500" s="8"/>
      <c r="DK500" s="8"/>
      <c r="DL500" s="8"/>
      <c r="DM500" s="8"/>
      <c r="DN500" s="8"/>
      <c r="DO500" s="8"/>
      <c r="DP500" s="8"/>
      <c r="DQ500" s="3"/>
      <c r="DR500" s="8"/>
      <c r="DS500" s="8"/>
      <c r="DT500" s="8"/>
      <c r="DU500" s="8"/>
      <c r="DV500" s="8"/>
      <c r="DW500" s="8"/>
      <c r="DX500" s="8"/>
      <c r="DY500" s="8"/>
      <c r="DZ500" s="8"/>
      <c r="EA500" s="8"/>
      <c r="EB500" s="8"/>
      <c r="EC500" s="8"/>
      <c r="ED500" s="8"/>
      <c r="EE500" s="8"/>
      <c r="EF500" s="8"/>
      <c r="EG500" s="8"/>
      <c r="EH500" s="8"/>
      <c r="EI500" s="8"/>
      <c r="EJ500" s="8"/>
      <c r="EK500" s="8"/>
      <c r="EL500" s="8"/>
      <c r="EM500" s="8"/>
      <c r="EN500" s="8"/>
      <c r="EO500" s="8"/>
      <c r="EP500" s="8"/>
      <c r="EQ500" s="8"/>
      <c r="ER500" s="8"/>
      <c r="ES500" s="8"/>
      <c r="ET500" s="8"/>
      <c r="EU500" s="8"/>
      <c r="EV500" s="8"/>
      <c r="EW500" s="8"/>
      <c r="EX500" s="8"/>
      <c r="EY500" s="8"/>
    </row>
    <row r="501" spans="1:155" s="565" customFormat="1">
      <c r="A501" s="51"/>
      <c r="B501" s="3"/>
      <c r="C501" s="3"/>
      <c r="D501" s="3"/>
      <c r="E501" s="3"/>
      <c r="F501" s="3"/>
      <c r="G501" s="3"/>
      <c r="H501" s="3"/>
      <c r="I501" s="27"/>
      <c r="J501" s="27"/>
      <c r="K501" s="27"/>
      <c r="L501" s="3"/>
      <c r="M501" s="3"/>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3"/>
      <c r="BE501" s="514"/>
      <c r="BF501" s="514"/>
      <c r="BG501" s="514"/>
      <c r="BH501" s="125"/>
      <c r="BI501" s="515"/>
      <c r="BJ501" s="515"/>
      <c r="BK501" s="515"/>
      <c r="BL501" s="515"/>
      <c r="BM501" s="515"/>
      <c r="BN501" s="515"/>
      <c r="BO501" s="515"/>
      <c r="BP501" s="515"/>
      <c r="BQ501" s="515"/>
      <c r="BR501" s="515"/>
      <c r="BS501" s="515"/>
      <c r="BT501" s="515"/>
      <c r="BU501" s="515"/>
      <c r="BV501" s="515"/>
      <c r="BW501" s="515"/>
      <c r="BX501" s="515"/>
      <c r="BY501" s="515"/>
      <c r="BZ501" s="515"/>
      <c r="CA501" s="515"/>
      <c r="CB501" s="515"/>
      <c r="CC501" s="515"/>
      <c r="CD501" s="515"/>
      <c r="CE501" s="515"/>
      <c r="CF501" s="515"/>
      <c r="CG501" s="515"/>
      <c r="CH501" s="515"/>
      <c r="CI501" s="515"/>
      <c r="CJ501" s="515"/>
      <c r="CK501" s="515"/>
      <c r="CL501" s="515"/>
      <c r="CM501" s="515"/>
      <c r="CN501" s="515"/>
      <c r="CO501" s="515"/>
      <c r="CP501" s="515"/>
      <c r="CQ501" s="515"/>
      <c r="CR501" s="515"/>
      <c r="CS501" s="515"/>
      <c r="CT501" s="515"/>
      <c r="CU501" s="515"/>
      <c r="CV501" s="515"/>
      <c r="CW501" s="515"/>
      <c r="CX501" s="515"/>
      <c r="CY501" s="515"/>
      <c r="CZ501" s="515"/>
      <c r="DA501" s="515"/>
      <c r="DB501" s="515"/>
      <c r="DC501" s="515"/>
      <c r="DD501" s="515"/>
      <c r="DE501" s="515"/>
      <c r="DF501" s="515"/>
      <c r="DG501" s="125"/>
      <c r="DH501" s="125"/>
      <c r="DI501" s="3"/>
      <c r="DJ501" s="8"/>
      <c r="DK501" s="8"/>
      <c r="DL501" s="8"/>
      <c r="DM501" s="8"/>
      <c r="DN501" s="8"/>
      <c r="DO501" s="8"/>
      <c r="DP501" s="8"/>
      <c r="DQ501" s="3"/>
      <c r="DR501" s="8"/>
      <c r="DS501" s="8"/>
      <c r="DT501" s="8"/>
      <c r="DU501" s="8"/>
      <c r="DV501" s="8"/>
      <c r="DW501" s="8"/>
      <c r="DX501" s="8"/>
      <c r="DY501" s="8"/>
      <c r="DZ501" s="8"/>
      <c r="EA501" s="8"/>
      <c r="EB501" s="8"/>
      <c r="EC501" s="8"/>
      <c r="ED501" s="8"/>
      <c r="EE501" s="8"/>
      <c r="EF501" s="8"/>
      <c r="EG501" s="8"/>
      <c r="EH501" s="8"/>
      <c r="EI501" s="8"/>
      <c r="EJ501" s="8"/>
      <c r="EK501" s="8"/>
      <c r="EL501" s="8"/>
      <c r="EM501" s="8"/>
      <c r="EN501" s="8"/>
      <c r="EO501" s="8"/>
      <c r="EP501" s="8"/>
      <c r="EQ501" s="8"/>
      <c r="ER501" s="8"/>
      <c r="ES501" s="8"/>
      <c r="ET501" s="8"/>
      <c r="EU501" s="8"/>
      <c r="EV501" s="8"/>
      <c r="EW501" s="8"/>
      <c r="EX501" s="8"/>
      <c r="EY501" s="8"/>
    </row>
    <row r="502" spans="1:155" s="565" customFormat="1">
      <c r="A502" s="51"/>
      <c r="B502" s="3"/>
      <c r="C502" s="3"/>
      <c r="D502" s="3"/>
      <c r="E502" s="3"/>
      <c r="F502" s="3"/>
      <c r="G502" s="3"/>
      <c r="H502" s="3"/>
      <c r="I502" s="27"/>
      <c r="J502" s="27"/>
      <c r="K502" s="27"/>
      <c r="L502" s="3"/>
      <c r="M502" s="3"/>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3"/>
      <c r="BE502" s="514"/>
      <c r="BF502" s="514"/>
      <c r="BG502" s="514"/>
      <c r="BH502" s="125"/>
      <c r="BI502" s="515"/>
      <c r="BJ502" s="515"/>
      <c r="BK502" s="515"/>
      <c r="BL502" s="515"/>
      <c r="BM502" s="515"/>
      <c r="BN502" s="515"/>
      <c r="BO502" s="515"/>
      <c r="BP502" s="515"/>
      <c r="BQ502" s="515"/>
      <c r="BR502" s="515"/>
      <c r="BS502" s="515"/>
      <c r="BT502" s="515"/>
      <c r="BU502" s="515"/>
      <c r="BV502" s="515"/>
      <c r="BW502" s="515"/>
      <c r="BX502" s="515"/>
      <c r="BY502" s="515"/>
      <c r="BZ502" s="515"/>
      <c r="CA502" s="515"/>
      <c r="CB502" s="515"/>
      <c r="CC502" s="515"/>
      <c r="CD502" s="515"/>
      <c r="CE502" s="515"/>
      <c r="CF502" s="515"/>
      <c r="CG502" s="515"/>
      <c r="CH502" s="515"/>
      <c r="CI502" s="515"/>
      <c r="CJ502" s="515"/>
      <c r="CK502" s="515"/>
      <c r="CL502" s="515"/>
      <c r="CM502" s="515"/>
      <c r="CN502" s="515"/>
      <c r="CO502" s="515"/>
      <c r="CP502" s="515"/>
      <c r="CQ502" s="515"/>
      <c r="CR502" s="515"/>
      <c r="CS502" s="515"/>
      <c r="CT502" s="515"/>
      <c r="CU502" s="515"/>
      <c r="CV502" s="515"/>
      <c r="CW502" s="515"/>
      <c r="CX502" s="515"/>
      <c r="CY502" s="515"/>
      <c r="CZ502" s="515"/>
      <c r="DA502" s="515"/>
      <c r="DB502" s="515"/>
      <c r="DC502" s="515"/>
      <c r="DD502" s="515"/>
      <c r="DE502" s="515"/>
      <c r="DF502" s="515"/>
      <c r="DG502" s="125"/>
      <c r="DH502" s="125"/>
      <c r="DI502" s="3"/>
      <c r="DJ502" s="8"/>
      <c r="DK502" s="8"/>
      <c r="DL502" s="8"/>
      <c r="DM502" s="8"/>
      <c r="DN502" s="8"/>
      <c r="DO502" s="8"/>
      <c r="DP502" s="8"/>
      <c r="DQ502" s="3"/>
      <c r="DR502" s="8"/>
      <c r="DS502" s="8"/>
      <c r="DT502" s="8"/>
      <c r="DU502" s="8"/>
      <c r="DV502" s="8"/>
      <c r="DW502" s="8"/>
      <c r="DX502" s="8"/>
      <c r="DY502" s="8"/>
      <c r="DZ502" s="8"/>
      <c r="EA502" s="8"/>
      <c r="EB502" s="8"/>
      <c r="EC502" s="8"/>
      <c r="ED502" s="8"/>
      <c r="EE502" s="8"/>
      <c r="EF502" s="8"/>
      <c r="EG502" s="8"/>
      <c r="EH502" s="8"/>
      <c r="EI502" s="8"/>
      <c r="EJ502" s="8"/>
      <c r="EK502" s="8"/>
      <c r="EL502" s="8"/>
      <c r="EM502" s="8"/>
      <c r="EN502" s="8"/>
      <c r="EO502" s="8"/>
      <c r="EP502" s="8"/>
      <c r="EQ502" s="8"/>
      <c r="ER502" s="8"/>
      <c r="ES502" s="8"/>
      <c r="ET502" s="8"/>
      <c r="EU502" s="8"/>
      <c r="EV502" s="8"/>
      <c r="EW502" s="8"/>
      <c r="EX502" s="8"/>
      <c r="EY502" s="8"/>
    </row>
    <row r="503" spans="1:155" s="565" customFormat="1">
      <c r="A503" s="51"/>
      <c r="B503" s="3"/>
      <c r="C503" s="3"/>
      <c r="D503" s="3"/>
      <c r="E503" s="3"/>
      <c r="F503" s="3"/>
      <c r="G503" s="3"/>
      <c r="H503" s="3"/>
      <c r="I503" s="27"/>
      <c r="J503" s="27"/>
      <c r="K503" s="27"/>
      <c r="L503" s="3"/>
      <c r="M503" s="3"/>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3"/>
      <c r="BE503" s="514"/>
      <c r="BF503" s="514"/>
      <c r="BG503" s="514"/>
      <c r="BH503" s="125"/>
      <c r="BI503" s="515"/>
      <c r="BJ503" s="515"/>
      <c r="BK503" s="515"/>
      <c r="BL503" s="515"/>
      <c r="BM503" s="515"/>
      <c r="BN503" s="515"/>
      <c r="BO503" s="515"/>
      <c r="BP503" s="515"/>
      <c r="BQ503" s="515"/>
      <c r="BR503" s="515"/>
      <c r="BS503" s="515"/>
      <c r="BT503" s="515"/>
      <c r="BU503" s="515"/>
      <c r="BV503" s="515"/>
      <c r="BW503" s="515"/>
      <c r="BX503" s="515"/>
      <c r="BY503" s="515"/>
      <c r="BZ503" s="515"/>
      <c r="CA503" s="515"/>
      <c r="CB503" s="515"/>
      <c r="CC503" s="515"/>
      <c r="CD503" s="515"/>
      <c r="CE503" s="515"/>
      <c r="CF503" s="515"/>
      <c r="CG503" s="515"/>
      <c r="CH503" s="515"/>
      <c r="CI503" s="515"/>
      <c r="CJ503" s="515"/>
      <c r="CK503" s="515"/>
      <c r="CL503" s="515"/>
      <c r="CM503" s="515"/>
      <c r="CN503" s="515"/>
      <c r="CO503" s="515"/>
      <c r="CP503" s="515"/>
      <c r="CQ503" s="515"/>
      <c r="CR503" s="515"/>
      <c r="CS503" s="515"/>
      <c r="CT503" s="515"/>
      <c r="CU503" s="515"/>
      <c r="CV503" s="515"/>
      <c r="CW503" s="515"/>
      <c r="CX503" s="515"/>
      <c r="CY503" s="515"/>
      <c r="CZ503" s="515"/>
      <c r="DA503" s="515"/>
      <c r="DB503" s="515"/>
      <c r="DC503" s="515"/>
      <c r="DD503" s="515"/>
      <c r="DE503" s="515"/>
      <c r="DF503" s="515"/>
      <c r="DG503" s="125"/>
      <c r="DH503" s="125"/>
      <c r="DI503" s="3"/>
      <c r="DJ503" s="8"/>
      <c r="DK503" s="8"/>
      <c r="DL503" s="8"/>
      <c r="DM503" s="8"/>
      <c r="DN503" s="8"/>
      <c r="DO503" s="8"/>
      <c r="DP503" s="8"/>
      <c r="DQ503" s="3"/>
      <c r="DR503" s="8"/>
      <c r="DS503" s="8"/>
      <c r="DT503" s="8"/>
      <c r="DU503" s="8"/>
      <c r="DV503" s="8"/>
      <c r="DW503" s="8"/>
      <c r="DX503" s="8"/>
      <c r="DY503" s="8"/>
      <c r="DZ503" s="8"/>
      <c r="EA503" s="8"/>
      <c r="EB503" s="8"/>
      <c r="EC503" s="8"/>
      <c r="ED503" s="8"/>
      <c r="EE503" s="8"/>
      <c r="EF503" s="8"/>
      <c r="EG503" s="8"/>
      <c r="EH503" s="8"/>
      <c r="EI503" s="8"/>
      <c r="EJ503" s="8"/>
      <c r="EK503" s="8"/>
      <c r="EL503" s="8"/>
      <c r="EM503" s="8"/>
      <c r="EN503" s="8"/>
      <c r="EO503" s="8"/>
      <c r="EP503" s="8"/>
      <c r="EQ503" s="8"/>
      <c r="ER503" s="8"/>
      <c r="ES503" s="8"/>
      <c r="ET503" s="8"/>
      <c r="EU503" s="8"/>
      <c r="EV503" s="8"/>
      <c r="EW503" s="8"/>
      <c r="EX503" s="8"/>
      <c r="EY503" s="8"/>
    </row>
    <row r="504" spans="1:155" s="565" customFormat="1">
      <c r="A504" s="51"/>
      <c r="B504" s="3"/>
      <c r="C504" s="3"/>
      <c r="D504" s="3"/>
      <c r="E504" s="3"/>
      <c r="F504" s="3"/>
      <c r="G504" s="3"/>
      <c r="H504" s="3"/>
      <c r="I504" s="27"/>
      <c r="J504" s="27"/>
      <c r="K504" s="27"/>
      <c r="L504" s="3"/>
      <c r="M504" s="3"/>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3"/>
      <c r="BE504" s="514"/>
      <c r="BF504" s="514"/>
      <c r="BG504" s="514"/>
      <c r="BH504" s="125"/>
      <c r="BI504" s="515"/>
      <c r="BJ504" s="515"/>
      <c r="BK504" s="515"/>
      <c r="BL504" s="515"/>
      <c r="BM504" s="515"/>
      <c r="BN504" s="515"/>
      <c r="BO504" s="515"/>
      <c r="BP504" s="515"/>
      <c r="BQ504" s="515"/>
      <c r="BR504" s="515"/>
      <c r="BS504" s="515"/>
      <c r="BT504" s="515"/>
      <c r="BU504" s="515"/>
      <c r="BV504" s="515"/>
      <c r="BW504" s="515"/>
      <c r="BX504" s="515"/>
      <c r="BY504" s="515"/>
      <c r="BZ504" s="515"/>
      <c r="CA504" s="515"/>
      <c r="CB504" s="515"/>
      <c r="CC504" s="515"/>
      <c r="CD504" s="515"/>
      <c r="CE504" s="515"/>
      <c r="CF504" s="515"/>
      <c r="CG504" s="515"/>
      <c r="CH504" s="515"/>
      <c r="CI504" s="515"/>
      <c r="CJ504" s="515"/>
      <c r="CK504" s="515"/>
      <c r="CL504" s="515"/>
      <c r="CM504" s="515"/>
      <c r="CN504" s="515"/>
      <c r="CO504" s="515"/>
      <c r="CP504" s="515"/>
      <c r="CQ504" s="515"/>
      <c r="CR504" s="515"/>
      <c r="CS504" s="515"/>
      <c r="CT504" s="515"/>
      <c r="CU504" s="515"/>
      <c r="CV504" s="515"/>
      <c r="CW504" s="515"/>
      <c r="CX504" s="515"/>
      <c r="CY504" s="515"/>
      <c r="CZ504" s="515"/>
      <c r="DA504" s="515"/>
      <c r="DB504" s="515"/>
      <c r="DC504" s="515"/>
      <c r="DD504" s="515"/>
      <c r="DE504" s="515"/>
      <c r="DF504" s="515"/>
      <c r="DG504" s="125"/>
      <c r="DH504" s="125"/>
      <c r="DI504" s="3"/>
      <c r="DJ504" s="8"/>
      <c r="DK504" s="8"/>
      <c r="DL504" s="8"/>
      <c r="DM504" s="8"/>
      <c r="DN504" s="8"/>
      <c r="DO504" s="8"/>
      <c r="DP504" s="8"/>
      <c r="DQ504" s="3"/>
      <c r="DR504" s="8"/>
      <c r="DS504" s="8"/>
      <c r="DT504" s="8"/>
      <c r="DU504" s="8"/>
      <c r="DV504" s="8"/>
      <c r="DW504" s="8"/>
      <c r="DX504" s="8"/>
      <c r="DY504" s="8"/>
      <c r="DZ504" s="8"/>
      <c r="EA504" s="8"/>
      <c r="EB504" s="8"/>
      <c r="EC504" s="8"/>
      <c r="ED504" s="8"/>
      <c r="EE504" s="8"/>
      <c r="EF504" s="8"/>
      <c r="EG504" s="8"/>
      <c r="EH504" s="8"/>
      <c r="EI504" s="8"/>
      <c r="EJ504" s="8"/>
      <c r="EK504" s="8"/>
      <c r="EL504" s="8"/>
      <c r="EM504" s="8"/>
      <c r="EN504" s="8"/>
      <c r="EO504" s="8"/>
      <c r="EP504" s="8"/>
      <c r="EQ504" s="8"/>
      <c r="ER504" s="8"/>
      <c r="ES504" s="8"/>
      <c r="ET504" s="8"/>
      <c r="EU504" s="8"/>
      <c r="EV504" s="8"/>
      <c r="EW504" s="8"/>
      <c r="EX504" s="8"/>
      <c r="EY504" s="8"/>
    </row>
    <row r="505" spans="1:155" s="565" customFormat="1">
      <c r="A505" s="51"/>
      <c r="B505" s="3"/>
      <c r="C505" s="3"/>
      <c r="D505" s="3"/>
      <c r="E505" s="3"/>
      <c r="F505" s="3"/>
      <c r="G505" s="3"/>
      <c r="H505" s="3"/>
      <c r="I505" s="27"/>
      <c r="J505" s="27"/>
      <c r="K505" s="27"/>
      <c r="L505" s="3"/>
      <c r="M505" s="3"/>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3"/>
      <c r="BE505" s="514"/>
      <c r="BF505" s="514"/>
      <c r="BG505" s="514"/>
      <c r="BH505" s="125"/>
      <c r="BI505" s="515"/>
      <c r="BJ505" s="515"/>
      <c r="BK505" s="515"/>
      <c r="BL505" s="515"/>
      <c r="BM505" s="515"/>
      <c r="BN505" s="515"/>
      <c r="BO505" s="515"/>
      <c r="BP505" s="515"/>
      <c r="BQ505" s="515"/>
      <c r="BR505" s="515"/>
      <c r="BS505" s="515"/>
      <c r="BT505" s="515"/>
      <c r="BU505" s="515"/>
      <c r="BV505" s="515"/>
      <c r="BW505" s="515"/>
      <c r="BX505" s="515"/>
      <c r="BY505" s="515"/>
      <c r="BZ505" s="515"/>
      <c r="CA505" s="515"/>
      <c r="CB505" s="515"/>
      <c r="CC505" s="515"/>
      <c r="CD505" s="515"/>
      <c r="CE505" s="515"/>
      <c r="CF505" s="515"/>
      <c r="CG505" s="515"/>
      <c r="CH505" s="515"/>
      <c r="CI505" s="515"/>
      <c r="CJ505" s="515"/>
      <c r="CK505" s="515"/>
      <c r="CL505" s="515"/>
      <c r="CM505" s="515"/>
      <c r="CN505" s="515"/>
      <c r="CO505" s="515"/>
      <c r="CP505" s="515"/>
      <c r="CQ505" s="515"/>
      <c r="CR505" s="515"/>
      <c r="CS505" s="515"/>
      <c r="CT505" s="515"/>
      <c r="CU505" s="515"/>
      <c r="CV505" s="515"/>
      <c r="CW505" s="515"/>
      <c r="CX505" s="515"/>
      <c r="CY505" s="515"/>
      <c r="CZ505" s="515"/>
      <c r="DA505" s="515"/>
      <c r="DB505" s="515"/>
      <c r="DC505" s="515"/>
      <c r="DD505" s="515"/>
      <c r="DE505" s="515"/>
      <c r="DF505" s="515"/>
      <c r="DG505" s="125"/>
      <c r="DH505" s="125"/>
      <c r="DI505" s="3"/>
      <c r="DJ505" s="8"/>
      <c r="DK505" s="8"/>
      <c r="DL505" s="8"/>
      <c r="DM505" s="8"/>
      <c r="DN505" s="8"/>
      <c r="DO505" s="8"/>
      <c r="DP505" s="8"/>
      <c r="DQ505" s="3"/>
      <c r="DR505" s="8"/>
      <c r="DS505" s="8"/>
      <c r="DT505" s="8"/>
      <c r="DU505" s="8"/>
      <c r="DV505" s="8"/>
      <c r="DW505" s="8"/>
      <c r="DX505" s="8"/>
      <c r="DY505" s="8"/>
      <c r="DZ505" s="8"/>
      <c r="EA505" s="8"/>
      <c r="EB505" s="8"/>
      <c r="EC505" s="8"/>
      <c r="ED505" s="8"/>
      <c r="EE505" s="8"/>
      <c r="EF505" s="8"/>
      <c r="EG505" s="8"/>
      <c r="EH505" s="8"/>
      <c r="EI505" s="8"/>
      <c r="EJ505" s="8"/>
      <c r="EK505" s="8"/>
      <c r="EL505" s="8"/>
      <c r="EM505" s="8"/>
      <c r="EN505" s="8"/>
      <c r="EO505" s="8"/>
      <c r="EP505" s="8"/>
      <c r="EQ505" s="8"/>
      <c r="ER505" s="8"/>
      <c r="ES505" s="8"/>
      <c r="ET505" s="8"/>
      <c r="EU505" s="8"/>
      <c r="EV505" s="8"/>
      <c r="EW505" s="8"/>
      <c r="EX505" s="8"/>
      <c r="EY505" s="8"/>
    </row>
    <row r="506" spans="1:155" s="565" customFormat="1">
      <c r="A506" s="51"/>
      <c r="B506" s="3"/>
      <c r="C506" s="3"/>
      <c r="D506" s="3"/>
      <c r="E506" s="3"/>
      <c r="F506" s="3"/>
      <c r="G506" s="3"/>
      <c r="H506" s="3"/>
      <c r="I506" s="27"/>
      <c r="J506" s="27"/>
      <c r="K506" s="27"/>
      <c r="L506" s="3"/>
      <c r="M506" s="3"/>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3"/>
      <c r="BE506" s="514"/>
      <c r="BF506" s="514"/>
      <c r="BG506" s="514"/>
      <c r="BH506" s="125"/>
      <c r="BI506" s="515"/>
      <c r="BJ506" s="515"/>
      <c r="BK506" s="515"/>
      <c r="BL506" s="515"/>
      <c r="BM506" s="515"/>
      <c r="BN506" s="515"/>
      <c r="BO506" s="515"/>
      <c r="BP506" s="515"/>
      <c r="BQ506" s="515"/>
      <c r="BR506" s="515"/>
      <c r="BS506" s="515"/>
      <c r="BT506" s="515"/>
      <c r="BU506" s="515"/>
      <c r="BV506" s="515"/>
      <c r="BW506" s="515"/>
      <c r="BX506" s="515"/>
      <c r="BY506" s="515"/>
      <c r="BZ506" s="515"/>
      <c r="CA506" s="515"/>
      <c r="CB506" s="515"/>
      <c r="CC506" s="515"/>
      <c r="CD506" s="515"/>
      <c r="CE506" s="515"/>
      <c r="CF506" s="515"/>
      <c r="CG506" s="515"/>
      <c r="CH506" s="515"/>
      <c r="CI506" s="515"/>
      <c r="CJ506" s="515"/>
      <c r="CK506" s="515"/>
      <c r="CL506" s="515"/>
      <c r="CM506" s="515"/>
      <c r="CN506" s="515"/>
      <c r="CO506" s="515"/>
      <c r="CP506" s="515"/>
      <c r="CQ506" s="515"/>
      <c r="CR506" s="515"/>
      <c r="CS506" s="515"/>
      <c r="CT506" s="515"/>
      <c r="CU506" s="515"/>
      <c r="CV506" s="515"/>
      <c r="CW506" s="515"/>
      <c r="CX506" s="515"/>
      <c r="CY506" s="515"/>
      <c r="CZ506" s="515"/>
      <c r="DA506" s="515"/>
      <c r="DB506" s="515"/>
      <c r="DC506" s="515"/>
      <c r="DD506" s="515"/>
      <c r="DE506" s="515"/>
      <c r="DF506" s="515"/>
      <c r="DG506" s="125"/>
      <c r="DH506" s="125"/>
      <c r="DI506" s="3"/>
      <c r="DJ506" s="8"/>
      <c r="DK506" s="8"/>
      <c r="DL506" s="8"/>
      <c r="DM506" s="8"/>
      <c r="DN506" s="8"/>
      <c r="DO506" s="8"/>
      <c r="DP506" s="8"/>
      <c r="DQ506" s="3"/>
      <c r="DR506" s="8"/>
      <c r="DS506" s="8"/>
      <c r="DT506" s="8"/>
      <c r="DU506" s="8"/>
      <c r="DV506" s="8"/>
      <c r="DW506" s="8"/>
      <c r="DX506" s="8"/>
      <c r="DY506" s="8"/>
      <c r="DZ506" s="8"/>
      <c r="EA506" s="8"/>
      <c r="EB506" s="8"/>
      <c r="EC506" s="8"/>
      <c r="ED506" s="8"/>
      <c r="EE506" s="8"/>
      <c r="EF506" s="8"/>
      <c r="EG506" s="8"/>
      <c r="EH506" s="8"/>
      <c r="EI506" s="8"/>
      <c r="EJ506" s="8"/>
      <c r="EK506" s="8"/>
      <c r="EL506" s="8"/>
      <c r="EM506" s="8"/>
      <c r="EN506" s="8"/>
      <c r="EO506" s="8"/>
      <c r="EP506" s="8"/>
      <c r="EQ506" s="8"/>
      <c r="ER506" s="8"/>
      <c r="ES506" s="8"/>
      <c r="ET506" s="8"/>
      <c r="EU506" s="8"/>
      <c r="EV506" s="8"/>
      <c r="EW506" s="8"/>
      <c r="EX506" s="8"/>
      <c r="EY506" s="8"/>
    </row>
    <row r="507" spans="1:155" s="565" customFormat="1">
      <c r="A507" s="51"/>
      <c r="B507" s="3"/>
      <c r="C507" s="3"/>
      <c r="D507" s="3"/>
      <c r="E507" s="3"/>
      <c r="F507" s="3"/>
      <c r="G507" s="3"/>
      <c r="H507" s="3"/>
      <c r="I507" s="27"/>
      <c r="J507" s="27"/>
      <c r="K507" s="27"/>
      <c r="L507" s="3"/>
      <c r="M507" s="3"/>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3"/>
      <c r="BE507" s="514"/>
      <c r="BF507" s="514"/>
      <c r="BG507" s="514"/>
      <c r="BH507" s="125"/>
      <c r="BI507" s="515"/>
      <c r="BJ507" s="515"/>
      <c r="BK507" s="515"/>
      <c r="BL507" s="515"/>
      <c r="BM507" s="515"/>
      <c r="BN507" s="515"/>
      <c r="BO507" s="515"/>
      <c r="BP507" s="515"/>
      <c r="BQ507" s="515"/>
      <c r="BR507" s="515"/>
      <c r="BS507" s="515"/>
      <c r="BT507" s="515"/>
      <c r="BU507" s="515"/>
      <c r="BV507" s="515"/>
      <c r="BW507" s="515"/>
      <c r="BX507" s="515"/>
      <c r="BY507" s="515"/>
      <c r="BZ507" s="515"/>
      <c r="CA507" s="515"/>
      <c r="CB507" s="515"/>
      <c r="CC507" s="515"/>
      <c r="CD507" s="515"/>
      <c r="CE507" s="515"/>
      <c r="CF507" s="515"/>
      <c r="CG507" s="515"/>
      <c r="CH507" s="515"/>
      <c r="CI507" s="515"/>
      <c r="CJ507" s="515"/>
      <c r="CK507" s="515"/>
      <c r="CL507" s="515"/>
      <c r="CM507" s="515"/>
      <c r="CN507" s="515"/>
      <c r="CO507" s="515"/>
      <c r="CP507" s="515"/>
      <c r="CQ507" s="515"/>
      <c r="CR507" s="515"/>
      <c r="CS507" s="515"/>
      <c r="CT507" s="515"/>
      <c r="CU507" s="515"/>
      <c r="CV507" s="515"/>
      <c r="CW507" s="515"/>
      <c r="CX507" s="515"/>
      <c r="CY507" s="515"/>
      <c r="CZ507" s="515"/>
      <c r="DA507" s="515"/>
      <c r="DB507" s="515"/>
      <c r="DC507" s="515"/>
      <c r="DD507" s="515"/>
      <c r="DE507" s="515"/>
      <c r="DF507" s="515"/>
      <c r="DG507" s="125"/>
      <c r="DH507" s="125"/>
      <c r="DI507" s="3"/>
      <c r="DJ507" s="8"/>
      <c r="DK507" s="8"/>
      <c r="DL507" s="8"/>
      <c r="DM507" s="8"/>
      <c r="DN507" s="8"/>
      <c r="DO507" s="8"/>
      <c r="DP507" s="8"/>
      <c r="DQ507" s="3"/>
      <c r="DR507" s="8"/>
      <c r="DS507" s="8"/>
      <c r="DT507" s="8"/>
      <c r="DU507" s="8"/>
      <c r="DV507" s="8"/>
      <c r="DW507" s="8"/>
      <c r="DX507" s="8"/>
      <c r="DY507" s="8"/>
      <c r="DZ507" s="8"/>
      <c r="EA507" s="8"/>
      <c r="EB507" s="8"/>
      <c r="EC507" s="8"/>
      <c r="ED507" s="8"/>
      <c r="EE507" s="8"/>
      <c r="EF507" s="8"/>
      <c r="EG507" s="8"/>
      <c r="EH507" s="8"/>
      <c r="EI507" s="8"/>
      <c r="EJ507" s="8"/>
      <c r="EK507" s="8"/>
      <c r="EL507" s="8"/>
      <c r="EM507" s="8"/>
      <c r="EN507" s="8"/>
      <c r="EO507" s="8"/>
      <c r="EP507" s="8"/>
      <c r="EQ507" s="8"/>
      <c r="ER507" s="8"/>
      <c r="ES507" s="8"/>
      <c r="ET507" s="8"/>
      <c r="EU507" s="8"/>
      <c r="EV507" s="8"/>
      <c r="EW507" s="8"/>
      <c r="EX507" s="8"/>
      <c r="EY507" s="8"/>
    </row>
    <row r="508" spans="1:155" s="565" customFormat="1">
      <c r="A508" s="51"/>
      <c r="B508" s="3"/>
      <c r="C508" s="3"/>
      <c r="D508" s="3"/>
      <c r="E508" s="3"/>
      <c r="F508" s="3"/>
      <c r="G508" s="3"/>
      <c r="H508" s="3"/>
      <c r="I508" s="27"/>
      <c r="J508" s="27"/>
      <c r="K508" s="27"/>
      <c r="L508" s="3"/>
      <c r="M508" s="3"/>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3"/>
      <c r="BE508" s="514"/>
      <c r="BF508" s="514"/>
      <c r="BG508" s="514"/>
      <c r="BH508" s="125"/>
      <c r="BI508" s="515"/>
      <c r="BJ508" s="515"/>
      <c r="BK508" s="515"/>
      <c r="BL508" s="515"/>
      <c r="BM508" s="515"/>
      <c r="BN508" s="515"/>
      <c r="BO508" s="515"/>
      <c r="BP508" s="515"/>
      <c r="BQ508" s="515"/>
      <c r="BR508" s="515"/>
      <c r="BS508" s="515"/>
      <c r="BT508" s="515"/>
      <c r="BU508" s="515"/>
      <c r="BV508" s="515"/>
      <c r="BW508" s="515"/>
      <c r="BX508" s="515"/>
      <c r="BY508" s="515"/>
      <c r="BZ508" s="515"/>
      <c r="CA508" s="515"/>
      <c r="CB508" s="515"/>
      <c r="CC508" s="515"/>
      <c r="CD508" s="515"/>
      <c r="CE508" s="515"/>
      <c r="CF508" s="515"/>
      <c r="CG508" s="515"/>
      <c r="CH508" s="515"/>
      <c r="CI508" s="515"/>
      <c r="CJ508" s="515"/>
      <c r="CK508" s="515"/>
      <c r="CL508" s="515"/>
      <c r="CM508" s="515"/>
      <c r="CN508" s="515"/>
      <c r="CO508" s="515"/>
      <c r="CP508" s="515"/>
      <c r="CQ508" s="515"/>
      <c r="CR508" s="515"/>
      <c r="CS508" s="515"/>
      <c r="CT508" s="515"/>
      <c r="CU508" s="515"/>
      <c r="CV508" s="515"/>
      <c r="CW508" s="515"/>
      <c r="CX508" s="515"/>
      <c r="CY508" s="515"/>
      <c r="CZ508" s="515"/>
      <c r="DA508" s="515"/>
      <c r="DB508" s="515"/>
      <c r="DC508" s="515"/>
      <c r="DD508" s="515"/>
      <c r="DE508" s="515"/>
      <c r="DF508" s="515"/>
      <c r="DG508" s="125"/>
      <c r="DH508" s="125"/>
      <c r="DI508" s="3"/>
      <c r="DJ508" s="8"/>
      <c r="DK508" s="8"/>
      <c r="DL508" s="8"/>
      <c r="DM508" s="8"/>
      <c r="DN508" s="8"/>
      <c r="DO508" s="8"/>
      <c r="DP508" s="8"/>
      <c r="DQ508" s="3"/>
      <c r="DR508" s="8"/>
      <c r="DS508" s="8"/>
      <c r="DT508" s="8"/>
      <c r="DU508" s="8"/>
      <c r="DV508" s="8"/>
      <c r="DW508" s="8"/>
      <c r="DX508" s="8"/>
      <c r="DY508" s="8"/>
      <c r="DZ508" s="8"/>
      <c r="EA508" s="8"/>
      <c r="EB508" s="8"/>
      <c r="EC508" s="8"/>
      <c r="ED508" s="8"/>
      <c r="EE508" s="8"/>
      <c r="EF508" s="8"/>
      <c r="EG508" s="8"/>
      <c r="EH508" s="8"/>
      <c r="EI508" s="8"/>
      <c r="EJ508" s="8"/>
      <c r="EK508" s="8"/>
      <c r="EL508" s="8"/>
      <c r="EM508" s="8"/>
      <c r="EN508" s="8"/>
      <c r="EO508" s="8"/>
      <c r="EP508" s="8"/>
      <c r="EQ508" s="8"/>
      <c r="ER508" s="8"/>
      <c r="ES508" s="8"/>
      <c r="ET508" s="8"/>
      <c r="EU508" s="8"/>
      <c r="EV508" s="8"/>
      <c r="EW508" s="8"/>
      <c r="EX508" s="8"/>
      <c r="EY508" s="8"/>
    </row>
    <row r="509" spans="1:155" s="565" customFormat="1">
      <c r="A509" s="51"/>
      <c r="B509" s="3"/>
      <c r="C509" s="3"/>
      <c r="D509" s="3"/>
      <c r="E509" s="3"/>
      <c r="F509" s="3"/>
      <c r="G509" s="3"/>
      <c r="H509" s="3"/>
      <c r="I509" s="27"/>
      <c r="J509" s="27"/>
      <c r="K509" s="27"/>
      <c r="L509" s="3"/>
      <c r="M509" s="3"/>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3"/>
      <c r="BE509" s="514"/>
      <c r="BF509" s="514"/>
      <c r="BG509" s="514"/>
      <c r="BH509" s="125"/>
      <c r="BI509" s="515"/>
      <c r="BJ509" s="515"/>
      <c r="BK509" s="515"/>
      <c r="BL509" s="515"/>
      <c r="BM509" s="515"/>
      <c r="BN509" s="515"/>
      <c r="BO509" s="515"/>
      <c r="BP509" s="515"/>
      <c r="BQ509" s="515"/>
      <c r="BR509" s="515"/>
      <c r="BS509" s="515"/>
      <c r="BT509" s="515"/>
      <c r="BU509" s="515"/>
      <c r="BV509" s="515"/>
      <c r="BW509" s="515"/>
      <c r="BX509" s="515"/>
      <c r="BY509" s="515"/>
      <c r="BZ509" s="515"/>
      <c r="CA509" s="515"/>
      <c r="CB509" s="515"/>
      <c r="CC509" s="515"/>
      <c r="CD509" s="515"/>
      <c r="CE509" s="515"/>
      <c r="CF509" s="515"/>
      <c r="CG509" s="515"/>
      <c r="CH509" s="515"/>
      <c r="CI509" s="515"/>
      <c r="CJ509" s="515"/>
      <c r="CK509" s="515"/>
      <c r="CL509" s="515"/>
      <c r="CM509" s="515"/>
      <c r="CN509" s="515"/>
      <c r="CO509" s="515"/>
      <c r="CP509" s="515"/>
      <c r="CQ509" s="515"/>
      <c r="CR509" s="515"/>
      <c r="CS509" s="515"/>
      <c r="CT509" s="515"/>
      <c r="CU509" s="515"/>
      <c r="CV509" s="515"/>
      <c r="CW509" s="515"/>
      <c r="CX509" s="515"/>
      <c r="CY509" s="515"/>
      <c r="CZ509" s="515"/>
      <c r="DA509" s="515"/>
      <c r="DB509" s="515"/>
      <c r="DC509" s="515"/>
      <c r="DD509" s="515"/>
      <c r="DE509" s="515"/>
      <c r="DF509" s="515"/>
      <c r="DG509" s="125"/>
      <c r="DH509" s="125"/>
      <c r="DI509" s="3"/>
      <c r="DJ509" s="8"/>
      <c r="DK509" s="8"/>
      <c r="DL509" s="8"/>
      <c r="DM509" s="8"/>
      <c r="DN509" s="8"/>
      <c r="DO509" s="8"/>
      <c r="DP509" s="8"/>
      <c r="DQ509" s="3"/>
      <c r="DR509" s="8"/>
      <c r="DS509" s="8"/>
      <c r="DT509" s="8"/>
      <c r="DU509" s="8"/>
      <c r="DV509" s="8"/>
      <c r="DW509" s="8"/>
      <c r="DX509" s="8"/>
      <c r="DY509" s="8"/>
      <c r="DZ509" s="8"/>
      <c r="EA509" s="8"/>
      <c r="EB509" s="8"/>
      <c r="EC509" s="8"/>
      <c r="ED509" s="8"/>
      <c r="EE509" s="8"/>
      <c r="EF509" s="8"/>
      <c r="EG509" s="8"/>
      <c r="EH509" s="8"/>
      <c r="EI509" s="8"/>
      <c r="EJ509" s="8"/>
      <c r="EK509" s="8"/>
      <c r="EL509" s="8"/>
      <c r="EM509" s="8"/>
      <c r="EN509" s="8"/>
      <c r="EO509" s="8"/>
      <c r="EP509" s="8"/>
      <c r="EQ509" s="8"/>
      <c r="ER509" s="8"/>
      <c r="ES509" s="8"/>
      <c r="ET509" s="8"/>
      <c r="EU509" s="8"/>
      <c r="EV509" s="8"/>
      <c r="EW509" s="8"/>
      <c r="EX509" s="8"/>
      <c r="EY509" s="8"/>
    </row>
    <row r="510" spans="1:155" s="565" customFormat="1">
      <c r="A510" s="51"/>
      <c r="B510" s="3"/>
      <c r="C510" s="3"/>
      <c r="D510" s="3"/>
      <c r="E510" s="3"/>
      <c r="F510" s="3"/>
      <c r="G510" s="3"/>
      <c r="H510" s="3"/>
      <c r="I510" s="27"/>
      <c r="J510" s="27"/>
      <c r="K510" s="27"/>
      <c r="L510" s="3"/>
      <c r="M510" s="3"/>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3"/>
      <c r="BE510" s="514"/>
      <c r="BF510" s="514"/>
      <c r="BG510" s="514"/>
      <c r="BH510" s="125"/>
      <c r="BI510" s="515"/>
      <c r="BJ510" s="515"/>
      <c r="BK510" s="515"/>
      <c r="BL510" s="515"/>
      <c r="BM510" s="515"/>
      <c r="BN510" s="515"/>
      <c r="BO510" s="515"/>
      <c r="BP510" s="515"/>
      <c r="BQ510" s="515"/>
      <c r="BR510" s="515"/>
      <c r="BS510" s="515"/>
      <c r="BT510" s="515"/>
      <c r="BU510" s="515"/>
      <c r="BV510" s="515"/>
      <c r="BW510" s="515"/>
      <c r="BX510" s="515"/>
      <c r="BY510" s="515"/>
      <c r="BZ510" s="515"/>
      <c r="CA510" s="515"/>
      <c r="CB510" s="515"/>
      <c r="CC510" s="515"/>
      <c r="CD510" s="515"/>
      <c r="CE510" s="515"/>
      <c r="CF510" s="515"/>
      <c r="CG510" s="515"/>
      <c r="CH510" s="515"/>
      <c r="CI510" s="515"/>
      <c r="CJ510" s="515"/>
      <c r="CK510" s="515"/>
      <c r="CL510" s="515"/>
      <c r="CM510" s="515"/>
      <c r="CN510" s="515"/>
      <c r="CO510" s="515"/>
      <c r="CP510" s="515"/>
      <c r="CQ510" s="515"/>
      <c r="CR510" s="515"/>
      <c r="CS510" s="515"/>
      <c r="CT510" s="515"/>
      <c r="CU510" s="515"/>
      <c r="CV510" s="515"/>
      <c r="CW510" s="515"/>
      <c r="CX510" s="515"/>
      <c r="CY510" s="515"/>
      <c r="CZ510" s="515"/>
      <c r="DA510" s="515"/>
      <c r="DB510" s="515"/>
      <c r="DC510" s="515"/>
      <c r="DD510" s="515"/>
      <c r="DE510" s="515"/>
      <c r="DF510" s="515"/>
      <c r="DG510" s="125"/>
      <c r="DH510" s="125"/>
      <c r="DI510" s="3"/>
      <c r="DJ510" s="8"/>
      <c r="DK510" s="8"/>
      <c r="DL510" s="8"/>
      <c r="DM510" s="8"/>
      <c r="DN510" s="8"/>
      <c r="DO510" s="8"/>
      <c r="DP510" s="8"/>
      <c r="DQ510" s="3"/>
      <c r="DR510" s="8"/>
      <c r="DS510" s="8"/>
      <c r="DT510" s="8"/>
      <c r="DU510" s="8"/>
      <c r="DV510" s="8"/>
      <c r="DW510" s="8"/>
      <c r="DX510" s="8"/>
      <c r="DY510" s="8"/>
      <c r="DZ510" s="8"/>
      <c r="EA510" s="8"/>
      <c r="EB510" s="8"/>
      <c r="EC510" s="8"/>
      <c r="ED510" s="8"/>
      <c r="EE510" s="8"/>
      <c r="EF510" s="8"/>
      <c r="EG510" s="8"/>
      <c r="EH510" s="8"/>
      <c r="EI510" s="8"/>
      <c r="EJ510" s="8"/>
      <c r="EK510" s="8"/>
      <c r="EL510" s="8"/>
      <c r="EM510" s="8"/>
      <c r="EN510" s="8"/>
      <c r="EO510" s="8"/>
      <c r="EP510" s="8"/>
      <c r="EQ510" s="8"/>
      <c r="ER510" s="8"/>
      <c r="ES510" s="8"/>
      <c r="ET510" s="8"/>
      <c r="EU510" s="8"/>
      <c r="EV510" s="8"/>
      <c r="EW510" s="8"/>
      <c r="EX510" s="8"/>
      <c r="EY510" s="8"/>
    </row>
    <row r="511" spans="1:155" s="565" customFormat="1">
      <c r="A511" s="51"/>
      <c r="B511" s="3"/>
      <c r="C511" s="3"/>
      <c r="D511" s="3"/>
      <c r="E511" s="3"/>
      <c r="F511" s="3"/>
      <c r="G511" s="3"/>
      <c r="H511" s="3"/>
      <c r="I511" s="27"/>
      <c r="J511" s="27"/>
      <c r="K511" s="27"/>
      <c r="L511" s="3"/>
      <c r="M511" s="3"/>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14"/>
      <c r="BC511" s="14"/>
      <c r="BD511" s="3"/>
      <c r="BE511" s="514"/>
      <c r="BF511" s="514"/>
      <c r="BG511" s="514"/>
      <c r="BH511" s="125"/>
      <c r="BI511" s="515"/>
      <c r="BJ511" s="515"/>
      <c r="BK511" s="515"/>
      <c r="BL511" s="515"/>
      <c r="BM511" s="515"/>
      <c r="BN511" s="515"/>
      <c r="BO511" s="515"/>
      <c r="BP511" s="515"/>
      <c r="BQ511" s="515"/>
      <c r="BR511" s="515"/>
      <c r="BS511" s="515"/>
      <c r="BT511" s="515"/>
      <c r="BU511" s="515"/>
      <c r="BV511" s="515"/>
      <c r="BW511" s="515"/>
      <c r="BX511" s="515"/>
      <c r="BY511" s="515"/>
      <c r="BZ511" s="515"/>
      <c r="CA511" s="515"/>
      <c r="CB511" s="515"/>
      <c r="CC511" s="515"/>
      <c r="CD511" s="515"/>
      <c r="CE511" s="515"/>
      <c r="CF511" s="515"/>
      <c r="CG511" s="515"/>
      <c r="CH511" s="515"/>
      <c r="CI511" s="515"/>
      <c r="CJ511" s="515"/>
      <c r="CK511" s="515"/>
      <c r="CL511" s="515"/>
      <c r="CM511" s="515"/>
      <c r="CN511" s="515"/>
      <c r="CO511" s="515"/>
      <c r="CP511" s="515"/>
      <c r="CQ511" s="515"/>
      <c r="CR511" s="515"/>
      <c r="CS511" s="515"/>
      <c r="CT511" s="515"/>
      <c r="CU511" s="515"/>
      <c r="CV511" s="515"/>
      <c r="CW511" s="515"/>
      <c r="CX511" s="515"/>
      <c r="CY511" s="515"/>
      <c r="CZ511" s="515"/>
      <c r="DA511" s="515"/>
      <c r="DB511" s="515"/>
      <c r="DC511" s="515"/>
      <c r="DD511" s="515"/>
      <c r="DE511" s="515"/>
      <c r="DF511" s="515"/>
      <c r="DG511" s="125"/>
      <c r="DH511" s="125"/>
      <c r="DI511" s="3"/>
      <c r="DJ511" s="8"/>
      <c r="DK511" s="8"/>
      <c r="DL511" s="8"/>
      <c r="DM511" s="8"/>
      <c r="DN511" s="8"/>
      <c r="DO511" s="8"/>
      <c r="DP511" s="8"/>
      <c r="DQ511" s="3"/>
      <c r="DR511" s="8"/>
      <c r="DS511" s="8"/>
      <c r="DT511" s="8"/>
      <c r="DU511" s="8"/>
      <c r="DV511" s="8"/>
      <c r="DW511" s="8"/>
      <c r="DX511" s="8"/>
      <c r="DY511" s="8"/>
      <c r="DZ511" s="8"/>
      <c r="EA511" s="8"/>
      <c r="EB511" s="8"/>
      <c r="EC511" s="8"/>
      <c r="ED511" s="8"/>
      <c r="EE511" s="8"/>
      <c r="EF511" s="8"/>
      <c r="EG511" s="8"/>
      <c r="EH511" s="8"/>
      <c r="EI511" s="8"/>
      <c r="EJ511" s="8"/>
      <c r="EK511" s="8"/>
      <c r="EL511" s="8"/>
      <c r="EM511" s="8"/>
      <c r="EN511" s="8"/>
      <c r="EO511" s="8"/>
      <c r="EP511" s="8"/>
      <c r="EQ511" s="8"/>
      <c r="ER511" s="8"/>
      <c r="ES511" s="8"/>
      <c r="ET511" s="8"/>
      <c r="EU511" s="8"/>
      <c r="EV511" s="8"/>
      <c r="EW511" s="8"/>
      <c r="EX511" s="8"/>
      <c r="EY511" s="8"/>
    </row>
    <row r="512" spans="1:155" s="573" customFormat="1">
      <c r="A512" s="51"/>
      <c r="B512" s="3"/>
      <c r="C512" s="3"/>
      <c r="D512" s="3"/>
      <c r="E512" s="3"/>
      <c r="F512" s="3"/>
      <c r="G512" s="3"/>
      <c r="H512" s="3"/>
      <c r="I512" s="27"/>
      <c r="J512" s="27"/>
      <c r="K512" s="27"/>
      <c r="L512" s="3"/>
      <c r="M512" s="3"/>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3"/>
      <c r="BE512" s="514"/>
      <c r="BF512" s="514"/>
      <c r="BG512" s="514"/>
      <c r="BH512" s="125"/>
      <c r="BI512" s="515"/>
      <c r="BJ512" s="515"/>
      <c r="BK512" s="515"/>
      <c r="BL512" s="515"/>
      <c r="BM512" s="515"/>
      <c r="BN512" s="515"/>
      <c r="BO512" s="515"/>
      <c r="BP512" s="515"/>
      <c r="BQ512" s="515"/>
      <c r="BR512" s="515"/>
      <c r="BS512" s="515"/>
      <c r="BT512" s="515"/>
      <c r="BU512" s="515"/>
      <c r="BV512" s="515"/>
      <c r="BW512" s="515"/>
      <c r="BX512" s="515"/>
      <c r="BY512" s="515"/>
      <c r="BZ512" s="515"/>
      <c r="CA512" s="515"/>
      <c r="CB512" s="515"/>
      <c r="CC512" s="515"/>
      <c r="CD512" s="515"/>
      <c r="CE512" s="515"/>
      <c r="CF512" s="515"/>
      <c r="CG512" s="515"/>
      <c r="CH512" s="515"/>
      <c r="CI512" s="515"/>
      <c r="CJ512" s="515"/>
      <c r="CK512" s="515"/>
      <c r="CL512" s="515"/>
      <c r="CM512" s="515"/>
      <c r="CN512" s="515"/>
      <c r="CO512" s="515"/>
      <c r="CP512" s="515"/>
      <c r="CQ512" s="515"/>
      <c r="CR512" s="515"/>
      <c r="CS512" s="515"/>
      <c r="CT512" s="515"/>
      <c r="CU512" s="515"/>
      <c r="CV512" s="515"/>
      <c r="CW512" s="515"/>
      <c r="CX512" s="515"/>
      <c r="CY512" s="515"/>
      <c r="CZ512" s="515"/>
      <c r="DA512" s="515"/>
      <c r="DB512" s="515"/>
      <c r="DC512" s="515"/>
      <c r="DD512" s="515"/>
      <c r="DE512" s="515"/>
      <c r="DF512" s="515"/>
      <c r="DG512" s="125"/>
      <c r="DH512" s="125"/>
      <c r="DI512" s="3"/>
      <c r="DJ512" s="8"/>
      <c r="DK512" s="8"/>
      <c r="DL512" s="8"/>
      <c r="DM512" s="8"/>
      <c r="DN512" s="8"/>
      <c r="DO512" s="8"/>
      <c r="DP512" s="8"/>
      <c r="DQ512" s="3"/>
      <c r="DR512" s="8"/>
      <c r="DS512" s="8"/>
      <c r="DT512" s="8"/>
      <c r="DU512" s="8"/>
      <c r="DV512" s="8"/>
      <c r="DW512" s="8"/>
      <c r="DX512" s="8"/>
      <c r="DY512" s="8"/>
      <c r="DZ512" s="8"/>
      <c r="EA512" s="8"/>
      <c r="EB512" s="8"/>
      <c r="EC512" s="8"/>
      <c r="ED512" s="8"/>
      <c r="EE512" s="8"/>
      <c r="EF512" s="8"/>
      <c r="EG512" s="8"/>
      <c r="EH512" s="8"/>
      <c r="EI512" s="8"/>
      <c r="EJ512" s="8"/>
      <c r="EK512" s="8"/>
      <c r="EL512" s="8"/>
      <c r="EM512" s="8"/>
      <c r="EN512" s="8"/>
      <c r="EO512" s="8"/>
      <c r="EP512" s="8"/>
      <c r="EQ512" s="8"/>
      <c r="ER512" s="8"/>
      <c r="ES512" s="8"/>
      <c r="ET512" s="8"/>
      <c r="EU512" s="8"/>
      <c r="EV512" s="8"/>
      <c r="EW512" s="8"/>
      <c r="EX512" s="8"/>
      <c r="EY512" s="8"/>
    </row>
    <row r="513" spans="1:155" s="573" customFormat="1">
      <c r="A513" s="51"/>
      <c r="B513" s="3"/>
      <c r="C513" s="3"/>
      <c r="D513" s="3"/>
      <c r="E513" s="3"/>
      <c r="F513" s="3"/>
      <c r="G513" s="3"/>
      <c r="H513" s="3"/>
      <c r="I513" s="27"/>
      <c r="J513" s="27"/>
      <c r="K513" s="27"/>
      <c r="L513" s="3"/>
      <c r="M513" s="3"/>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14"/>
      <c r="BC513" s="14"/>
      <c r="BD513" s="3"/>
      <c r="BE513" s="514"/>
      <c r="BF513" s="514"/>
      <c r="BG513" s="514"/>
      <c r="BH513" s="125"/>
      <c r="BI513" s="515"/>
      <c r="BJ513" s="515"/>
      <c r="BK513" s="515"/>
      <c r="BL513" s="515"/>
      <c r="BM513" s="515"/>
      <c r="BN513" s="515"/>
      <c r="BO513" s="515"/>
      <c r="BP513" s="515"/>
      <c r="BQ513" s="515"/>
      <c r="BR513" s="515"/>
      <c r="BS513" s="515"/>
      <c r="BT513" s="515"/>
      <c r="BU513" s="515"/>
      <c r="BV513" s="515"/>
      <c r="BW513" s="515"/>
      <c r="BX513" s="515"/>
      <c r="BY513" s="515"/>
      <c r="BZ513" s="515"/>
      <c r="CA513" s="515"/>
      <c r="CB513" s="515"/>
      <c r="CC513" s="515"/>
      <c r="CD513" s="515"/>
      <c r="CE513" s="515"/>
      <c r="CF513" s="515"/>
      <c r="CG513" s="515"/>
      <c r="CH513" s="515"/>
      <c r="CI513" s="515"/>
      <c r="CJ513" s="515"/>
      <c r="CK513" s="515"/>
      <c r="CL513" s="515"/>
      <c r="CM513" s="515"/>
      <c r="CN513" s="515"/>
      <c r="CO513" s="515"/>
      <c r="CP513" s="515"/>
      <c r="CQ513" s="515"/>
      <c r="CR513" s="515"/>
      <c r="CS513" s="515"/>
      <c r="CT513" s="515"/>
      <c r="CU513" s="515"/>
      <c r="CV513" s="515"/>
      <c r="CW513" s="515"/>
      <c r="CX513" s="515"/>
      <c r="CY513" s="515"/>
      <c r="CZ513" s="515"/>
      <c r="DA513" s="515"/>
      <c r="DB513" s="515"/>
      <c r="DC513" s="515"/>
      <c r="DD513" s="515"/>
      <c r="DE513" s="515"/>
      <c r="DF513" s="515"/>
      <c r="DG513" s="125"/>
      <c r="DH513" s="125"/>
      <c r="DI513" s="3"/>
      <c r="DJ513" s="8"/>
      <c r="DK513" s="8"/>
      <c r="DL513" s="8"/>
      <c r="DM513" s="8"/>
      <c r="DN513" s="8"/>
      <c r="DO513" s="8"/>
      <c r="DP513" s="8"/>
      <c r="DQ513" s="3"/>
      <c r="DR513" s="8"/>
      <c r="DS513" s="8"/>
      <c r="DT513" s="8"/>
      <c r="DU513" s="8"/>
      <c r="DV513" s="8"/>
      <c r="DW513" s="8"/>
      <c r="DX513" s="8"/>
      <c r="DY513" s="8"/>
      <c r="DZ513" s="8"/>
      <c r="EA513" s="8"/>
      <c r="EB513" s="8"/>
      <c r="EC513" s="8"/>
      <c r="ED513" s="8"/>
      <c r="EE513" s="8"/>
      <c r="EF513" s="8"/>
      <c r="EG513" s="8"/>
      <c r="EH513" s="8"/>
      <c r="EI513" s="8"/>
      <c r="EJ513" s="8"/>
      <c r="EK513" s="8"/>
      <c r="EL513" s="8"/>
      <c r="EM513" s="8"/>
      <c r="EN513" s="8"/>
      <c r="EO513" s="8"/>
      <c r="EP513" s="8"/>
      <c r="EQ513" s="8"/>
      <c r="ER513" s="8"/>
      <c r="ES513" s="8"/>
      <c r="ET513" s="8"/>
      <c r="EU513" s="8"/>
      <c r="EV513" s="8"/>
      <c r="EW513" s="8"/>
      <c r="EX513" s="8"/>
      <c r="EY513" s="8"/>
    </row>
    <row r="514" spans="1:155" s="573" customFormat="1">
      <c r="A514" s="51"/>
      <c r="B514" s="3"/>
      <c r="C514" s="3"/>
      <c r="D514" s="3"/>
      <c r="E514" s="3"/>
      <c r="F514" s="3"/>
      <c r="G514" s="3"/>
      <c r="H514" s="3"/>
      <c r="I514" s="27"/>
      <c r="J514" s="27"/>
      <c r="K514" s="27"/>
      <c r="L514" s="3"/>
      <c r="M514" s="3"/>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3"/>
      <c r="BE514" s="514"/>
      <c r="BF514" s="514"/>
      <c r="BG514" s="514"/>
      <c r="BH514" s="125"/>
      <c r="BI514" s="515"/>
      <c r="BJ514" s="515"/>
      <c r="BK514" s="515"/>
      <c r="BL514" s="515"/>
      <c r="BM514" s="515"/>
      <c r="BN514" s="515"/>
      <c r="BO514" s="515"/>
      <c r="BP514" s="515"/>
      <c r="BQ514" s="515"/>
      <c r="BR514" s="515"/>
      <c r="BS514" s="515"/>
      <c r="BT514" s="515"/>
      <c r="BU514" s="515"/>
      <c r="BV514" s="515"/>
      <c r="BW514" s="515"/>
      <c r="BX514" s="515"/>
      <c r="BY514" s="515"/>
      <c r="BZ514" s="515"/>
      <c r="CA514" s="515"/>
      <c r="CB514" s="515"/>
      <c r="CC514" s="515"/>
      <c r="CD514" s="515"/>
      <c r="CE514" s="515"/>
      <c r="CF514" s="515"/>
      <c r="CG514" s="515"/>
      <c r="CH514" s="515"/>
      <c r="CI514" s="515"/>
      <c r="CJ514" s="515"/>
      <c r="CK514" s="515"/>
      <c r="CL514" s="515"/>
      <c r="CM514" s="515"/>
      <c r="CN514" s="515"/>
      <c r="CO514" s="515"/>
      <c r="CP514" s="515"/>
      <c r="CQ514" s="515"/>
      <c r="CR514" s="515"/>
      <c r="CS514" s="515"/>
      <c r="CT514" s="515"/>
      <c r="CU514" s="515"/>
      <c r="CV514" s="515"/>
      <c r="CW514" s="515"/>
      <c r="CX514" s="515"/>
      <c r="CY514" s="515"/>
      <c r="CZ514" s="515"/>
      <c r="DA514" s="515"/>
      <c r="DB514" s="515"/>
      <c r="DC514" s="515"/>
      <c r="DD514" s="515"/>
      <c r="DE514" s="515"/>
      <c r="DF514" s="515"/>
      <c r="DG514" s="125"/>
      <c r="DH514" s="125"/>
      <c r="DI514" s="3"/>
      <c r="DJ514" s="8"/>
      <c r="DK514" s="8"/>
      <c r="DL514" s="8"/>
      <c r="DM514" s="8"/>
      <c r="DN514" s="8"/>
      <c r="DO514" s="8"/>
      <c r="DP514" s="8"/>
      <c r="DQ514" s="3"/>
      <c r="DR514" s="8"/>
      <c r="DS514" s="8"/>
      <c r="DT514" s="8"/>
      <c r="DU514" s="8"/>
      <c r="DV514" s="8"/>
      <c r="DW514" s="8"/>
      <c r="DX514" s="8"/>
      <c r="DY514" s="8"/>
      <c r="DZ514" s="8"/>
      <c r="EA514" s="8"/>
      <c r="EB514" s="8"/>
      <c r="EC514" s="8"/>
      <c r="ED514" s="8"/>
      <c r="EE514" s="8"/>
      <c r="EF514" s="8"/>
      <c r="EG514" s="8"/>
      <c r="EH514" s="8"/>
      <c r="EI514" s="8"/>
      <c r="EJ514" s="8"/>
      <c r="EK514" s="8"/>
      <c r="EL514" s="8"/>
      <c r="EM514" s="8"/>
      <c r="EN514" s="8"/>
      <c r="EO514" s="8"/>
      <c r="EP514" s="8"/>
      <c r="EQ514" s="8"/>
      <c r="ER514" s="8"/>
      <c r="ES514" s="8"/>
      <c r="ET514" s="8"/>
      <c r="EU514" s="8"/>
      <c r="EV514" s="8"/>
      <c r="EW514" s="8"/>
      <c r="EX514" s="8"/>
      <c r="EY514" s="8"/>
    </row>
    <row r="515" spans="1:155" s="573" customFormat="1">
      <c r="A515" s="51"/>
      <c r="B515" s="3"/>
      <c r="C515" s="3"/>
      <c r="D515" s="3"/>
      <c r="E515" s="3"/>
      <c r="F515" s="3"/>
      <c r="G515" s="3"/>
      <c r="H515" s="3"/>
      <c r="I515" s="27"/>
      <c r="J515" s="27"/>
      <c r="K515" s="27"/>
      <c r="L515" s="3"/>
      <c r="M515" s="3"/>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3"/>
      <c r="BE515" s="514"/>
      <c r="BF515" s="514"/>
      <c r="BG515" s="514"/>
      <c r="BH515" s="125"/>
      <c r="BI515" s="515"/>
      <c r="BJ515" s="515"/>
      <c r="BK515" s="515"/>
      <c r="BL515" s="515"/>
      <c r="BM515" s="515"/>
      <c r="BN515" s="515"/>
      <c r="BO515" s="515"/>
      <c r="BP515" s="515"/>
      <c r="BQ515" s="515"/>
      <c r="BR515" s="515"/>
      <c r="BS515" s="515"/>
      <c r="BT515" s="515"/>
      <c r="BU515" s="515"/>
      <c r="BV515" s="515"/>
      <c r="BW515" s="515"/>
      <c r="BX515" s="515"/>
      <c r="BY515" s="515"/>
      <c r="BZ515" s="515"/>
      <c r="CA515" s="515"/>
      <c r="CB515" s="515"/>
      <c r="CC515" s="515"/>
      <c r="CD515" s="515"/>
      <c r="CE515" s="515"/>
      <c r="CF515" s="515"/>
      <c r="CG515" s="515"/>
      <c r="CH515" s="515"/>
      <c r="CI515" s="515"/>
      <c r="CJ515" s="515"/>
      <c r="CK515" s="515"/>
      <c r="CL515" s="515"/>
      <c r="CM515" s="515"/>
      <c r="CN515" s="515"/>
      <c r="CO515" s="515"/>
      <c r="CP515" s="515"/>
      <c r="CQ515" s="515"/>
      <c r="CR515" s="515"/>
      <c r="CS515" s="515"/>
      <c r="CT515" s="515"/>
      <c r="CU515" s="515"/>
      <c r="CV515" s="515"/>
      <c r="CW515" s="515"/>
      <c r="CX515" s="515"/>
      <c r="CY515" s="515"/>
      <c r="CZ515" s="515"/>
      <c r="DA515" s="515"/>
      <c r="DB515" s="515"/>
      <c r="DC515" s="515"/>
      <c r="DD515" s="515"/>
      <c r="DE515" s="515"/>
      <c r="DF515" s="515"/>
      <c r="DG515" s="125"/>
      <c r="DH515" s="125"/>
      <c r="DI515" s="3"/>
      <c r="DJ515" s="8"/>
      <c r="DK515" s="8"/>
      <c r="DL515" s="8"/>
      <c r="DM515" s="8"/>
      <c r="DN515" s="8"/>
      <c r="DO515" s="8"/>
      <c r="DP515" s="8"/>
      <c r="DQ515" s="3"/>
      <c r="DR515" s="8"/>
      <c r="DS515" s="8"/>
      <c r="DT515" s="8"/>
      <c r="DU515" s="8"/>
      <c r="DV515" s="8"/>
      <c r="DW515" s="8"/>
      <c r="DX515" s="8"/>
      <c r="DY515" s="8"/>
      <c r="DZ515" s="8"/>
      <c r="EA515" s="8"/>
      <c r="EB515" s="8"/>
      <c r="EC515" s="8"/>
      <c r="ED515" s="8"/>
      <c r="EE515" s="8"/>
      <c r="EF515" s="8"/>
      <c r="EG515" s="8"/>
      <c r="EH515" s="8"/>
      <c r="EI515" s="8"/>
      <c r="EJ515" s="8"/>
      <c r="EK515" s="8"/>
      <c r="EL515" s="8"/>
      <c r="EM515" s="8"/>
      <c r="EN515" s="8"/>
      <c r="EO515" s="8"/>
      <c r="EP515" s="8"/>
      <c r="EQ515" s="8"/>
      <c r="ER515" s="8"/>
      <c r="ES515" s="8"/>
      <c r="ET515" s="8"/>
      <c r="EU515" s="8"/>
      <c r="EV515" s="8"/>
      <c r="EW515" s="8"/>
      <c r="EX515" s="8"/>
      <c r="EY515" s="8"/>
    </row>
    <row r="516" spans="1:155" s="573" customFormat="1">
      <c r="A516" s="51"/>
      <c r="B516" s="3"/>
      <c r="C516" s="3"/>
      <c r="D516" s="3"/>
      <c r="E516" s="3"/>
      <c r="F516" s="3"/>
      <c r="G516" s="3"/>
      <c r="H516" s="3"/>
      <c r="I516" s="27"/>
      <c r="J516" s="27"/>
      <c r="K516" s="27"/>
      <c r="L516" s="3"/>
      <c r="M516" s="3"/>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14"/>
      <c r="BC516" s="14"/>
      <c r="BD516" s="3"/>
      <c r="BE516" s="514"/>
      <c r="BF516" s="514"/>
      <c r="BG516" s="514"/>
      <c r="BH516" s="125"/>
      <c r="BI516" s="515"/>
      <c r="BJ516" s="515"/>
      <c r="BK516" s="515"/>
      <c r="BL516" s="515"/>
      <c r="BM516" s="515"/>
      <c r="BN516" s="515"/>
      <c r="BO516" s="515"/>
      <c r="BP516" s="515"/>
      <c r="BQ516" s="515"/>
      <c r="BR516" s="515"/>
      <c r="BS516" s="515"/>
      <c r="BT516" s="515"/>
      <c r="BU516" s="515"/>
      <c r="BV516" s="515"/>
      <c r="BW516" s="515"/>
      <c r="BX516" s="515"/>
      <c r="BY516" s="515"/>
      <c r="BZ516" s="515"/>
      <c r="CA516" s="515"/>
      <c r="CB516" s="515"/>
      <c r="CC516" s="515"/>
      <c r="CD516" s="515"/>
      <c r="CE516" s="515"/>
      <c r="CF516" s="515"/>
      <c r="CG516" s="515"/>
      <c r="CH516" s="515"/>
      <c r="CI516" s="515"/>
      <c r="CJ516" s="515"/>
      <c r="CK516" s="515"/>
      <c r="CL516" s="515"/>
      <c r="CM516" s="515"/>
      <c r="CN516" s="515"/>
      <c r="CO516" s="515"/>
      <c r="CP516" s="515"/>
      <c r="CQ516" s="515"/>
      <c r="CR516" s="515"/>
      <c r="CS516" s="515"/>
      <c r="CT516" s="515"/>
      <c r="CU516" s="515"/>
      <c r="CV516" s="515"/>
      <c r="CW516" s="515"/>
      <c r="CX516" s="515"/>
      <c r="CY516" s="515"/>
      <c r="CZ516" s="515"/>
      <c r="DA516" s="515"/>
      <c r="DB516" s="515"/>
      <c r="DC516" s="515"/>
      <c r="DD516" s="515"/>
      <c r="DE516" s="515"/>
      <c r="DF516" s="515"/>
      <c r="DG516" s="125"/>
      <c r="DH516" s="125"/>
      <c r="DI516" s="3"/>
      <c r="DJ516" s="8"/>
      <c r="DK516" s="8"/>
      <c r="DL516" s="8"/>
      <c r="DM516" s="8"/>
      <c r="DN516" s="8"/>
      <c r="DO516" s="8"/>
      <c r="DP516" s="8"/>
      <c r="DQ516" s="3"/>
      <c r="DR516" s="8"/>
      <c r="DS516" s="8"/>
      <c r="DT516" s="8"/>
      <c r="DU516" s="8"/>
      <c r="DV516" s="8"/>
      <c r="DW516" s="8"/>
      <c r="DX516" s="8"/>
      <c r="DY516" s="8"/>
      <c r="DZ516" s="8"/>
      <c r="EA516" s="8"/>
      <c r="EB516" s="8"/>
      <c r="EC516" s="8"/>
      <c r="ED516" s="8"/>
      <c r="EE516" s="8"/>
      <c r="EF516" s="8"/>
      <c r="EG516" s="8"/>
      <c r="EH516" s="8"/>
      <c r="EI516" s="8"/>
      <c r="EJ516" s="8"/>
      <c r="EK516" s="8"/>
      <c r="EL516" s="8"/>
      <c r="EM516" s="8"/>
      <c r="EN516" s="8"/>
      <c r="EO516" s="8"/>
      <c r="EP516" s="8"/>
      <c r="EQ516" s="8"/>
      <c r="ER516" s="8"/>
      <c r="ES516" s="8"/>
      <c r="ET516" s="8"/>
      <c r="EU516" s="8"/>
      <c r="EV516" s="8"/>
      <c r="EW516" s="8"/>
      <c r="EX516" s="8"/>
      <c r="EY516" s="8"/>
    </row>
    <row r="517" spans="1:155" s="573" customFormat="1">
      <c r="A517" s="51"/>
      <c r="B517" s="3"/>
      <c r="C517" s="3"/>
      <c r="D517" s="3"/>
      <c r="E517" s="3"/>
      <c r="F517" s="3"/>
      <c r="G517" s="3"/>
      <c r="H517" s="3"/>
      <c r="I517" s="27"/>
      <c r="J517" s="27"/>
      <c r="K517" s="27"/>
      <c r="L517" s="3"/>
      <c r="M517" s="3"/>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14"/>
      <c r="BC517" s="14"/>
      <c r="BD517" s="3"/>
      <c r="BE517" s="514"/>
      <c r="BF517" s="514"/>
      <c r="BG517" s="514"/>
      <c r="BH517" s="125"/>
      <c r="BI517" s="515"/>
      <c r="BJ517" s="515"/>
      <c r="BK517" s="515"/>
      <c r="BL517" s="515"/>
      <c r="BM517" s="515"/>
      <c r="BN517" s="515"/>
      <c r="BO517" s="515"/>
      <c r="BP517" s="515"/>
      <c r="BQ517" s="515"/>
      <c r="BR517" s="515"/>
      <c r="BS517" s="515"/>
      <c r="BT517" s="515"/>
      <c r="BU517" s="515"/>
      <c r="BV517" s="515"/>
      <c r="BW517" s="515"/>
      <c r="BX517" s="515"/>
      <c r="BY517" s="515"/>
      <c r="BZ517" s="515"/>
      <c r="CA517" s="515"/>
      <c r="CB517" s="515"/>
      <c r="CC517" s="515"/>
      <c r="CD517" s="515"/>
      <c r="CE517" s="515"/>
      <c r="CF517" s="515"/>
      <c r="CG517" s="515"/>
      <c r="CH517" s="515"/>
      <c r="CI517" s="515"/>
      <c r="CJ517" s="515"/>
      <c r="CK517" s="515"/>
      <c r="CL517" s="515"/>
      <c r="CM517" s="515"/>
      <c r="CN517" s="515"/>
      <c r="CO517" s="515"/>
      <c r="CP517" s="515"/>
      <c r="CQ517" s="515"/>
      <c r="CR517" s="515"/>
      <c r="CS517" s="515"/>
      <c r="CT517" s="515"/>
      <c r="CU517" s="515"/>
      <c r="CV517" s="515"/>
      <c r="CW517" s="515"/>
      <c r="CX517" s="515"/>
      <c r="CY517" s="515"/>
      <c r="CZ517" s="515"/>
      <c r="DA517" s="515"/>
      <c r="DB517" s="515"/>
      <c r="DC517" s="515"/>
      <c r="DD517" s="515"/>
      <c r="DE517" s="515"/>
      <c r="DF517" s="515"/>
      <c r="DG517" s="125"/>
      <c r="DH517" s="125"/>
      <c r="DI517" s="3"/>
      <c r="DJ517" s="8"/>
      <c r="DK517" s="8"/>
      <c r="DL517" s="8"/>
      <c r="DM517" s="8"/>
      <c r="DN517" s="8"/>
      <c r="DO517" s="8"/>
      <c r="DP517" s="8"/>
      <c r="DQ517" s="3"/>
      <c r="DR517" s="8"/>
      <c r="DS517" s="8"/>
      <c r="DT517" s="8"/>
      <c r="DU517" s="8"/>
      <c r="DV517" s="8"/>
      <c r="DW517" s="8"/>
      <c r="DX517" s="8"/>
      <c r="DY517" s="8"/>
      <c r="DZ517" s="8"/>
      <c r="EA517" s="8"/>
      <c r="EB517" s="8"/>
      <c r="EC517" s="8"/>
      <c r="ED517" s="8"/>
      <c r="EE517" s="8"/>
      <c r="EF517" s="8"/>
      <c r="EG517" s="8"/>
      <c r="EH517" s="8"/>
      <c r="EI517" s="8"/>
      <c r="EJ517" s="8"/>
      <c r="EK517" s="8"/>
      <c r="EL517" s="8"/>
      <c r="EM517" s="8"/>
      <c r="EN517" s="8"/>
      <c r="EO517" s="8"/>
      <c r="EP517" s="8"/>
      <c r="EQ517" s="8"/>
      <c r="ER517" s="8"/>
      <c r="ES517" s="8"/>
      <c r="ET517" s="8"/>
      <c r="EU517" s="8"/>
      <c r="EV517" s="8"/>
      <c r="EW517" s="8"/>
      <c r="EX517" s="8"/>
      <c r="EY517" s="8"/>
    </row>
    <row r="518" spans="1:155" s="573" customFormat="1">
      <c r="A518" s="51"/>
      <c r="B518" s="3"/>
      <c r="C518" s="3"/>
      <c r="D518" s="3"/>
      <c r="E518" s="3"/>
      <c r="F518" s="3"/>
      <c r="G518" s="3"/>
      <c r="H518" s="3"/>
      <c r="I518" s="27"/>
      <c r="J518" s="27"/>
      <c r="K518" s="27"/>
      <c r="L518" s="3"/>
      <c r="M518" s="3"/>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3"/>
      <c r="BE518" s="514"/>
      <c r="BF518" s="514"/>
      <c r="BG518" s="514"/>
      <c r="BH518" s="125"/>
      <c r="BI518" s="515"/>
      <c r="BJ518" s="515"/>
      <c r="BK518" s="515"/>
      <c r="BL518" s="515"/>
      <c r="BM518" s="515"/>
      <c r="BN518" s="515"/>
      <c r="BO518" s="515"/>
      <c r="BP518" s="515"/>
      <c r="BQ518" s="515"/>
      <c r="BR518" s="515"/>
      <c r="BS518" s="515"/>
      <c r="BT518" s="515"/>
      <c r="BU518" s="515"/>
      <c r="BV518" s="515"/>
      <c r="BW518" s="515"/>
      <c r="BX518" s="515"/>
      <c r="BY518" s="515"/>
      <c r="BZ518" s="515"/>
      <c r="CA518" s="515"/>
      <c r="CB518" s="515"/>
      <c r="CC518" s="515"/>
      <c r="CD518" s="515"/>
      <c r="CE518" s="515"/>
      <c r="CF518" s="515"/>
      <c r="CG518" s="515"/>
      <c r="CH518" s="515"/>
      <c r="CI518" s="515"/>
      <c r="CJ518" s="515"/>
      <c r="CK518" s="515"/>
      <c r="CL518" s="515"/>
      <c r="CM518" s="515"/>
      <c r="CN518" s="515"/>
      <c r="CO518" s="515"/>
      <c r="CP518" s="515"/>
      <c r="CQ518" s="515"/>
      <c r="CR518" s="515"/>
      <c r="CS518" s="515"/>
      <c r="CT518" s="515"/>
      <c r="CU518" s="515"/>
      <c r="CV518" s="515"/>
      <c r="CW518" s="515"/>
      <c r="CX518" s="515"/>
      <c r="CY518" s="515"/>
      <c r="CZ518" s="515"/>
      <c r="DA518" s="515"/>
      <c r="DB518" s="515"/>
      <c r="DC518" s="515"/>
      <c r="DD518" s="515"/>
      <c r="DE518" s="515"/>
      <c r="DF518" s="515"/>
      <c r="DG518" s="125"/>
      <c r="DH518" s="125"/>
      <c r="DI518" s="3"/>
      <c r="DJ518" s="8"/>
      <c r="DK518" s="8"/>
      <c r="DL518" s="8"/>
      <c r="DM518" s="8"/>
      <c r="DN518" s="8"/>
      <c r="DO518" s="8"/>
      <c r="DP518" s="8"/>
      <c r="DQ518" s="3"/>
      <c r="DR518" s="8"/>
      <c r="DS518" s="8"/>
      <c r="DT518" s="8"/>
      <c r="DU518" s="8"/>
      <c r="DV518" s="8"/>
      <c r="DW518" s="8"/>
      <c r="DX518" s="8"/>
      <c r="DY518" s="8"/>
      <c r="DZ518" s="8"/>
      <c r="EA518" s="8"/>
      <c r="EB518" s="8"/>
      <c r="EC518" s="8"/>
      <c r="ED518" s="8"/>
      <c r="EE518" s="8"/>
      <c r="EF518" s="8"/>
      <c r="EG518" s="8"/>
      <c r="EH518" s="8"/>
      <c r="EI518" s="8"/>
      <c r="EJ518" s="8"/>
      <c r="EK518" s="8"/>
      <c r="EL518" s="8"/>
      <c r="EM518" s="8"/>
      <c r="EN518" s="8"/>
      <c r="EO518" s="8"/>
      <c r="EP518" s="8"/>
      <c r="EQ518" s="8"/>
      <c r="ER518" s="8"/>
      <c r="ES518" s="8"/>
      <c r="ET518" s="8"/>
      <c r="EU518" s="8"/>
      <c r="EV518" s="8"/>
      <c r="EW518" s="8"/>
      <c r="EX518" s="8"/>
      <c r="EY518" s="8"/>
    </row>
    <row r="519" spans="1:155" s="573" customFormat="1">
      <c r="A519" s="51"/>
      <c r="B519" s="3"/>
      <c r="C519" s="3"/>
      <c r="D519" s="3"/>
      <c r="E519" s="3"/>
      <c r="F519" s="3"/>
      <c r="G519" s="3"/>
      <c r="H519" s="3"/>
      <c r="I519" s="27"/>
      <c r="J519" s="27"/>
      <c r="K519" s="27"/>
      <c r="L519" s="3"/>
      <c r="M519" s="3"/>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3"/>
      <c r="BE519" s="514"/>
      <c r="BF519" s="514"/>
      <c r="BG519" s="514"/>
      <c r="BH519" s="125"/>
      <c r="BI519" s="515"/>
      <c r="BJ519" s="515"/>
      <c r="BK519" s="515"/>
      <c r="BL519" s="515"/>
      <c r="BM519" s="515"/>
      <c r="BN519" s="515"/>
      <c r="BO519" s="515"/>
      <c r="BP519" s="515"/>
      <c r="BQ519" s="515"/>
      <c r="BR519" s="515"/>
      <c r="BS519" s="515"/>
      <c r="BT519" s="515"/>
      <c r="BU519" s="515"/>
      <c r="BV519" s="515"/>
      <c r="BW519" s="515"/>
      <c r="BX519" s="515"/>
      <c r="BY519" s="515"/>
      <c r="BZ519" s="515"/>
      <c r="CA519" s="515"/>
      <c r="CB519" s="515"/>
      <c r="CC519" s="515"/>
      <c r="CD519" s="515"/>
      <c r="CE519" s="515"/>
      <c r="CF519" s="515"/>
      <c r="CG519" s="515"/>
      <c r="CH519" s="515"/>
      <c r="CI519" s="515"/>
      <c r="CJ519" s="515"/>
      <c r="CK519" s="515"/>
      <c r="CL519" s="515"/>
      <c r="CM519" s="515"/>
      <c r="CN519" s="515"/>
      <c r="CO519" s="515"/>
      <c r="CP519" s="515"/>
      <c r="CQ519" s="515"/>
      <c r="CR519" s="515"/>
      <c r="CS519" s="515"/>
      <c r="CT519" s="515"/>
      <c r="CU519" s="515"/>
      <c r="CV519" s="515"/>
      <c r="CW519" s="515"/>
      <c r="CX519" s="515"/>
      <c r="CY519" s="515"/>
      <c r="CZ519" s="515"/>
      <c r="DA519" s="515"/>
      <c r="DB519" s="515"/>
      <c r="DC519" s="515"/>
      <c r="DD519" s="515"/>
      <c r="DE519" s="515"/>
      <c r="DF519" s="515"/>
      <c r="DG519" s="125"/>
      <c r="DH519" s="125"/>
      <c r="DI519" s="3"/>
      <c r="DJ519" s="8"/>
      <c r="DK519" s="8"/>
      <c r="DL519" s="8"/>
      <c r="DM519" s="8"/>
      <c r="DN519" s="8"/>
      <c r="DO519" s="8"/>
      <c r="DP519" s="8"/>
      <c r="DQ519" s="3"/>
      <c r="DR519" s="8"/>
      <c r="DS519" s="8"/>
      <c r="DT519" s="8"/>
      <c r="DU519" s="8"/>
      <c r="DV519" s="8"/>
      <c r="DW519" s="8"/>
      <c r="DX519" s="8"/>
      <c r="DY519" s="8"/>
      <c r="DZ519" s="8"/>
      <c r="EA519" s="8"/>
      <c r="EB519" s="8"/>
      <c r="EC519" s="8"/>
      <c r="ED519" s="8"/>
      <c r="EE519" s="8"/>
      <c r="EF519" s="8"/>
      <c r="EG519" s="8"/>
      <c r="EH519" s="8"/>
      <c r="EI519" s="8"/>
      <c r="EJ519" s="8"/>
      <c r="EK519" s="8"/>
      <c r="EL519" s="8"/>
      <c r="EM519" s="8"/>
      <c r="EN519" s="8"/>
      <c r="EO519" s="8"/>
      <c r="EP519" s="8"/>
      <c r="EQ519" s="8"/>
      <c r="ER519" s="8"/>
      <c r="ES519" s="8"/>
      <c r="ET519" s="8"/>
      <c r="EU519" s="8"/>
      <c r="EV519" s="8"/>
      <c r="EW519" s="8"/>
      <c r="EX519" s="8"/>
      <c r="EY519" s="8"/>
    </row>
    <row r="520" spans="1:155" s="573" customFormat="1">
      <c r="A520" s="51"/>
      <c r="B520" s="3"/>
      <c r="C520" s="3"/>
      <c r="D520" s="3"/>
      <c r="E520" s="3"/>
      <c r="F520" s="3"/>
      <c r="G520" s="3"/>
      <c r="H520" s="3"/>
      <c r="I520" s="27"/>
      <c r="J520" s="27"/>
      <c r="K520" s="27"/>
      <c r="L520" s="3"/>
      <c r="M520" s="3"/>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c r="BD520" s="3"/>
      <c r="BE520" s="514"/>
      <c r="BF520" s="514"/>
      <c r="BG520" s="514"/>
      <c r="BH520" s="125"/>
      <c r="BI520" s="515"/>
      <c r="BJ520" s="515"/>
      <c r="BK520" s="515"/>
      <c r="BL520" s="515"/>
      <c r="BM520" s="515"/>
      <c r="BN520" s="515"/>
      <c r="BO520" s="515"/>
      <c r="BP520" s="515"/>
      <c r="BQ520" s="515"/>
      <c r="BR520" s="515"/>
      <c r="BS520" s="515"/>
      <c r="BT520" s="515"/>
      <c r="BU520" s="515"/>
      <c r="BV520" s="515"/>
      <c r="BW520" s="515"/>
      <c r="BX520" s="515"/>
      <c r="BY520" s="515"/>
      <c r="BZ520" s="515"/>
      <c r="CA520" s="515"/>
      <c r="CB520" s="515"/>
      <c r="CC520" s="515"/>
      <c r="CD520" s="515"/>
      <c r="CE520" s="515"/>
      <c r="CF520" s="515"/>
      <c r="CG520" s="515"/>
      <c r="CH520" s="515"/>
      <c r="CI520" s="515"/>
      <c r="CJ520" s="515"/>
      <c r="CK520" s="515"/>
      <c r="CL520" s="515"/>
      <c r="CM520" s="515"/>
      <c r="CN520" s="515"/>
      <c r="CO520" s="515"/>
      <c r="CP520" s="515"/>
      <c r="CQ520" s="515"/>
      <c r="CR520" s="515"/>
      <c r="CS520" s="515"/>
      <c r="CT520" s="515"/>
      <c r="CU520" s="515"/>
      <c r="CV520" s="515"/>
      <c r="CW520" s="515"/>
      <c r="CX520" s="515"/>
      <c r="CY520" s="515"/>
      <c r="CZ520" s="515"/>
      <c r="DA520" s="515"/>
      <c r="DB520" s="515"/>
      <c r="DC520" s="515"/>
      <c r="DD520" s="515"/>
      <c r="DE520" s="515"/>
      <c r="DF520" s="515"/>
      <c r="DG520" s="125"/>
      <c r="DH520" s="125"/>
      <c r="DI520" s="3"/>
      <c r="DJ520" s="8"/>
      <c r="DK520" s="8"/>
      <c r="DL520" s="8"/>
      <c r="DM520" s="8"/>
      <c r="DN520" s="8"/>
      <c r="DO520" s="8"/>
      <c r="DP520" s="8"/>
      <c r="DQ520" s="3"/>
      <c r="DR520" s="8"/>
      <c r="DS520" s="8"/>
      <c r="DT520" s="8"/>
      <c r="DU520" s="8"/>
      <c r="DV520" s="8"/>
      <c r="DW520" s="8"/>
      <c r="DX520" s="8"/>
      <c r="DY520" s="8"/>
      <c r="DZ520" s="8"/>
      <c r="EA520" s="8"/>
      <c r="EB520" s="8"/>
      <c r="EC520" s="8"/>
      <c r="ED520" s="8"/>
      <c r="EE520" s="8"/>
      <c r="EF520" s="8"/>
      <c r="EG520" s="8"/>
      <c r="EH520" s="8"/>
      <c r="EI520" s="8"/>
      <c r="EJ520" s="8"/>
      <c r="EK520" s="8"/>
      <c r="EL520" s="8"/>
      <c r="EM520" s="8"/>
      <c r="EN520" s="8"/>
      <c r="EO520" s="8"/>
      <c r="EP520" s="8"/>
      <c r="EQ520" s="8"/>
      <c r="ER520" s="8"/>
      <c r="ES520" s="8"/>
      <c r="ET520" s="8"/>
      <c r="EU520" s="8"/>
      <c r="EV520" s="8"/>
      <c r="EW520" s="8"/>
      <c r="EX520" s="8"/>
      <c r="EY520" s="8"/>
    </row>
    <row r="521" spans="1:155" s="573" customFormat="1">
      <c r="A521" s="51"/>
      <c r="B521" s="3"/>
      <c r="C521" s="3"/>
      <c r="D521" s="3"/>
      <c r="E521" s="3"/>
      <c r="F521" s="3"/>
      <c r="G521" s="3"/>
      <c r="H521" s="3"/>
      <c r="I521" s="27"/>
      <c r="J521" s="27"/>
      <c r="K521" s="27"/>
      <c r="L521" s="3"/>
      <c r="M521" s="3"/>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14"/>
      <c r="BC521" s="14"/>
      <c r="BD521" s="3"/>
      <c r="BE521" s="514"/>
      <c r="BF521" s="514"/>
      <c r="BG521" s="514"/>
      <c r="BH521" s="125"/>
      <c r="BI521" s="515"/>
      <c r="BJ521" s="515"/>
      <c r="BK521" s="515"/>
      <c r="BL521" s="515"/>
      <c r="BM521" s="515"/>
      <c r="BN521" s="515"/>
      <c r="BO521" s="515"/>
      <c r="BP521" s="515"/>
      <c r="BQ521" s="515"/>
      <c r="BR521" s="515"/>
      <c r="BS521" s="515"/>
      <c r="BT521" s="515"/>
      <c r="BU521" s="515"/>
      <c r="BV521" s="515"/>
      <c r="BW521" s="515"/>
      <c r="BX521" s="515"/>
      <c r="BY521" s="515"/>
      <c r="BZ521" s="515"/>
      <c r="CA521" s="515"/>
      <c r="CB521" s="515"/>
      <c r="CC521" s="515"/>
      <c r="CD521" s="515"/>
      <c r="CE521" s="515"/>
      <c r="CF521" s="515"/>
      <c r="CG521" s="515"/>
      <c r="CH521" s="515"/>
      <c r="CI521" s="515"/>
      <c r="CJ521" s="515"/>
      <c r="CK521" s="515"/>
      <c r="CL521" s="515"/>
      <c r="CM521" s="515"/>
      <c r="CN521" s="515"/>
      <c r="CO521" s="515"/>
      <c r="CP521" s="515"/>
      <c r="CQ521" s="515"/>
      <c r="CR521" s="515"/>
      <c r="CS521" s="515"/>
      <c r="CT521" s="515"/>
      <c r="CU521" s="515"/>
      <c r="CV521" s="515"/>
      <c r="CW521" s="515"/>
      <c r="CX521" s="515"/>
      <c r="CY521" s="515"/>
      <c r="CZ521" s="515"/>
      <c r="DA521" s="515"/>
      <c r="DB521" s="515"/>
      <c r="DC521" s="515"/>
      <c r="DD521" s="515"/>
      <c r="DE521" s="515"/>
      <c r="DF521" s="515"/>
      <c r="DG521" s="125"/>
      <c r="DH521" s="125"/>
      <c r="DI521" s="3"/>
      <c r="DJ521" s="8"/>
      <c r="DK521" s="8"/>
      <c r="DL521" s="8"/>
      <c r="DM521" s="8"/>
      <c r="DN521" s="8"/>
      <c r="DO521" s="8"/>
      <c r="DP521" s="8"/>
      <c r="DQ521" s="3"/>
      <c r="DR521" s="8"/>
      <c r="DS521" s="8"/>
      <c r="DT521" s="8"/>
      <c r="DU521" s="8"/>
      <c r="DV521" s="8"/>
      <c r="DW521" s="8"/>
      <c r="DX521" s="8"/>
      <c r="DY521" s="8"/>
      <c r="DZ521" s="8"/>
      <c r="EA521" s="8"/>
      <c r="EB521" s="8"/>
      <c r="EC521" s="8"/>
      <c r="ED521" s="8"/>
      <c r="EE521" s="8"/>
      <c r="EF521" s="8"/>
      <c r="EG521" s="8"/>
      <c r="EH521" s="8"/>
      <c r="EI521" s="8"/>
      <c r="EJ521" s="8"/>
      <c r="EK521" s="8"/>
      <c r="EL521" s="8"/>
      <c r="EM521" s="8"/>
      <c r="EN521" s="8"/>
      <c r="EO521" s="8"/>
      <c r="EP521" s="8"/>
      <c r="EQ521" s="8"/>
      <c r="ER521" s="8"/>
      <c r="ES521" s="8"/>
      <c r="ET521" s="8"/>
      <c r="EU521" s="8"/>
      <c r="EV521" s="8"/>
      <c r="EW521" s="8"/>
      <c r="EX521" s="8"/>
      <c r="EY521" s="8"/>
    </row>
    <row r="522" spans="1:155" s="573" customFormat="1">
      <c r="A522" s="51"/>
      <c r="B522" s="3"/>
      <c r="C522" s="3"/>
      <c r="D522" s="3"/>
      <c r="E522" s="3"/>
      <c r="F522" s="3"/>
      <c r="G522" s="3"/>
      <c r="H522" s="3"/>
      <c r="I522" s="27"/>
      <c r="J522" s="27"/>
      <c r="K522" s="27"/>
      <c r="L522" s="3"/>
      <c r="M522" s="3"/>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3"/>
      <c r="BE522" s="514"/>
      <c r="BF522" s="514"/>
      <c r="BG522" s="514"/>
      <c r="BH522" s="125"/>
      <c r="BI522" s="515"/>
      <c r="BJ522" s="515"/>
      <c r="BK522" s="515"/>
      <c r="BL522" s="515"/>
      <c r="BM522" s="515"/>
      <c r="BN522" s="515"/>
      <c r="BO522" s="515"/>
      <c r="BP522" s="515"/>
      <c r="BQ522" s="515"/>
      <c r="BR522" s="515"/>
      <c r="BS522" s="515"/>
      <c r="BT522" s="515"/>
      <c r="BU522" s="515"/>
      <c r="BV522" s="515"/>
      <c r="BW522" s="515"/>
      <c r="BX522" s="515"/>
      <c r="BY522" s="515"/>
      <c r="BZ522" s="515"/>
      <c r="CA522" s="515"/>
      <c r="CB522" s="515"/>
      <c r="CC522" s="515"/>
      <c r="CD522" s="515"/>
      <c r="CE522" s="515"/>
      <c r="CF522" s="515"/>
      <c r="CG522" s="515"/>
      <c r="CH522" s="515"/>
      <c r="CI522" s="515"/>
      <c r="CJ522" s="515"/>
      <c r="CK522" s="515"/>
      <c r="CL522" s="515"/>
      <c r="CM522" s="515"/>
      <c r="CN522" s="515"/>
      <c r="CO522" s="515"/>
      <c r="CP522" s="515"/>
      <c r="CQ522" s="515"/>
      <c r="CR522" s="515"/>
      <c r="CS522" s="515"/>
      <c r="CT522" s="515"/>
      <c r="CU522" s="515"/>
      <c r="CV522" s="515"/>
      <c r="CW522" s="515"/>
      <c r="CX522" s="515"/>
      <c r="CY522" s="515"/>
      <c r="CZ522" s="515"/>
      <c r="DA522" s="515"/>
      <c r="DB522" s="515"/>
      <c r="DC522" s="515"/>
      <c r="DD522" s="515"/>
      <c r="DE522" s="515"/>
      <c r="DF522" s="515"/>
      <c r="DG522" s="125"/>
      <c r="DH522" s="125"/>
      <c r="DI522" s="3"/>
      <c r="DJ522" s="8"/>
      <c r="DK522" s="8"/>
      <c r="DL522" s="8"/>
      <c r="DM522" s="8"/>
      <c r="DN522" s="8"/>
      <c r="DO522" s="8"/>
      <c r="DP522" s="8"/>
      <c r="DQ522" s="3"/>
      <c r="DR522" s="8"/>
      <c r="DS522" s="8"/>
      <c r="DT522" s="8"/>
      <c r="DU522" s="8"/>
      <c r="DV522" s="8"/>
      <c r="DW522" s="8"/>
      <c r="DX522" s="8"/>
      <c r="DY522" s="8"/>
      <c r="DZ522" s="8"/>
      <c r="EA522" s="8"/>
      <c r="EB522" s="8"/>
      <c r="EC522" s="8"/>
      <c r="ED522" s="8"/>
      <c r="EE522" s="8"/>
      <c r="EF522" s="8"/>
      <c r="EG522" s="8"/>
      <c r="EH522" s="8"/>
      <c r="EI522" s="8"/>
      <c r="EJ522" s="8"/>
      <c r="EK522" s="8"/>
      <c r="EL522" s="8"/>
      <c r="EM522" s="8"/>
      <c r="EN522" s="8"/>
      <c r="EO522" s="8"/>
      <c r="EP522" s="8"/>
      <c r="EQ522" s="8"/>
      <c r="ER522" s="8"/>
      <c r="ES522" s="8"/>
      <c r="ET522" s="8"/>
      <c r="EU522" s="8"/>
      <c r="EV522" s="8"/>
      <c r="EW522" s="8"/>
      <c r="EX522" s="8"/>
      <c r="EY522" s="8"/>
    </row>
    <row r="523" spans="1:155" s="573" customFormat="1">
      <c r="A523" s="51"/>
      <c r="B523" s="3"/>
      <c r="C523" s="3"/>
      <c r="D523" s="3"/>
      <c r="E523" s="3"/>
      <c r="F523" s="3"/>
      <c r="G523" s="3"/>
      <c r="H523" s="3"/>
      <c r="I523" s="27"/>
      <c r="J523" s="27"/>
      <c r="K523" s="27"/>
      <c r="L523" s="3"/>
      <c r="M523" s="3"/>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14"/>
      <c r="BC523" s="14"/>
      <c r="BD523" s="3"/>
      <c r="BE523" s="514"/>
      <c r="BF523" s="514"/>
      <c r="BG523" s="514"/>
      <c r="BH523" s="125"/>
      <c r="BI523" s="515"/>
      <c r="BJ523" s="515"/>
      <c r="BK523" s="515"/>
      <c r="BL523" s="515"/>
      <c r="BM523" s="515"/>
      <c r="BN523" s="515"/>
      <c r="BO523" s="515"/>
      <c r="BP523" s="515"/>
      <c r="BQ523" s="515"/>
      <c r="BR523" s="515"/>
      <c r="BS523" s="515"/>
      <c r="BT523" s="515"/>
      <c r="BU523" s="515"/>
      <c r="BV523" s="515"/>
      <c r="BW523" s="515"/>
      <c r="BX523" s="515"/>
      <c r="BY523" s="515"/>
      <c r="BZ523" s="515"/>
      <c r="CA523" s="515"/>
      <c r="CB523" s="515"/>
      <c r="CC523" s="515"/>
      <c r="CD523" s="515"/>
      <c r="CE523" s="515"/>
      <c r="CF523" s="515"/>
      <c r="CG523" s="515"/>
      <c r="CH523" s="515"/>
      <c r="CI523" s="515"/>
      <c r="CJ523" s="515"/>
      <c r="CK523" s="515"/>
      <c r="CL523" s="515"/>
      <c r="CM523" s="515"/>
      <c r="CN523" s="515"/>
      <c r="CO523" s="515"/>
      <c r="CP523" s="515"/>
      <c r="CQ523" s="515"/>
      <c r="CR523" s="515"/>
      <c r="CS523" s="515"/>
      <c r="CT523" s="515"/>
      <c r="CU523" s="515"/>
      <c r="CV523" s="515"/>
      <c r="CW523" s="515"/>
      <c r="CX523" s="515"/>
      <c r="CY523" s="515"/>
      <c r="CZ523" s="515"/>
      <c r="DA523" s="515"/>
      <c r="DB523" s="515"/>
      <c r="DC523" s="515"/>
      <c r="DD523" s="515"/>
      <c r="DE523" s="515"/>
      <c r="DF523" s="515"/>
      <c r="DG523" s="125"/>
      <c r="DH523" s="125"/>
      <c r="DI523" s="3"/>
      <c r="DJ523" s="8"/>
      <c r="DK523" s="8"/>
      <c r="DL523" s="8"/>
      <c r="DM523" s="8"/>
      <c r="DN523" s="8"/>
      <c r="DO523" s="8"/>
      <c r="DP523" s="8"/>
      <c r="DQ523" s="3"/>
      <c r="DR523" s="8"/>
      <c r="DS523" s="8"/>
      <c r="DT523" s="8"/>
      <c r="DU523" s="8"/>
      <c r="DV523" s="8"/>
      <c r="DW523" s="8"/>
      <c r="DX523" s="8"/>
      <c r="DY523" s="8"/>
      <c r="DZ523" s="8"/>
      <c r="EA523" s="8"/>
      <c r="EB523" s="8"/>
      <c r="EC523" s="8"/>
      <c r="ED523" s="8"/>
      <c r="EE523" s="8"/>
      <c r="EF523" s="8"/>
      <c r="EG523" s="8"/>
      <c r="EH523" s="8"/>
      <c r="EI523" s="8"/>
      <c r="EJ523" s="8"/>
      <c r="EK523" s="8"/>
      <c r="EL523" s="8"/>
      <c r="EM523" s="8"/>
      <c r="EN523" s="8"/>
      <c r="EO523" s="8"/>
      <c r="EP523" s="8"/>
      <c r="EQ523" s="8"/>
      <c r="ER523" s="8"/>
      <c r="ES523" s="8"/>
      <c r="ET523" s="8"/>
      <c r="EU523" s="8"/>
      <c r="EV523" s="8"/>
      <c r="EW523" s="8"/>
      <c r="EX523" s="8"/>
      <c r="EY523" s="8"/>
    </row>
    <row r="524" spans="1:155" s="573" customFormat="1">
      <c r="A524" s="51"/>
      <c r="B524" s="3"/>
      <c r="C524" s="3"/>
      <c r="D524" s="3"/>
      <c r="E524" s="3"/>
      <c r="F524" s="3"/>
      <c r="G524" s="3"/>
      <c r="H524" s="3"/>
      <c r="I524" s="27"/>
      <c r="J524" s="27"/>
      <c r="K524" s="27"/>
      <c r="L524" s="3"/>
      <c r="M524" s="3"/>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14"/>
      <c r="BC524" s="14"/>
      <c r="BD524" s="3"/>
      <c r="BE524" s="514"/>
      <c r="BF524" s="514"/>
      <c r="BG524" s="514"/>
      <c r="BH524" s="125"/>
      <c r="BI524" s="515"/>
      <c r="BJ524" s="515"/>
      <c r="BK524" s="515"/>
      <c r="BL524" s="515"/>
      <c r="BM524" s="515"/>
      <c r="BN524" s="515"/>
      <c r="BO524" s="515"/>
      <c r="BP524" s="515"/>
      <c r="BQ524" s="515"/>
      <c r="BR524" s="515"/>
      <c r="BS524" s="515"/>
      <c r="BT524" s="515"/>
      <c r="BU524" s="515"/>
      <c r="BV524" s="515"/>
      <c r="BW524" s="515"/>
      <c r="BX524" s="515"/>
      <c r="BY524" s="515"/>
      <c r="BZ524" s="515"/>
      <c r="CA524" s="515"/>
      <c r="CB524" s="515"/>
      <c r="CC524" s="515"/>
      <c r="CD524" s="515"/>
      <c r="CE524" s="515"/>
      <c r="CF524" s="515"/>
      <c r="CG524" s="515"/>
      <c r="CH524" s="515"/>
      <c r="CI524" s="515"/>
      <c r="CJ524" s="515"/>
      <c r="CK524" s="515"/>
      <c r="CL524" s="515"/>
      <c r="CM524" s="515"/>
      <c r="CN524" s="515"/>
      <c r="CO524" s="515"/>
      <c r="CP524" s="515"/>
      <c r="CQ524" s="515"/>
      <c r="CR524" s="515"/>
      <c r="CS524" s="515"/>
      <c r="CT524" s="515"/>
      <c r="CU524" s="515"/>
      <c r="CV524" s="515"/>
      <c r="CW524" s="515"/>
      <c r="CX524" s="515"/>
      <c r="CY524" s="515"/>
      <c r="CZ524" s="515"/>
      <c r="DA524" s="515"/>
      <c r="DB524" s="515"/>
      <c r="DC524" s="515"/>
      <c r="DD524" s="515"/>
      <c r="DE524" s="515"/>
      <c r="DF524" s="515"/>
      <c r="DG524" s="125"/>
      <c r="DH524" s="125"/>
      <c r="DI524" s="3"/>
      <c r="DJ524" s="8"/>
      <c r="DK524" s="8"/>
      <c r="DL524" s="8"/>
      <c r="DM524" s="8"/>
      <c r="DN524" s="8"/>
      <c r="DO524" s="8"/>
      <c r="DP524" s="8"/>
      <c r="DQ524" s="3"/>
      <c r="DR524" s="8"/>
      <c r="DS524" s="8"/>
      <c r="DT524" s="8"/>
      <c r="DU524" s="8"/>
      <c r="DV524" s="8"/>
      <c r="DW524" s="8"/>
      <c r="DX524" s="8"/>
      <c r="DY524" s="8"/>
      <c r="DZ524" s="8"/>
      <c r="EA524" s="8"/>
      <c r="EB524" s="8"/>
      <c r="EC524" s="8"/>
      <c r="ED524" s="8"/>
      <c r="EE524" s="8"/>
      <c r="EF524" s="8"/>
      <c r="EG524" s="8"/>
      <c r="EH524" s="8"/>
      <c r="EI524" s="8"/>
      <c r="EJ524" s="8"/>
      <c r="EK524" s="8"/>
      <c r="EL524" s="8"/>
      <c r="EM524" s="8"/>
      <c r="EN524" s="8"/>
      <c r="EO524" s="8"/>
      <c r="EP524" s="8"/>
      <c r="EQ524" s="8"/>
      <c r="ER524" s="8"/>
      <c r="ES524" s="8"/>
      <c r="ET524" s="8"/>
      <c r="EU524" s="8"/>
      <c r="EV524" s="8"/>
      <c r="EW524" s="8"/>
      <c r="EX524" s="8"/>
      <c r="EY524" s="8"/>
    </row>
    <row r="525" spans="1:155" s="573" customFormat="1">
      <c r="A525" s="51"/>
      <c r="B525" s="3"/>
      <c r="C525" s="3"/>
      <c r="D525" s="3"/>
      <c r="E525" s="3"/>
      <c r="F525" s="3"/>
      <c r="G525" s="3"/>
      <c r="H525" s="3"/>
      <c r="I525" s="27"/>
      <c r="J525" s="27"/>
      <c r="K525" s="27"/>
      <c r="L525" s="3"/>
      <c r="M525" s="3"/>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3"/>
      <c r="BE525" s="514"/>
      <c r="BF525" s="514"/>
      <c r="BG525" s="514"/>
      <c r="BH525" s="125"/>
      <c r="BI525" s="515"/>
      <c r="BJ525" s="515"/>
      <c r="BK525" s="515"/>
      <c r="BL525" s="515"/>
      <c r="BM525" s="515"/>
      <c r="BN525" s="515"/>
      <c r="BO525" s="515"/>
      <c r="BP525" s="515"/>
      <c r="BQ525" s="515"/>
      <c r="BR525" s="515"/>
      <c r="BS525" s="515"/>
      <c r="BT525" s="515"/>
      <c r="BU525" s="515"/>
      <c r="BV525" s="515"/>
      <c r="BW525" s="515"/>
      <c r="BX525" s="515"/>
      <c r="BY525" s="515"/>
      <c r="BZ525" s="515"/>
      <c r="CA525" s="515"/>
      <c r="CB525" s="515"/>
      <c r="CC525" s="515"/>
      <c r="CD525" s="515"/>
      <c r="CE525" s="515"/>
      <c r="CF525" s="515"/>
      <c r="CG525" s="515"/>
      <c r="CH525" s="515"/>
      <c r="CI525" s="515"/>
      <c r="CJ525" s="515"/>
      <c r="CK525" s="515"/>
      <c r="CL525" s="515"/>
      <c r="CM525" s="515"/>
      <c r="CN525" s="515"/>
      <c r="CO525" s="515"/>
      <c r="CP525" s="515"/>
      <c r="CQ525" s="515"/>
      <c r="CR525" s="515"/>
      <c r="CS525" s="515"/>
      <c r="CT525" s="515"/>
      <c r="CU525" s="515"/>
      <c r="CV525" s="515"/>
      <c r="CW525" s="515"/>
      <c r="CX525" s="515"/>
      <c r="CY525" s="515"/>
      <c r="CZ525" s="515"/>
      <c r="DA525" s="515"/>
      <c r="DB525" s="515"/>
      <c r="DC525" s="515"/>
      <c r="DD525" s="515"/>
      <c r="DE525" s="515"/>
      <c r="DF525" s="515"/>
      <c r="DG525" s="125"/>
      <c r="DH525" s="125"/>
      <c r="DI525" s="3"/>
      <c r="DJ525" s="8"/>
      <c r="DK525" s="8"/>
      <c r="DL525" s="8"/>
      <c r="DM525" s="8"/>
      <c r="DN525" s="8"/>
      <c r="DO525" s="8"/>
      <c r="DP525" s="8"/>
      <c r="DQ525" s="3"/>
      <c r="DR525" s="8"/>
      <c r="DS525" s="8"/>
      <c r="DT525" s="8"/>
      <c r="DU525" s="8"/>
      <c r="DV525" s="8"/>
      <c r="DW525" s="8"/>
      <c r="DX525" s="8"/>
      <c r="DY525" s="8"/>
      <c r="DZ525" s="8"/>
      <c r="EA525" s="8"/>
      <c r="EB525" s="8"/>
      <c r="EC525" s="8"/>
      <c r="ED525" s="8"/>
      <c r="EE525" s="8"/>
      <c r="EF525" s="8"/>
      <c r="EG525" s="8"/>
      <c r="EH525" s="8"/>
      <c r="EI525" s="8"/>
      <c r="EJ525" s="8"/>
      <c r="EK525" s="8"/>
      <c r="EL525" s="8"/>
      <c r="EM525" s="8"/>
      <c r="EN525" s="8"/>
      <c r="EO525" s="8"/>
      <c r="EP525" s="8"/>
      <c r="EQ525" s="8"/>
      <c r="ER525" s="8"/>
      <c r="ES525" s="8"/>
      <c r="ET525" s="8"/>
      <c r="EU525" s="8"/>
      <c r="EV525" s="8"/>
      <c r="EW525" s="8"/>
      <c r="EX525" s="8"/>
      <c r="EY525" s="8"/>
    </row>
    <row r="526" spans="1:155" s="573" customFormat="1">
      <c r="A526" s="51"/>
      <c r="B526" s="3"/>
      <c r="C526" s="3"/>
      <c r="D526" s="3"/>
      <c r="E526" s="3"/>
      <c r="F526" s="3"/>
      <c r="G526" s="3"/>
      <c r="H526" s="3"/>
      <c r="I526" s="27"/>
      <c r="J526" s="27"/>
      <c r="K526" s="27"/>
      <c r="L526" s="3"/>
      <c r="M526" s="3"/>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3"/>
      <c r="BE526" s="514"/>
      <c r="BF526" s="514"/>
      <c r="BG526" s="514"/>
      <c r="BH526" s="125"/>
      <c r="BI526" s="515"/>
      <c r="BJ526" s="515"/>
      <c r="BK526" s="515"/>
      <c r="BL526" s="515"/>
      <c r="BM526" s="515"/>
      <c r="BN526" s="515"/>
      <c r="BO526" s="515"/>
      <c r="BP526" s="515"/>
      <c r="BQ526" s="515"/>
      <c r="BR526" s="515"/>
      <c r="BS526" s="515"/>
      <c r="BT526" s="515"/>
      <c r="BU526" s="515"/>
      <c r="BV526" s="515"/>
      <c r="BW526" s="515"/>
      <c r="BX526" s="515"/>
      <c r="BY526" s="515"/>
      <c r="BZ526" s="515"/>
      <c r="CA526" s="515"/>
      <c r="CB526" s="515"/>
      <c r="CC526" s="515"/>
      <c r="CD526" s="515"/>
      <c r="CE526" s="515"/>
      <c r="CF526" s="515"/>
      <c r="CG526" s="515"/>
      <c r="CH526" s="515"/>
      <c r="CI526" s="515"/>
      <c r="CJ526" s="515"/>
      <c r="CK526" s="515"/>
      <c r="CL526" s="515"/>
      <c r="CM526" s="515"/>
      <c r="CN526" s="515"/>
      <c r="CO526" s="515"/>
      <c r="CP526" s="515"/>
      <c r="CQ526" s="515"/>
      <c r="CR526" s="515"/>
      <c r="CS526" s="515"/>
      <c r="CT526" s="515"/>
      <c r="CU526" s="515"/>
      <c r="CV526" s="515"/>
      <c r="CW526" s="515"/>
      <c r="CX526" s="515"/>
      <c r="CY526" s="515"/>
      <c r="CZ526" s="515"/>
      <c r="DA526" s="515"/>
      <c r="DB526" s="515"/>
      <c r="DC526" s="515"/>
      <c r="DD526" s="515"/>
      <c r="DE526" s="515"/>
      <c r="DF526" s="515"/>
      <c r="DG526" s="125"/>
      <c r="DH526" s="125"/>
      <c r="DI526" s="3"/>
      <c r="DJ526" s="8"/>
      <c r="DK526" s="8"/>
      <c r="DL526" s="8"/>
      <c r="DM526" s="8"/>
      <c r="DN526" s="8"/>
      <c r="DO526" s="8"/>
      <c r="DP526" s="8"/>
      <c r="DQ526" s="3"/>
      <c r="DR526" s="8"/>
      <c r="DS526" s="8"/>
      <c r="DT526" s="8"/>
      <c r="DU526" s="8"/>
      <c r="DV526" s="8"/>
      <c r="DW526" s="8"/>
      <c r="DX526" s="8"/>
      <c r="DY526" s="8"/>
      <c r="DZ526" s="8"/>
      <c r="EA526" s="8"/>
      <c r="EB526" s="8"/>
      <c r="EC526" s="8"/>
      <c r="ED526" s="8"/>
      <c r="EE526" s="8"/>
      <c r="EF526" s="8"/>
      <c r="EG526" s="8"/>
      <c r="EH526" s="8"/>
      <c r="EI526" s="8"/>
      <c r="EJ526" s="8"/>
      <c r="EK526" s="8"/>
      <c r="EL526" s="8"/>
      <c r="EM526" s="8"/>
      <c r="EN526" s="8"/>
      <c r="EO526" s="8"/>
      <c r="EP526" s="8"/>
      <c r="EQ526" s="8"/>
      <c r="ER526" s="8"/>
      <c r="ES526" s="8"/>
      <c r="ET526" s="8"/>
      <c r="EU526" s="8"/>
      <c r="EV526" s="8"/>
      <c r="EW526" s="8"/>
      <c r="EX526" s="8"/>
      <c r="EY526" s="8"/>
    </row>
    <row r="527" spans="1:155" s="573" customFormat="1">
      <c r="A527" s="51"/>
      <c r="B527" s="3"/>
      <c r="C527" s="3"/>
      <c r="D527" s="3"/>
      <c r="E527" s="3"/>
      <c r="F527" s="3"/>
      <c r="G527" s="3"/>
      <c r="H527" s="3"/>
      <c r="I527" s="27"/>
      <c r="J527" s="27"/>
      <c r="K527" s="27"/>
      <c r="L527" s="3"/>
      <c r="M527" s="3"/>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14"/>
      <c r="BC527" s="14"/>
      <c r="BD527" s="3"/>
      <c r="BE527" s="514"/>
      <c r="BF527" s="514"/>
      <c r="BG527" s="514"/>
      <c r="BH527" s="125"/>
      <c r="BI527" s="515"/>
      <c r="BJ527" s="515"/>
      <c r="BK527" s="515"/>
      <c r="BL527" s="515"/>
      <c r="BM527" s="515"/>
      <c r="BN527" s="515"/>
      <c r="BO527" s="515"/>
      <c r="BP527" s="515"/>
      <c r="BQ527" s="515"/>
      <c r="BR527" s="515"/>
      <c r="BS527" s="515"/>
      <c r="BT527" s="515"/>
      <c r="BU527" s="515"/>
      <c r="BV527" s="515"/>
      <c r="BW527" s="515"/>
      <c r="BX527" s="515"/>
      <c r="BY527" s="515"/>
      <c r="BZ527" s="515"/>
      <c r="CA527" s="515"/>
      <c r="CB527" s="515"/>
      <c r="CC527" s="515"/>
      <c r="CD527" s="515"/>
      <c r="CE527" s="515"/>
      <c r="CF527" s="515"/>
      <c r="CG527" s="515"/>
      <c r="CH527" s="515"/>
      <c r="CI527" s="515"/>
      <c r="CJ527" s="515"/>
      <c r="CK527" s="515"/>
      <c r="CL527" s="515"/>
      <c r="CM527" s="515"/>
      <c r="CN527" s="515"/>
      <c r="CO527" s="515"/>
      <c r="CP527" s="515"/>
      <c r="CQ527" s="515"/>
      <c r="CR527" s="515"/>
      <c r="CS527" s="515"/>
      <c r="CT527" s="515"/>
      <c r="CU527" s="515"/>
      <c r="CV527" s="515"/>
      <c r="CW527" s="515"/>
      <c r="CX527" s="515"/>
      <c r="CY527" s="515"/>
      <c r="CZ527" s="515"/>
      <c r="DA527" s="515"/>
      <c r="DB527" s="515"/>
      <c r="DC527" s="515"/>
      <c r="DD527" s="515"/>
      <c r="DE527" s="515"/>
      <c r="DF527" s="515"/>
      <c r="DG527" s="125"/>
      <c r="DH527" s="125"/>
      <c r="DI527" s="3"/>
      <c r="DJ527" s="8"/>
      <c r="DK527" s="8"/>
      <c r="DL527" s="8"/>
      <c r="DM527" s="8"/>
      <c r="DN527" s="8"/>
      <c r="DO527" s="8"/>
      <c r="DP527" s="8"/>
      <c r="DQ527" s="3"/>
      <c r="DR527" s="8"/>
      <c r="DS527" s="8"/>
      <c r="DT527" s="8"/>
      <c r="DU527" s="8"/>
      <c r="DV527" s="8"/>
      <c r="DW527" s="8"/>
      <c r="DX527" s="8"/>
      <c r="DY527" s="8"/>
      <c r="DZ527" s="8"/>
      <c r="EA527" s="8"/>
      <c r="EB527" s="8"/>
      <c r="EC527" s="8"/>
      <c r="ED527" s="8"/>
      <c r="EE527" s="8"/>
      <c r="EF527" s="8"/>
      <c r="EG527" s="8"/>
      <c r="EH527" s="8"/>
      <c r="EI527" s="8"/>
      <c r="EJ527" s="8"/>
      <c r="EK527" s="8"/>
      <c r="EL527" s="8"/>
      <c r="EM527" s="8"/>
      <c r="EN527" s="8"/>
      <c r="EO527" s="8"/>
      <c r="EP527" s="8"/>
      <c r="EQ527" s="8"/>
      <c r="ER527" s="8"/>
      <c r="ES527" s="8"/>
      <c r="ET527" s="8"/>
      <c r="EU527" s="8"/>
      <c r="EV527" s="8"/>
      <c r="EW527" s="8"/>
      <c r="EX527" s="8"/>
      <c r="EY527" s="8"/>
    </row>
    <row r="528" spans="1:155" s="565" customFormat="1">
      <c r="A528" s="51"/>
      <c r="B528" s="3"/>
      <c r="C528" s="3"/>
      <c r="D528" s="3"/>
      <c r="E528" s="3"/>
      <c r="F528" s="3"/>
      <c r="G528" s="3"/>
      <c r="H528" s="3"/>
      <c r="I528" s="27"/>
      <c r="J528" s="27"/>
      <c r="K528" s="27"/>
      <c r="L528" s="3"/>
      <c r="M528" s="3"/>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3"/>
      <c r="BE528" s="514"/>
      <c r="BF528" s="514"/>
      <c r="BG528" s="514"/>
      <c r="BH528" s="125"/>
      <c r="BI528" s="515"/>
      <c r="BJ528" s="515"/>
      <c r="BK528" s="515"/>
      <c r="BL528" s="515"/>
      <c r="BM528" s="515"/>
      <c r="BN528" s="515"/>
      <c r="BO528" s="515"/>
      <c r="BP528" s="515"/>
      <c r="BQ528" s="515"/>
      <c r="BR528" s="515"/>
      <c r="BS528" s="515"/>
      <c r="BT528" s="515"/>
      <c r="BU528" s="515"/>
      <c r="BV528" s="515"/>
      <c r="BW528" s="515"/>
      <c r="BX528" s="515"/>
      <c r="BY528" s="515"/>
      <c r="BZ528" s="515"/>
      <c r="CA528" s="515"/>
      <c r="CB528" s="515"/>
      <c r="CC528" s="515"/>
      <c r="CD528" s="515"/>
      <c r="CE528" s="515"/>
      <c r="CF528" s="515"/>
      <c r="CG528" s="515"/>
      <c r="CH528" s="515"/>
      <c r="CI528" s="515"/>
      <c r="CJ528" s="515"/>
      <c r="CK528" s="515"/>
      <c r="CL528" s="515"/>
      <c r="CM528" s="515"/>
      <c r="CN528" s="515"/>
      <c r="CO528" s="515"/>
      <c r="CP528" s="515"/>
      <c r="CQ528" s="515"/>
      <c r="CR528" s="515"/>
      <c r="CS528" s="515"/>
      <c r="CT528" s="515"/>
      <c r="CU528" s="515"/>
      <c r="CV528" s="515"/>
      <c r="CW528" s="515"/>
      <c r="CX528" s="515"/>
      <c r="CY528" s="515"/>
      <c r="CZ528" s="515"/>
      <c r="DA528" s="515"/>
      <c r="DB528" s="515"/>
      <c r="DC528" s="515"/>
      <c r="DD528" s="515"/>
      <c r="DE528" s="515"/>
      <c r="DF528" s="515"/>
      <c r="DG528" s="125"/>
      <c r="DH528" s="125"/>
      <c r="DI528" s="3"/>
      <c r="DJ528" s="8"/>
      <c r="DK528" s="8"/>
      <c r="DL528" s="8"/>
      <c r="DM528" s="8"/>
      <c r="DN528" s="8"/>
      <c r="DO528" s="8"/>
      <c r="DP528" s="8"/>
      <c r="DQ528" s="3"/>
      <c r="DR528" s="8"/>
      <c r="DS528" s="8"/>
      <c r="DT528" s="8"/>
      <c r="DU528" s="8"/>
      <c r="DV528" s="8"/>
      <c r="DW528" s="8"/>
      <c r="DX528" s="8"/>
      <c r="DY528" s="8"/>
      <c r="DZ528" s="8"/>
      <c r="EA528" s="8"/>
      <c r="EB528" s="8"/>
      <c r="EC528" s="8"/>
      <c r="ED528" s="8"/>
      <c r="EE528" s="8"/>
      <c r="EF528" s="8"/>
      <c r="EG528" s="8"/>
      <c r="EH528" s="8"/>
      <c r="EI528" s="8"/>
      <c r="EJ528" s="8"/>
      <c r="EK528" s="8"/>
      <c r="EL528" s="8"/>
      <c r="EM528" s="8"/>
      <c r="EN528" s="8"/>
      <c r="EO528" s="8"/>
      <c r="EP528" s="8"/>
      <c r="EQ528" s="8"/>
      <c r="ER528" s="8"/>
      <c r="ES528" s="8"/>
      <c r="ET528" s="8"/>
      <c r="EU528" s="8"/>
      <c r="EV528" s="8"/>
      <c r="EW528" s="8"/>
      <c r="EX528" s="8"/>
      <c r="EY528" s="8"/>
    </row>
    <row r="529" spans="1:155" s="565" customFormat="1">
      <c r="A529" s="51"/>
      <c r="B529" s="3"/>
      <c r="C529" s="3"/>
      <c r="D529" s="3"/>
      <c r="E529" s="3"/>
      <c r="F529" s="3"/>
      <c r="G529" s="3"/>
      <c r="H529" s="3"/>
      <c r="I529" s="27"/>
      <c r="J529" s="27"/>
      <c r="K529" s="27"/>
      <c r="L529" s="3"/>
      <c r="M529" s="3"/>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14"/>
      <c r="BC529" s="14"/>
      <c r="BD529" s="3"/>
      <c r="BE529" s="514"/>
      <c r="BF529" s="514"/>
      <c r="BG529" s="514"/>
      <c r="BH529" s="125"/>
      <c r="BI529" s="515"/>
      <c r="BJ529" s="515"/>
      <c r="BK529" s="515"/>
      <c r="BL529" s="515"/>
      <c r="BM529" s="515"/>
      <c r="BN529" s="515"/>
      <c r="BO529" s="515"/>
      <c r="BP529" s="515"/>
      <c r="BQ529" s="515"/>
      <c r="BR529" s="515"/>
      <c r="BS529" s="515"/>
      <c r="BT529" s="515"/>
      <c r="BU529" s="515"/>
      <c r="BV529" s="515"/>
      <c r="BW529" s="515"/>
      <c r="BX529" s="515"/>
      <c r="BY529" s="515"/>
      <c r="BZ529" s="515"/>
      <c r="CA529" s="515"/>
      <c r="CB529" s="515"/>
      <c r="CC529" s="515"/>
      <c r="CD529" s="515"/>
      <c r="CE529" s="515"/>
      <c r="CF529" s="515"/>
      <c r="CG529" s="515"/>
      <c r="CH529" s="515"/>
      <c r="CI529" s="515"/>
      <c r="CJ529" s="515"/>
      <c r="CK529" s="515"/>
      <c r="CL529" s="515"/>
      <c r="CM529" s="515"/>
      <c r="CN529" s="515"/>
      <c r="CO529" s="515"/>
      <c r="CP529" s="515"/>
      <c r="CQ529" s="515"/>
      <c r="CR529" s="515"/>
      <c r="CS529" s="515"/>
      <c r="CT529" s="515"/>
      <c r="CU529" s="515"/>
      <c r="CV529" s="515"/>
      <c r="CW529" s="515"/>
      <c r="CX529" s="515"/>
      <c r="CY529" s="515"/>
      <c r="CZ529" s="515"/>
      <c r="DA529" s="515"/>
      <c r="DB529" s="515"/>
      <c r="DC529" s="515"/>
      <c r="DD529" s="515"/>
      <c r="DE529" s="515"/>
      <c r="DF529" s="515"/>
      <c r="DG529" s="125"/>
      <c r="DH529" s="125"/>
      <c r="DI529" s="3"/>
      <c r="DJ529" s="8"/>
      <c r="DK529" s="8"/>
      <c r="DL529" s="8"/>
      <c r="DM529" s="8"/>
      <c r="DN529" s="8"/>
      <c r="DO529" s="8"/>
      <c r="DP529" s="8"/>
      <c r="DQ529" s="3"/>
      <c r="DR529" s="8"/>
      <c r="DS529" s="8"/>
      <c r="DT529" s="8"/>
      <c r="DU529" s="8"/>
      <c r="DV529" s="8"/>
      <c r="DW529" s="8"/>
      <c r="DX529" s="8"/>
      <c r="DY529" s="8"/>
      <c r="DZ529" s="8"/>
      <c r="EA529" s="8"/>
      <c r="EB529" s="8"/>
      <c r="EC529" s="8"/>
      <c r="ED529" s="8"/>
      <c r="EE529" s="8"/>
      <c r="EF529" s="8"/>
      <c r="EG529" s="8"/>
      <c r="EH529" s="8"/>
      <c r="EI529" s="8"/>
      <c r="EJ529" s="8"/>
      <c r="EK529" s="8"/>
      <c r="EL529" s="8"/>
      <c r="EM529" s="8"/>
      <c r="EN529" s="8"/>
      <c r="EO529" s="8"/>
      <c r="EP529" s="8"/>
      <c r="EQ529" s="8"/>
      <c r="ER529" s="8"/>
      <c r="ES529" s="8"/>
      <c r="ET529" s="8"/>
      <c r="EU529" s="8"/>
      <c r="EV529" s="8"/>
      <c r="EW529" s="8"/>
      <c r="EX529" s="8"/>
      <c r="EY529" s="8"/>
    </row>
  </sheetData>
  <sheetProtection password="AD9B" sheet="1" objects="1" scenarios="1"/>
  <mergeCells count="424">
    <mergeCell ref="BE5:BI5"/>
    <mergeCell ref="BX5:BY5"/>
    <mergeCell ref="BD6:BH6"/>
    <mergeCell ref="BE7:BI7"/>
    <mergeCell ref="DN7:DP7"/>
    <mergeCell ref="P1:Q1"/>
    <mergeCell ref="D2:J2"/>
    <mergeCell ref="BX3:BY3"/>
    <mergeCell ref="BE4:BI4"/>
    <mergeCell ref="BX4:BY4"/>
    <mergeCell ref="BE8:BI8"/>
    <mergeCell ref="DN8:DO8"/>
    <mergeCell ref="EU8:EV8"/>
    <mergeCell ref="DN9:DO9"/>
    <mergeCell ref="DS9:DT10"/>
    <mergeCell ref="DW9:DX10"/>
    <mergeCell ref="DY9:DZ10"/>
    <mergeCell ref="EA9:EB10"/>
    <mergeCell ref="EC9:ED10"/>
    <mergeCell ref="EE9:EF10"/>
    <mergeCell ref="EU9:EV10"/>
    <mergeCell ref="DU9:DV10"/>
    <mergeCell ref="EW9:EX10"/>
    <mergeCell ref="B10:B11"/>
    <mergeCell ref="C10:C11"/>
    <mergeCell ref="D10:E11"/>
    <mergeCell ref="F10:F11"/>
    <mergeCell ref="G10:G11"/>
    <mergeCell ref="DS11:DT13"/>
    <mergeCell ref="DW11:DX13"/>
    <mergeCell ref="DY11:DZ13"/>
    <mergeCell ref="EG9:EH10"/>
    <mergeCell ref="EI9:EJ10"/>
    <mergeCell ref="EK9:EL10"/>
    <mergeCell ref="EM9:EN10"/>
    <mergeCell ref="EO9:EP10"/>
    <mergeCell ref="EQ9:ER10"/>
    <mergeCell ref="EU11:EV13"/>
    <mergeCell ref="EW11:EX13"/>
    <mergeCell ref="D12:E12"/>
    <mergeCell ref="D13:E13"/>
    <mergeCell ref="EA11:EB13"/>
    <mergeCell ref="EC11:ED13"/>
    <mergeCell ref="EE11:EF13"/>
    <mergeCell ref="EG11:EH13"/>
    <mergeCell ref="EI11:EJ13"/>
    <mergeCell ref="D16:E16"/>
    <mergeCell ref="DN16:DO16"/>
    <mergeCell ref="BY15:CA15"/>
    <mergeCell ref="CB15:CD15"/>
    <mergeCell ref="CE15:CG15"/>
    <mergeCell ref="CH15:CJ15"/>
    <mergeCell ref="CK15:CM15"/>
    <mergeCell ref="CN15:CP15"/>
    <mergeCell ref="EK11:EL13"/>
    <mergeCell ref="D14:E14"/>
    <mergeCell ref="D15:E15"/>
    <mergeCell ref="BE15:BI15"/>
    <mergeCell ref="BP15:BR15"/>
    <mergeCell ref="BS15:BU15"/>
    <mergeCell ref="BV15:BX15"/>
    <mergeCell ref="DU13:DV13"/>
    <mergeCell ref="H10:H11"/>
    <mergeCell ref="EQ11:ER13"/>
    <mergeCell ref="CQ15:CS15"/>
    <mergeCell ref="CT15:CV15"/>
    <mergeCell ref="CW15:CY15"/>
    <mergeCell ref="DN15:DO15"/>
    <mergeCell ref="EM11:EN13"/>
    <mergeCell ref="EO11:EP13"/>
    <mergeCell ref="CH18:CH19"/>
    <mergeCell ref="BS18:BS19"/>
    <mergeCell ref="BT18:BT19"/>
    <mergeCell ref="BU18:BU19"/>
    <mergeCell ref="BV18:BV19"/>
    <mergeCell ref="DN18:DO18"/>
    <mergeCell ref="D17:E17"/>
    <mergeCell ref="DN17:DO17"/>
    <mergeCell ref="D18:E18"/>
    <mergeCell ref="BE18:BE19"/>
    <mergeCell ref="BF18:BF19"/>
    <mergeCell ref="BG18:BG19"/>
    <mergeCell ref="BH18:BH19"/>
    <mergeCell ref="BI18:BI19"/>
    <mergeCell ref="BJ18:BJ19"/>
    <mergeCell ref="BK18:BK19"/>
    <mergeCell ref="CI18:CI19"/>
    <mergeCell ref="BX18:BX19"/>
    <mergeCell ref="BY18:BY19"/>
    <mergeCell ref="BZ18:BZ19"/>
    <mergeCell ref="CA18:CA19"/>
    <mergeCell ref="CB18:CB19"/>
    <mergeCell ref="CC18:CC19"/>
    <mergeCell ref="BR18:BR19"/>
    <mergeCell ref="BW18:BW19"/>
    <mergeCell ref="BM18:BM19"/>
    <mergeCell ref="BN18:BN19"/>
    <mergeCell ref="BO18:BO19"/>
    <mergeCell ref="BP18:BP19"/>
    <mergeCell ref="BQ18:BQ19"/>
    <mergeCell ref="D19:E19"/>
    <mergeCell ref="DN19:DO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V18:CV19"/>
    <mergeCell ref="CW18:CW19"/>
    <mergeCell ref="CX18:CX19"/>
    <mergeCell ref="CY18:CY19"/>
    <mergeCell ref="BL18:BL19"/>
    <mergeCell ref="D27:E27"/>
    <mergeCell ref="B31:C31"/>
    <mergeCell ref="D31:E31"/>
    <mergeCell ref="D20:E20"/>
    <mergeCell ref="DN20:DO20"/>
    <mergeCell ref="D21:E21"/>
    <mergeCell ref="DN21:DO21"/>
    <mergeCell ref="D22:E22"/>
    <mergeCell ref="DN22:DO22"/>
    <mergeCell ref="DN23:DO23"/>
    <mergeCell ref="D23:E23"/>
    <mergeCell ref="D24:E24"/>
    <mergeCell ref="D25:E25"/>
    <mergeCell ref="D26:E26"/>
    <mergeCell ref="V57:V58"/>
    <mergeCell ref="W57:W58"/>
    <mergeCell ref="X57:X58"/>
    <mergeCell ref="Y57:Y58"/>
    <mergeCell ref="Z57:Z58"/>
    <mergeCell ref="AA57:AA58"/>
    <mergeCell ref="B32:C32"/>
    <mergeCell ref="D32:E32"/>
    <mergeCell ref="P56:Q56"/>
    <mergeCell ref="T56:W56"/>
    <mergeCell ref="X56:AA56"/>
    <mergeCell ref="B57:D57"/>
    <mergeCell ref="R57:R58"/>
    <mergeCell ref="S57:S58"/>
    <mergeCell ref="T57:T58"/>
    <mergeCell ref="U57:U58"/>
    <mergeCell ref="B62:E62"/>
    <mergeCell ref="P62:Q62"/>
    <mergeCell ref="B63:E63"/>
    <mergeCell ref="P63:Q63"/>
    <mergeCell ref="B64:E64"/>
    <mergeCell ref="B67:C67"/>
    <mergeCell ref="B58:D58"/>
    <mergeCell ref="B59:D59"/>
    <mergeCell ref="P59:Q59"/>
    <mergeCell ref="B60:D60"/>
    <mergeCell ref="P60:Q60"/>
    <mergeCell ref="B61:D61"/>
    <mergeCell ref="P61:Q61"/>
    <mergeCell ref="B77:E77"/>
    <mergeCell ref="B78:E78"/>
    <mergeCell ref="B81:C81"/>
    <mergeCell ref="B82:C82"/>
    <mergeCell ref="B83:C83"/>
    <mergeCell ref="B84:C84"/>
    <mergeCell ref="B68:D68"/>
    <mergeCell ref="B69:D69"/>
    <mergeCell ref="B70:D70"/>
    <mergeCell ref="B71:D71"/>
    <mergeCell ref="B72:D72"/>
    <mergeCell ref="B76:E76"/>
    <mergeCell ref="B92:D92"/>
    <mergeCell ref="B93:D93"/>
    <mergeCell ref="G93:I95"/>
    <mergeCell ref="B94:D94"/>
    <mergeCell ref="B95:D95"/>
    <mergeCell ref="B96:E96"/>
    <mergeCell ref="B85:C85"/>
    <mergeCell ref="B86:E86"/>
    <mergeCell ref="B87:E87"/>
    <mergeCell ref="B88:E88"/>
    <mergeCell ref="B91:D91"/>
    <mergeCell ref="E91:F91"/>
    <mergeCell ref="B133:D133"/>
    <mergeCell ref="DL133:DP133"/>
    <mergeCell ref="DL134:DP134"/>
    <mergeCell ref="H135:I135"/>
    <mergeCell ref="DL135:DP135"/>
    <mergeCell ref="B136:D136"/>
    <mergeCell ref="E136:F136"/>
    <mergeCell ref="B97:E97"/>
    <mergeCell ref="B98:E98"/>
    <mergeCell ref="B105:C105"/>
    <mergeCell ref="B106:C106"/>
    <mergeCell ref="B107:C107"/>
    <mergeCell ref="B108:C108"/>
    <mergeCell ref="W142:X142"/>
    <mergeCell ref="Y142:Y143"/>
    <mergeCell ref="Z142:Z143"/>
    <mergeCell ref="R157:S157"/>
    <mergeCell ref="X157:Y157"/>
    <mergeCell ref="C160:D161"/>
    <mergeCell ref="DJ138:DK138"/>
    <mergeCell ref="DJ139:DK139"/>
    <mergeCell ref="DJ140:DK140"/>
    <mergeCell ref="P141:T141"/>
    <mergeCell ref="V141:Z141"/>
    <mergeCell ref="P142:P143"/>
    <mergeCell ref="Q142:R142"/>
    <mergeCell ref="S142:S143"/>
    <mergeCell ref="T142:T143"/>
    <mergeCell ref="V142:V143"/>
    <mergeCell ref="C168:D168"/>
    <mergeCell ref="C169:D169"/>
    <mergeCell ref="C170:D170"/>
    <mergeCell ref="C171:D171"/>
    <mergeCell ref="C172:D172"/>
    <mergeCell ref="C173:D173"/>
    <mergeCell ref="C162:D162"/>
    <mergeCell ref="C163:D163"/>
    <mergeCell ref="C164:D164"/>
    <mergeCell ref="C165:D165"/>
    <mergeCell ref="C166:D166"/>
    <mergeCell ref="C167:D167"/>
    <mergeCell ref="F198:G198"/>
    <mergeCell ref="I198:J198"/>
    <mergeCell ref="F199:G199"/>
    <mergeCell ref="I199:J199"/>
    <mergeCell ref="F200:G200"/>
    <mergeCell ref="I200:J200"/>
    <mergeCell ref="C174:D174"/>
    <mergeCell ref="DN194:DO194"/>
    <mergeCell ref="F196:G196"/>
    <mergeCell ref="I196:J196"/>
    <mergeCell ref="F197:G197"/>
    <mergeCell ref="I197:J197"/>
    <mergeCell ref="V203:V204"/>
    <mergeCell ref="W203:W204"/>
    <mergeCell ref="X203:X204"/>
    <mergeCell ref="Y203:Y204"/>
    <mergeCell ref="F201:G201"/>
    <mergeCell ref="I201:J201"/>
    <mergeCell ref="P203:P204"/>
    <mergeCell ref="Q203:Q204"/>
    <mergeCell ref="R203:R204"/>
    <mergeCell ref="S203:S204"/>
    <mergeCell ref="AL203:AL204"/>
    <mergeCell ref="AM203:AM204"/>
    <mergeCell ref="AN203:AN204"/>
    <mergeCell ref="P222:T222"/>
    <mergeCell ref="U222:U224"/>
    <mergeCell ref="V222:X222"/>
    <mergeCell ref="AB222:AB224"/>
    <mergeCell ref="P223:P224"/>
    <mergeCell ref="Q223:Q224"/>
    <mergeCell ref="R223:R224"/>
    <mergeCell ref="AF203:AF204"/>
    <mergeCell ref="AG203:AG204"/>
    <mergeCell ref="AH203:AH204"/>
    <mergeCell ref="AI203:AI204"/>
    <mergeCell ref="AJ203:AJ204"/>
    <mergeCell ref="AK203:AK204"/>
    <mergeCell ref="Z203:Z204"/>
    <mergeCell ref="AA203:AA204"/>
    <mergeCell ref="AB203:AB204"/>
    <mergeCell ref="AC203:AC204"/>
    <mergeCell ref="AD203:AD204"/>
    <mergeCell ref="AE203:AE204"/>
    <mergeCell ref="T203:T204"/>
    <mergeCell ref="U203:U204"/>
    <mergeCell ref="AD223:AD224"/>
    <mergeCell ref="AE223:AE224"/>
    <mergeCell ref="B226:C226"/>
    <mergeCell ref="S223:S224"/>
    <mergeCell ref="T223:T224"/>
    <mergeCell ref="V223:V224"/>
    <mergeCell ref="W223:W224"/>
    <mergeCell ref="X223:X224"/>
    <mergeCell ref="Y223:Y224"/>
    <mergeCell ref="B227:C227"/>
    <mergeCell ref="D230:E230"/>
    <mergeCell ref="B233:C233"/>
    <mergeCell ref="B235:C235"/>
    <mergeCell ref="B236:C236"/>
    <mergeCell ref="B238:C238"/>
    <mergeCell ref="Z223:Z224"/>
    <mergeCell ref="AA223:AA224"/>
    <mergeCell ref="AC223:AC224"/>
    <mergeCell ref="B245:C245"/>
    <mergeCell ref="I254:J255"/>
    <mergeCell ref="K254:K255"/>
    <mergeCell ref="E255:F255"/>
    <mergeCell ref="E256:F256"/>
    <mergeCell ref="E257:F257"/>
    <mergeCell ref="B239:C239"/>
    <mergeCell ref="B240:C240"/>
    <mergeCell ref="DJ241:DK241"/>
    <mergeCell ref="DJ242:DK242"/>
    <mergeCell ref="B243:C243"/>
    <mergeCell ref="B244:C244"/>
    <mergeCell ref="DK290:DL290"/>
    <mergeCell ref="E291:F291"/>
    <mergeCell ref="E292:F292"/>
    <mergeCell ref="E293:F293"/>
    <mergeCell ref="E258:F258"/>
    <mergeCell ref="DJ261:DJ262"/>
    <mergeCell ref="DK261:DK262"/>
    <mergeCell ref="I282:J283"/>
    <mergeCell ref="K282:K283"/>
    <mergeCell ref="E294:F294"/>
    <mergeCell ref="B308:E308"/>
    <mergeCell ref="C311:D311"/>
    <mergeCell ref="G311:H311"/>
    <mergeCell ref="K311:L311"/>
    <mergeCell ref="C312:D312"/>
    <mergeCell ref="G312:H312"/>
    <mergeCell ref="K312:L312"/>
    <mergeCell ref="K285:K286"/>
    <mergeCell ref="E290:F290"/>
    <mergeCell ref="C315:D315"/>
    <mergeCell ref="G315:H315"/>
    <mergeCell ref="K315:L315"/>
    <mergeCell ref="C316:D316"/>
    <mergeCell ref="G316:H316"/>
    <mergeCell ref="K316:L316"/>
    <mergeCell ref="C313:D313"/>
    <mergeCell ref="G313:H313"/>
    <mergeCell ref="K313:L313"/>
    <mergeCell ref="C314:D314"/>
    <mergeCell ref="G314:H314"/>
    <mergeCell ref="K314:L314"/>
    <mergeCell ref="DK318:DL318"/>
    <mergeCell ref="C319:D319"/>
    <mergeCell ref="G319:H319"/>
    <mergeCell ref="K319:L319"/>
    <mergeCell ref="C320:D320"/>
    <mergeCell ref="G320:H320"/>
    <mergeCell ref="K320:L320"/>
    <mergeCell ref="C317:D317"/>
    <mergeCell ref="G317:H317"/>
    <mergeCell ref="K317:L317"/>
    <mergeCell ref="C318:D318"/>
    <mergeCell ref="G318:H318"/>
    <mergeCell ref="K318:L318"/>
    <mergeCell ref="C323:D323"/>
    <mergeCell ref="G323:H323"/>
    <mergeCell ref="K323:L323"/>
    <mergeCell ref="C324:D324"/>
    <mergeCell ref="G324:H324"/>
    <mergeCell ref="K324:L324"/>
    <mergeCell ref="C321:D321"/>
    <mergeCell ref="G321:H321"/>
    <mergeCell ref="K321:L321"/>
    <mergeCell ref="C322:D322"/>
    <mergeCell ref="G322:H322"/>
    <mergeCell ref="K322:L322"/>
    <mergeCell ref="B329:C329"/>
    <mergeCell ref="F329:G329"/>
    <mergeCell ref="J329:K329"/>
    <mergeCell ref="B330:C330"/>
    <mergeCell ref="F330:G330"/>
    <mergeCell ref="J330:K330"/>
    <mergeCell ref="C325:D325"/>
    <mergeCell ref="G325:H325"/>
    <mergeCell ref="K325:L325"/>
    <mergeCell ref="C326:D326"/>
    <mergeCell ref="G326:H326"/>
    <mergeCell ref="K326:L326"/>
    <mergeCell ref="DJ363:DK363"/>
    <mergeCell ref="AB366:AB367"/>
    <mergeCell ref="B372:D372"/>
    <mergeCell ref="C373:C374"/>
    <mergeCell ref="D373:D374"/>
    <mergeCell ref="E373:E374"/>
    <mergeCell ref="F373:F374"/>
    <mergeCell ref="B331:D331"/>
    <mergeCell ref="F331:H331"/>
    <mergeCell ref="J331:L331"/>
    <mergeCell ref="Q331:AE331"/>
    <mergeCell ref="AG331:AV331"/>
    <mergeCell ref="U332:W332"/>
    <mergeCell ref="AK332:AM332"/>
    <mergeCell ref="AV392:AV398"/>
    <mergeCell ref="B401:C401"/>
    <mergeCell ref="B405:D405"/>
    <mergeCell ref="C407:D407"/>
    <mergeCell ref="C408:D408"/>
    <mergeCell ref="B386:E386"/>
    <mergeCell ref="B387:F387"/>
    <mergeCell ref="AG392:AG398"/>
    <mergeCell ref="AO392:AO398"/>
    <mergeCell ref="AP392:AP398"/>
    <mergeCell ref="AQ392:AQ398"/>
    <mergeCell ref="ES11:ET13"/>
    <mergeCell ref="ES9:ET10"/>
    <mergeCell ref="B473:C473"/>
    <mergeCell ref="B475:C475"/>
    <mergeCell ref="B477:C477"/>
    <mergeCell ref="B462:C462"/>
    <mergeCell ref="B469:C469"/>
    <mergeCell ref="B467:C467"/>
    <mergeCell ref="B431:D431"/>
    <mergeCell ref="F432:F433"/>
    <mergeCell ref="B446:E446"/>
    <mergeCell ref="B447:D447"/>
    <mergeCell ref="C448:C449"/>
    <mergeCell ref="D448:D449"/>
    <mergeCell ref="E448:E449"/>
    <mergeCell ref="F448:F449"/>
    <mergeCell ref="C409:D409"/>
    <mergeCell ref="C410:D410"/>
    <mergeCell ref="B411:E411"/>
    <mergeCell ref="B412:D412"/>
    <mergeCell ref="C413:C414"/>
    <mergeCell ref="D413:D414"/>
    <mergeCell ref="E413:E414"/>
    <mergeCell ref="AR392:AR398"/>
  </mergeCells>
  <conditionalFormatting sqref="E375:E385">
    <cfRule type="expression" dxfId="29" priority="17">
      <formula>$C375="Discharged to sewer"</formula>
    </cfRule>
  </conditionalFormatting>
  <conditionalFormatting sqref="C201">
    <cfRule type="expression" dxfId="28" priority="19">
      <formula>$Y$3</formula>
    </cfRule>
  </conditionalFormatting>
  <conditionalFormatting sqref="D28">
    <cfRule type="expression" dxfId="27" priority="20">
      <formula>$N$10=TRUE</formula>
    </cfRule>
  </conditionalFormatting>
  <conditionalFormatting sqref="C162:D173">
    <cfRule type="expression" dxfId="26" priority="21">
      <formula>$O$138=FALSE</formula>
    </cfRule>
  </conditionalFormatting>
  <conditionalFormatting sqref="D235:D236 D238:D240 D226:D227 D230:D233">
    <cfRule type="expression" dxfId="25" priority="22">
      <formula>$D$224="No"</formula>
    </cfRule>
  </conditionalFormatting>
  <conditionalFormatting sqref="B407:D410">
    <cfRule type="expression" dxfId="24" priority="23">
      <formula>$F$404="No"</formula>
    </cfRule>
  </conditionalFormatting>
  <conditionalFormatting sqref="C433:E445 C450:E461">
    <cfRule type="expression" dxfId="23" priority="24">
      <formula>$F$430="No"</formula>
    </cfRule>
  </conditionalFormatting>
  <conditionalFormatting sqref="F404:F405 F407:F410 B407:C410 F371 F430 C375:C385 E375:E385 C389:C400 C415:D426 C433:E445 C450:E461">
    <cfRule type="expression" dxfId="22" priority="25">
      <formula>$N$385=FALSE</formula>
    </cfRule>
  </conditionalFormatting>
  <conditionalFormatting sqref="C375:C385 E375:E385 C389:C400">
    <cfRule type="expression" dxfId="21" priority="16">
      <formula>$F$371="No"</formula>
    </cfRule>
  </conditionalFormatting>
  <conditionalFormatting sqref="B407:D410 F405 F407:F410">
    <cfRule type="expression" dxfId="20" priority="15">
      <formula>$F$404="No"</formula>
    </cfRule>
  </conditionalFormatting>
  <conditionalFormatting sqref="D233">
    <cfRule type="expression" dxfId="19" priority="26">
      <formula>$D$230&lt;&gt;$N$241</formula>
    </cfRule>
  </conditionalFormatting>
  <conditionalFormatting sqref="D235:D236">
    <cfRule type="expression" dxfId="18" priority="27">
      <formula>$D$230&lt;&gt;$N$242</formula>
    </cfRule>
  </conditionalFormatting>
  <conditionalFormatting sqref="I144:I155">
    <cfRule type="expression" dxfId="17" priority="28">
      <formula>$O$140="No"</formula>
    </cfRule>
  </conditionalFormatting>
  <conditionalFormatting sqref="G91">
    <cfRule type="expression" dxfId="16" priority="14">
      <formula>1-$N$92</formula>
    </cfRule>
  </conditionalFormatting>
  <conditionalFormatting sqref="G93">
    <cfRule type="expression" dxfId="15" priority="13">
      <formula>1-$N$94</formula>
    </cfRule>
  </conditionalFormatting>
  <conditionalFormatting sqref="B226:M229 B231:M240 B230:D230 F230:M230">
    <cfRule type="expression" dxfId="14" priority="12">
      <formula>$D$224="No"</formula>
    </cfRule>
  </conditionalFormatting>
  <conditionalFormatting sqref="I254:K255">
    <cfRule type="expression" dxfId="13" priority="29">
      <formula>$P$254</formula>
    </cfRule>
  </conditionalFormatting>
  <conditionalFormatting sqref="I259:K270 I258 K258 I271 K271">
    <cfRule type="expression" dxfId="12" priority="11">
      <formula>$P$256=0</formula>
    </cfRule>
  </conditionalFormatting>
  <conditionalFormatting sqref="I282 K282">
    <cfRule type="expression" dxfId="11" priority="10">
      <formula>$P$283</formula>
    </cfRule>
  </conditionalFormatting>
  <conditionalFormatting sqref="B331:D331">
    <cfRule type="expression" dxfId="10" priority="33">
      <formula>$D$330&lt;0.03</formula>
    </cfRule>
  </conditionalFormatting>
  <conditionalFormatting sqref="F331:H331">
    <cfRule type="expression" dxfId="9" priority="9">
      <formula>$H$330&lt;0.03</formula>
    </cfRule>
  </conditionalFormatting>
  <conditionalFormatting sqref="J331:L331">
    <cfRule type="expression" dxfId="8" priority="8">
      <formula>$L$330&lt;0.03</formula>
    </cfRule>
  </conditionalFormatting>
  <conditionalFormatting sqref="I285:K285 I287:K299 I286:J286">
    <cfRule type="expression" dxfId="7" priority="30">
      <formula>$K$282="No"</formula>
    </cfRule>
  </conditionalFormatting>
  <conditionalFormatting sqref="B282:L284 B297:L299 B285:B296 D285:L296">
    <cfRule type="expression" dxfId="6" priority="31">
      <formula>$E$279="No"</formula>
    </cfRule>
  </conditionalFormatting>
  <conditionalFormatting sqref="B254:K256 B268:K270 K258 B271:I271 K271 D258:I258 D259:K267 D257:H257 B257:C267">
    <cfRule type="expression" dxfId="5" priority="32">
      <formula>$E$250="No"</formula>
    </cfRule>
  </conditionalFormatting>
  <conditionalFormatting sqref="B309:L311 B327:L332 E312:G326 I312:K326 B312:C326">
    <cfRule type="expression" dxfId="4" priority="7">
      <formula>$F$308="No"</formula>
    </cfRule>
  </conditionalFormatting>
  <conditionalFormatting sqref="H137:J156">
    <cfRule type="expression" dxfId="3" priority="6">
      <formula>$I$136=$N$134</formula>
    </cfRule>
  </conditionalFormatting>
  <conditionalFormatting sqref="M4">
    <cfRule type="expression" dxfId="2" priority="5">
      <formula>#REF!="Discharged to sewer"</formula>
    </cfRule>
  </conditionalFormatting>
  <conditionalFormatting sqref="C285:C296">
    <cfRule type="expression" dxfId="1" priority="4">
      <formula>$E$279="No"</formula>
    </cfRule>
  </conditionalFormatting>
  <conditionalFormatting sqref="H91">
    <cfRule type="expression" dxfId="0" priority="1">
      <formula>1-$N$92</formula>
    </cfRule>
  </conditionalFormatting>
  <dataValidations count="18">
    <dataValidation type="list" allowBlank="1" showInputMessage="1" showErrorMessage="1" sqref="C407:D410">
      <formula1>$DJ$367:$DJ$370</formula1>
    </dataValidation>
    <dataValidation type="list" allowBlank="1" showInputMessage="1" showErrorMessage="1" sqref="F197:F201">
      <formula1>$DN$196:$DN$206</formula1>
    </dataValidation>
    <dataValidation type="list" allowBlank="1" showInputMessage="1" showErrorMessage="1" sqref="F430 D240 D67 F404 F371 D224 E369 E250 K254 E279 K282 F308 F286:F288">
      <formula1>"Yes,No"</formula1>
    </dataValidation>
    <dataValidation type="list" allowBlank="1" showInputMessage="1" showErrorMessage="1" sqref="C375:C385">
      <formula1>$N$417:$N$418</formula1>
    </dataValidation>
    <dataValidation type="list" allowBlank="1" showInputMessage="1" showErrorMessage="1" sqref="D236 D238">
      <formula1>$W$239:$W$240</formula1>
    </dataValidation>
    <dataValidation type="list" allowBlank="1" showInputMessage="1" showErrorMessage="1" sqref="D239">
      <formula1>$W$241:$W$242</formula1>
    </dataValidation>
    <dataValidation type="list" allowBlank="1" showInputMessage="1" showErrorMessage="1" sqref="D232">
      <formula1>"Basic Controls,Advanced Controls"</formula1>
    </dataValidation>
    <dataValidation type="list" allowBlank="1" showInputMessage="1" showErrorMessage="1" sqref="H197:H201">
      <formula1>$DJ$203:$DJ$206</formula1>
    </dataValidation>
    <dataValidation type="list" allowBlank="1" showInputMessage="1" showErrorMessage="1" sqref="D197:D201">
      <formula1>$DJ$194:$DJ$200</formula1>
    </dataValidation>
    <dataValidation type="list" allowBlank="1" showInputMessage="1" showErrorMessage="1" sqref="D230">
      <formula1>$N$240:$N$242</formula1>
    </dataValidation>
    <dataValidation type="list" allowBlank="1" showInputMessage="1" showErrorMessage="1" sqref="D82:D85">
      <formula1>$DJ$62:$DJ$65</formula1>
    </dataValidation>
    <dataValidation type="list" allowBlank="1" showInputMessage="1" showErrorMessage="1" sqref="F13:F27">
      <formula1>$S$38:$S$40</formula1>
    </dataValidation>
    <dataValidation type="list" allowBlank="1" showInputMessage="1" showErrorMessage="1" sqref="E136:F136">
      <formula1>$N$133:$N$134</formula1>
    </dataValidation>
    <dataValidation type="list" allowBlank="1" showInputMessage="1" showErrorMessage="1" sqref="F158">
      <formula1>"Yes,None"</formula1>
    </dataValidation>
    <dataValidation type="list" allowBlank="1" showInputMessage="1" showErrorMessage="1" sqref="F285">
      <formula1>$DJ$292:$DJ$296</formula1>
    </dataValidation>
    <dataValidation type="list" allowBlank="1" showInputMessage="1" showErrorMessage="1" sqref="I197:I201">
      <formula1>$U$194:$W$194</formula1>
    </dataValidation>
    <dataValidation type="list" allowBlank="1" showInputMessage="1" showErrorMessage="1" sqref="D13:D27">
      <formula1>$AG$11:$AG$26</formula1>
    </dataValidation>
    <dataValidation type="list" allowBlank="1" showInputMessage="1" showErrorMessage="1" sqref="H13:H27">
      <formula1>$DJ$72:$DJ$78</formula1>
    </dataValidation>
  </dataValidations>
  <hyperlinks>
    <hyperlink ref="D3" location="'Potable Water Calculator'!B7" display="Building Information"/>
    <hyperlink ref="I4" location="'Potable Water Calculator'!B194:M216" display="STEP 2c Irrigation"/>
    <hyperlink ref="J4" location="'Potable Water Calculator'!B221:M241" display="STEP 2d Pools"/>
    <hyperlink ref="F6" location="'Potable Water Calculator'!B465:M487" display="SUMMARY"/>
    <hyperlink ref="D5" location="'Potable Water Calculator'!B248:M268" display="STEP 2e Laundry Facilities"/>
    <hyperlink ref="F5" location="'Potable Water Calculator'!B277:M296" display="STEP 2f Large Kitchens"/>
    <hyperlink ref="H5" location="'Potable Water Calculator'!B305:M327" display="STEP 2g Other Major Water Uses"/>
    <hyperlink ref="G4" location="'Potable Water Calculator'!B130:M151" display="STEP 2b Heat Rejection"/>
    <hyperlink ref="D4" location="'Potable Water Calculator'!B53:M72" display="STEP 2a Occupant Ammenity Water"/>
    <hyperlink ref="D12:E12" location="'Potable Water Calculator'!EW9" tooltip="User Defined Profile" display="Click here to enter a 'User Defined' profile"/>
  </hyperlinks>
  <pageMargins left="0.70866141732283472" right="0.70866141732283472" top="0.74803149606299213" bottom="0.74803149606299213" header="0.31496062992125984" footer="0.31496062992125984"/>
  <pageSetup scale="1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'Rainfall data'!$B$3:$B$33</xm:f>
          </x14:formula1>
          <xm:sqref>D31:E31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7"/>
  <sheetViews>
    <sheetView topLeftCell="A4" zoomScaleSheetLayoutView="100" workbookViewId="0">
      <selection activeCell="C21" sqref="C21"/>
    </sheetView>
  </sheetViews>
  <sheetFormatPr defaultColWidth="9" defaultRowHeight="12.75"/>
  <cols>
    <col min="1" max="1" width="3.85546875" style="581" customWidth="1"/>
    <col min="2" max="2" width="19.85546875" style="581" customWidth="1"/>
    <col min="3" max="3" width="97.85546875" style="581" customWidth="1"/>
    <col min="4" max="16384" width="9" style="581"/>
  </cols>
  <sheetData>
    <row r="1" spans="1:3" s="580" customFormat="1" ht="44.25" customHeight="1"/>
    <row r="2" spans="1:3" s="580" customFormat="1" ht="6.75" customHeight="1"/>
    <row r="3" spans="1:3" s="580" customFormat="1" ht="8.25" customHeight="1">
      <c r="A3" s="581"/>
      <c r="B3" s="581"/>
      <c r="C3" s="581"/>
    </row>
    <row r="4" spans="1:3" s="580" customFormat="1" ht="6.75" customHeight="1"/>
    <row r="5" spans="1:3" s="580" customFormat="1" ht="54.75" customHeight="1">
      <c r="A5" s="592"/>
      <c r="B5" s="593" t="s">
        <v>612</v>
      </c>
      <c r="C5" s="592"/>
    </row>
    <row r="6" spans="1:3" s="580" customFormat="1" ht="8.25" customHeight="1">
      <c r="B6" s="583"/>
    </row>
    <row r="7" spans="1:3" s="580" customFormat="1" ht="8.25" customHeight="1">
      <c r="A7" s="581"/>
      <c r="B7" s="584"/>
      <c r="C7" s="581"/>
    </row>
    <row r="8" spans="1:3" s="580" customFormat="1" ht="12.75" customHeight="1">
      <c r="C8" s="585"/>
    </row>
    <row r="9" spans="1:3" s="580" customFormat="1" ht="12.75" customHeight="1">
      <c r="B9" s="582" t="s">
        <v>613</v>
      </c>
    </row>
    <row r="10" spans="1:3" s="580" customFormat="1" ht="6" customHeight="1">
      <c r="C10" s="585"/>
    </row>
    <row r="11" spans="1:3" s="580" customFormat="1" ht="12.75" customHeight="1" thickBot="1">
      <c r="C11" s="585"/>
    </row>
    <row r="12" spans="1:3" s="580" customFormat="1" ht="12.75" customHeight="1" thickBot="1">
      <c r="B12" s="590" t="s">
        <v>614</v>
      </c>
      <c r="C12" s="591" t="s">
        <v>615</v>
      </c>
    </row>
    <row r="13" spans="1:3" s="580" customFormat="1" ht="25.5">
      <c r="B13" s="594">
        <v>41708</v>
      </c>
      <c r="C13" s="595" t="s">
        <v>616</v>
      </c>
    </row>
    <row r="14" spans="1:3" s="580" customFormat="1" ht="25.5">
      <c r="B14" s="602">
        <v>41922</v>
      </c>
      <c r="C14" s="601" t="s">
        <v>622</v>
      </c>
    </row>
    <row r="15" spans="1:3" s="580" customFormat="1">
      <c r="B15" s="586">
        <v>41942</v>
      </c>
      <c r="C15" s="601" t="s">
        <v>623</v>
      </c>
    </row>
    <row r="16" spans="1:3" s="580" customFormat="1">
      <c r="B16" s="586">
        <v>41946</v>
      </c>
      <c r="C16" s="601" t="s">
        <v>672</v>
      </c>
    </row>
    <row r="17" spans="2:3" s="580" customFormat="1" ht="12.75" customHeight="1">
      <c r="B17" s="586"/>
      <c r="C17" s="587"/>
    </row>
    <row r="18" spans="2:3" s="580" customFormat="1">
      <c r="B18" s="586"/>
      <c r="C18" s="588"/>
    </row>
    <row r="19" spans="2:3" s="580" customFormat="1" ht="12.75" customHeight="1">
      <c r="B19" s="586"/>
      <c r="C19" s="588"/>
    </row>
    <row r="20" spans="2:3" s="580" customFormat="1">
      <c r="B20" s="586"/>
      <c r="C20" s="588"/>
    </row>
    <row r="21" spans="2:3" s="580" customFormat="1">
      <c r="B21" s="586"/>
      <c r="C21" s="588"/>
    </row>
    <row r="22" spans="2:3" s="580" customFormat="1">
      <c r="B22" s="586"/>
      <c r="C22" s="588"/>
    </row>
    <row r="23" spans="2:3" s="580" customFormat="1" ht="12.75" customHeight="1">
      <c r="B23" s="586"/>
      <c r="C23" s="588"/>
    </row>
    <row r="24" spans="2:3" s="580" customFormat="1">
      <c r="B24" s="586"/>
      <c r="C24" s="588"/>
    </row>
    <row r="25" spans="2:3" s="580" customFormat="1" ht="12.75" customHeight="1">
      <c r="B25" s="586"/>
      <c r="C25" s="588"/>
    </row>
    <row r="26" spans="2:3" s="580" customFormat="1" ht="12.75" customHeight="1">
      <c r="B26" s="586"/>
      <c r="C26" s="588"/>
    </row>
    <row r="27" spans="2:3" s="580" customFormat="1" ht="12.75" customHeight="1">
      <c r="B27" s="586"/>
      <c r="C27" s="588"/>
    </row>
    <row r="28" spans="2:3" s="580" customFormat="1" ht="12.75" customHeight="1">
      <c r="B28" s="586"/>
      <c r="C28" s="588"/>
    </row>
    <row r="29" spans="2:3" s="580" customFormat="1" ht="12.75" customHeight="1">
      <c r="B29" s="586"/>
      <c r="C29" s="588"/>
    </row>
    <row r="30" spans="2:3" s="580" customFormat="1" ht="12.75" customHeight="1">
      <c r="B30" s="586"/>
      <c r="C30" s="588"/>
    </row>
    <row r="31" spans="2:3" s="580" customFormat="1" ht="12.75" customHeight="1">
      <c r="B31" s="586"/>
      <c r="C31" s="588"/>
    </row>
    <row r="32" spans="2:3" s="580" customFormat="1" ht="12.75" customHeight="1">
      <c r="B32" s="586"/>
      <c r="C32" s="588"/>
    </row>
    <row r="33" spans="2:3" s="580" customFormat="1" ht="12.75" customHeight="1">
      <c r="B33" s="586"/>
      <c r="C33" s="588"/>
    </row>
    <row r="34" spans="2:3" s="580" customFormat="1" ht="12.75" customHeight="1">
      <c r="B34" s="586"/>
      <c r="C34" s="588"/>
    </row>
    <row r="35" spans="2:3" s="580" customFormat="1">
      <c r="B35" s="586"/>
      <c r="C35" s="588"/>
    </row>
    <row r="36" spans="2:3" s="580" customFormat="1">
      <c r="B36" s="586"/>
      <c r="C36" s="588"/>
    </row>
    <row r="37" spans="2:3" s="580" customFormat="1">
      <c r="B37" s="586"/>
      <c r="C37" s="588"/>
    </row>
    <row r="38" spans="2:3" s="580" customFormat="1">
      <c r="B38" s="586"/>
      <c r="C38" s="588"/>
    </row>
    <row r="39" spans="2:3" s="580" customFormat="1">
      <c r="B39" s="586"/>
      <c r="C39" s="588"/>
    </row>
    <row r="40" spans="2:3" s="580" customFormat="1">
      <c r="B40" s="586"/>
      <c r="C40" s="588"/>
    </row>
    <row r="41" spans="2:3" s="580" customFormat="1">
      <c r="B41" s="586"/>
      <c r="C41" s="588"/>
    </row>
    <row r="42" spans="2:3" s="580" customFormat="1">
      <c r="B42" s="586"/>
      <c r="C42" s="588"/>
    </row>
    <row r="43" spans="2:3" s="580" customFormat="1">
      <c r="B43" s="586"/>
      <c r="C43" s="588"/>
    </row>
    <row r="44" spans="2:3" s="580" customFormat="1">
      <c r="B44" s="586"/>
      <c r="C44" s="588"/>
    </row>
    <row r="45" spans="2:3" s="580" customFormat="1" ht="13.5" thickBot="1">
      <c r="B45" s="589"/>
      <c r="C45" s="588"/>
    </row>
    <row r="46" spans="2:3" s="580" customFormat="1"/>
    <row r="47" spans="2:3" s="580" customFormat="1"/>
    <row r="48" spans="2:3" s="580" customFormat="1"/>
    <row r="49" s="580" customFormat="1"/>
    <row r="50" s="580" customFormat="1"/>
    <row r="51" s="580" customFormat="1"/>
    <row r="52" s="580" customFormat="1"/>
    <row r="53" s="580" customFormat="1"/>
    <row r="54" s="580" customFormat="1"/>
    <row r="55" s="580" customFormat="1"/>
    <row r="56" s="580" customFormat="1"/>
    <row r="57" s="580" customFormat="1"/>
    <row r="58" s="580" customFormat="1"/>
    <row r="59" s="580" customFormat="1"/>
    <row r="60" s="580" customFormat="1"/>
    <row r="61" s="580" customFormat="1"/>
    <row r="62" s="580" customFormat="1"/>
    <row r="63" s="580" customFormat="1"/>
    <row r="64" s="580" customFormat="1"/>
    <row r="65" s="580" customFormat="1"/>
    <row r="66" s="580" customFormat="1"/>
    <row r="67" s="580" customFormat="1"/>
    <row r="68" s="580" customFormat="1"/>
    <row r="69" s="580" customFormat="1"/>
    <row r="70" s="580" customFormat="1"/>
    <row r="71" s="580" customFormat="1"/>
    <row r="72" s="580" customFormat="1"/>
    <row r="73" s="580" customFormat="1"/>
    <row r="74" s="580" customFormat="1"/>
    <row r="75" s="580" customFormat="1"/>
    <row r="76" s="580" customFormat="1"/>
    <row r="77" s="580" customFormat="1"/>
    <row r="78" s="580" customFormat="1"/>
    <row r="79" s="580" customFormat="1"/>
    <row r="80" s="580" customFormat="1"/>
    <row r="81" s="580" customFormat="1"/>
    <row r="82" s="580" customFormat="1"/>
    <row r="83" s="580" customFormat="1"/>
    <row r="84" s="580" customFormat="1"/>
    <row r="85" s="580" customFormat="1"/>
    <row r="86" s="580" customFormat="1"/>
    <row r="87" s="580" customFormat="1"/>
    <row r="88" s="580" customFormat="1"/>
    <row r="89" s="580" customFormat="1"/>
    <row r="90" s="580" customFormat="1"/>
    <row r="91" s="580" customFormat="1"/>
    <row r="92" s="580" customFormat="1"/>
    <row r="93" s="580" customFormat="1"/>
    <row r="94" s="580" customFormat="1"/>
    <row r="95" s="580" customFormat="1"/>
    <row r="96" s="580" customFormat="1"/>
    <row r="97" s="580" customFormat="1"/>
    <row r="98" s="580" customFormat="1"/>
    <row r="99" s="580" customFormat="1"/>
    <row r="100" s="580" customFormat="1"/>
    <row r="101" s="580" customFormat="1"/>
    <row r="102" s="580" customFormat="1"/>
    <row r="103" s="580" customFormat="1"/>
    <row r="104" s="580" customFormat="1"/>
    <row r="105" s="580" customFormat="1"/>
    <row r="106" s="580" customFormat="1"/>
    <row r="107" s="580" customFormat="1"/>
    <row r="108" s="580" customFormat="1"/>
    <row r="109" s="580" customFormat="1"/>
    <row r="110" s="580" customFormat="1"/>
    <row r="111" s="580" customFormat="1"/>
    <row r="112" s="580" customFormat="1"/>
    <row r="113" s="580" customFormat="1"/>
    <row r="114" s="580" customFormat="1"/>
    <row r="115" s="580" customFormat="1"/>
    <row r="116" s="580" customFormat="1"/>
    <row r="117" s="580" customFormat="1"/>
    <row r="118" s="580" customFormat="1"/>
    <row r="119" s="580" customFormat="1"/>
    <row r="120" s="580" customFormat="1"/>
    <row r="121" s="580" customFormat="1"/>
    <row r="122" s="580" customFormat="1"/>
    <row r="123" s="580" customFormat="1"/>
    <row r="124" s="580" customFormat="1"/>
    <row r="125" s="580" customFormat="1"/>
    <row r="126" s="580" customFormat="1"/>
    <row r="127" s="580" customFormat="1"/>
    <row r="128" s="580" customFormat="1"/>
    <row r="129" s="580" customFormat="1"/>
    <row r="130" s="580" customFormat="1"/>
    <row r="131" s="580" customFormat="1"/>
    <row r="132" s="580" customFormat="1"/>
    <row r="133" s="580" customFormat="1"/>
    <row r="134" s="580" customFormat="1"/>
    <row r="135" s="580" customFormat="1"/>
    <row r="136" s="580" customFormat="1"/>
    <row r="137" s="580" customFormat="1"/>
    <row r="138" s="580" customFormat="1"/>
    <row r="139" s="580" customFormat="1"/>
    <row r="140" s="580" customFormat="1"/>
    <row r="141" s="580" customFormat="1"/>
    <row r="142" s="580" customFormat="1"/>
    <row r="143" s="580" customFormat="1"/>
    <row r="144" s="580" customFormat="1"/>
    <row r="145" s="580" customFormat="1"/>
    <row r="146" s="580" customFormat="1"/>
    <row r="147" s="580" customFormat="1"/>
    <row r="148" s="580" customFormat="1"/>
    <row r="149" s="580" customFormat="1"/>
    <row r="150" s="580" customFormat="1"/>
    <row r="151" s="580" customFormat="1"/>
    <row r="152" s="580" customFormat="1"/>
    <row r="153" s="580" customFormat="1"/>
    <row r="154" s="580" customFormat="1"/>
    <row r="155" s="580" customFormat="1"/>
    <row r="156" s="580" customFormat="1"/>
    <row r="157" s="580" customFormat="1"/>
    <row r="158" s="580" customFormat="1"/>
    <row r="159" s="580" customFormat="1"/>
    <row r="160" s="580" customFormat="1"/>
    <row r="161" s="580" customFormat="1"/>
    <row r="162" s="580" customFormat="1"/>
    <row r="163" s="580" customFormat="1"/>
    <row r="164" s="580" customFormat="1"/>
    <row r="165" s="580" customFormat="1"/>
    <row r="166" s="580" customFormat="1"/>
    <row r="167" s="580" customFormat="1"/>
    <row r="168" s="580" customFormat="1"/>
    <row r="169" s="580" customFormat="1"/>
    <row r="170" s="580" customFormat="1"/>
    <row r="171" s="580" customFormat="1"/>
    <row r="172" s="580" customFormat="1"/>
    <row r="173" s="580" customFormat="1"/>
    <row r="174" s="580" customFormat="1"/>
    <row r="175" s="580" customFormat="1"/>
    <row r="176" s="580" customFormat="1"/>
    <row r="177" s="580" customFormat="1"/>
    <row r="178" s="580" customFormat="1"/>
    <row r="179" s="580" customFormat="1"/>
    <row r="180" s="580" customFormat="1"/>
    <row r="181" s="580" customFormat="1"/>
    <row r="182" s="580" customFormat="1"/>
    <row r="183" s="580" customFormat="1"/>
    <row r="184" s="580" customFormat="1"/>
    <row r="185" s="580" customFormat="1"/>
    <row r="186" s="580" customFormat="1"/>
    <row r="187" s="580" customFormat="1"/>
    <row r="188" s="580" customFormat="1"/>
    <row r="189" s="580" customFormat="1"/>
    <row r="190" s="580" customFormat="1"/>
    <row r="191" s="580" customFormat="1"/>
    <row r="192" s="580" customFormat="1"/>
    <row r="193" s="580" customFormat="1"/>
    <row r="194" s="580" customFormat="1"/>
    <row r="195" s="580" customFormat="1"/>
    <row r="196" s="580" customFormat="1"/>
    <row r="197" s="580" customFormat="1"/>
    <row r="198" s="580" customFormat="1"/>
    <row r="199" s="580" customFormat="1"/>
    <row r="200" s="580" customFormat="1"/>
    <row r="201" s="580" customFormat="1"/>
    <row r="202" s="580" customFormat="1"/>
    <row r="203" s="580" customFormat="1"/>
    <row r="204" s="580" customFormat="1"/>
    <row r="205" s="580" customFormat="1"/>
    <row r="206" s="580" customFormat="1"/>
    <row r="207" s="580" customFormat="1"/>
    <row r="208" s="580" customFormat="1"/>
    <row r="209" s="580" customFormat="1"/>
    <row r="210" s="580" customFormat="1"/>
    <row r="211" s="580" customFormat="1"/>
    <row r="212" s="580" customFormat="1"/>
    <row r="213" s="580" customFormat="1"/>
    <row r="214" s="580" customFormat="1"/>
    <row r="215" s="580" customFormat="1"/>
    <row r="216" s="580" customFormat="1"/>
    <row r="217" s="580" customFormat="1"/>
    <row r="218" s="580" customFormat="1"/>
    <row r="219" s="580" customFormat="1"/>
    <row r="220" s="580" customFormat="1"/>
    <row r="221" s="580" customFormat="1"/>
    <row r="222" s="580" customFormat="1"/>
    <row r="223" s="580" customFormat="1"/>
    <row r="224" s="580" customFormat="1"/>
    <row r="225" s="580" customFormat="1"/>
    <row r="226" s="580" customFormat="1"/>
    <row r="227" s="580" customFormat="1"/>
    <row r="228" s="580" customFormat="1"/>
    <row r="229" s="580" customFormat="1"/>
    <row r="230" s="580" customFormat="1"/>
    <row r="231" s="580" customFormat="1"/>
    <row r="232" s="580" customFormat="1"/>
    <row r="233" s="580" customFormat="1"/>
    <row r="234" s="580" customFormat="1"/>
    <row r="235" s="580" customFormat="1"/>
    <row r="236" s="580" customFormat="1"/>
    <row r="237" s="580" customFormat="1"/>
    <row r="238" s="580" customFormat="1"/>
    <row r="239" s="580" customFormat="1"/>
    <row r="240" s="580" customFormat="1"/>
    <row r="241" s="580" customFormat="1"/>
    <row r="242" s="580" customFormat="1"/>
    <row r="243" s="580" customFormat="1"/>
    <row r="244" s="580" customFormat="1"/>
    <row r="245" s="580" customFormat="1"/>
    <row r="246" s="580" customFormat="1"/>
    <row r="247" s="580" customFormat="1"/>
    <row r="248" s="580" customFormat="1"/>
    <row r="249" s="580" customFormat="1"/>
    <row r="250" s="580" customFormat="1"/>
    <row r="251" s="580" customFormat="1"/>
    <row r="252" s="580" customFormat="1"/>
    <row r="253" s="580" customFormat="1"/>
    <row r="254" s="580" customFormat="1"/>
    <row r="255" s="580" customFormat="1"/>
    <row r="256" s="580" customFormat="1"/>
    <row r="257" s="580" customFormat="1"/>
    <row r="258" s="580" customFormat="1"/>
    <row r="259" s="580" customFormat="1"/>
    <row r="260" s="580" customFormat="1"/>
    <row r="261" s="580" customFormat="1"/>
    <row r="262" s="580" customFormat="1"/>
    <row r="263" s="580" customFormat="1"/>
    <row r="264" s="580" customFormat="1"/>
    <row r="265" s="580" customFormat="1"/>
    <row r="266" s="580" customFormat="1"/>
    <row r="267" s="580" customFormat="1"/>
  </sheetData>
  <sheetProtection password="AD9B" sheet="1" objects="1" scenarios="1"/>
  <pageMargins left="0.59055118110236227" right="0.25" top="0.47244094488188981" bottom="0.47244094488188981" header="0.35433070866141736" footer="0.23622047244094491"/>
  <pageSetup orientation="portrait" horizontalDpi="4294967294" verticalDpi="0" r:id="rId1"/>
  <headerFooter alignWithMargins="0">
    <oddHeader>&amp;LGreen Building Council of South Africa&amp;R&amp;T   &amp;D</oddHeader>
    <oddFooter>&amp;L&amp;F&amp;CPage &amp;P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A104"/>
  <sheetViews>
    <sheetView topLeftCell="A3" workbookViewId="0">
      <selection activeCell="N31" sqref="N31"/>
    </sheetView>
  </sheetViews>
  <sheetFormatPr defaultColWidth="9.140625" defaultRowHeight="15"/>
  <cols>
    <col min="1" max="1" width="5" style="798" customWidth="1"/>
    <col min="2" max="3" width="21.5703125" style="798" customWidth="1"/>
    <col min="4" max="11" width="9.140625" style="798"/>
    <col min="12" max="12" width="11.140625" style="798" customWidth="1"/>
    <col min="13" max="13" width="9.140625" style="798"/>
    <col min="14" max="14" width="13" style="798" customWidth="1"/>
    <col min="15" max="15" width="10" style="798" customWidth="1"/>
    <col min="16" max="16" width="11.42578125" style="798" customWidth="1"/>
    <col min="17" max="17" width="26.5703125" style="798" customWidth="1"/>
    <col min="18" max="18" width="23.28515625" style="798" customWidth="1"/>
    <col min="19" max="19" width="13.5703125" style="798" bestFit="1" customWidth="1"/>
    <col min="20" max="26" width="9.140625" style="798"/>
    <col min="27" max="27" width="10.140625" style="798" customWidth="1"/>
    <col min="28" max="28" width="9.85546875" style="798" customWidth="1"/>
    <col min="29" max="33" width="9.140625" style="798"/>
    <col min="34" max="257" width="9.140625" style="819"/>
    <col min="258" max="258" width="5" style="819" customWidth="1"/>
    <col min="259" max="259" width="21.5703125" style="819" customWidth="1"/>
    <col min="260" max="267" width="9.140625" style="819"/>
    <col min="268" max="268" width="11.140625" style="819" customWidth="1"/>
    <col min="269" max="269" width="9.140625" style="819"/>
    <col min="270" max="270" width="13" style="819" customWidth="1"/>
    <col min="271" max="271" width="10" style="819" customWidth="1"/>
    <col min="272" max="272" width="11.42578125" style="819" customWidth="1"/>
    <col min="273" max="273" width="13.42578125" style="819" customWidth="1"/>
    <col min="274" max="274" width="9.140625" style="819"/>
    <col min="275" max="275" width="28.42578125" style="819" bestFit="1" customWidth="1"/>
    <col min="276" max="513" width="9.140625" style="819"/>
    <col min="514" max="514" width="5" style="819" customWidth="1"/>
    <col min="515" max="515" width="21.5703125" style="819" customWidth="1"/>
    <col min="516" max="523" width="9.140625" style="819"/>
    <col min="524" max="524" width="11.140625" style="819" customWidth="1"/>
    <col min="525" max="525" width="9.140625" style="819"/>
    <col min="526" max="526" width="13" style="819" customWidth="1"/>
    <col min="527" max="527" width="10" style="819" customWidth="1"/>
    <col min="528" max="528" width="11.42578125" style="819" customWidth="1"/>
    <col min="529" max="529" width="13.42578125" style="819" customWidth="1"/>
    <col min="530" max="530" width="9.140625" style="819"/>
    <col min="531" max="531" width="28.42578125" style="819" bestFit="1" customWidth="1"/>
    <col min="532" max="769" width="9.140625" style="819"/>
    <col min="770" max="770" width="5" style="819" customWidth="1"/>
    <col min="771" max="771" width="21.5703125" style="819" customWidth="1"/>
    <col min="772" max="779" width="9.140625" style="819"/>
    <col min="780" max="780" width="11.140625" style="819" customWidth="1"/>
    <col min="781" max="781" width="9.140625" style="819"/>
    <col min="782" max="782" width="13" style="819" customWidth="1"/>
    <col min="783" max="783" width="10" style="819" customWidth="1"/>
    <col min="784" max="784" width="11.42578125" style="819" customWidth="1"/>
    <col min="785" max="785" width="13.42578125" style="819" customWidth="1"/>
    <col min="786" max="786" width="9.140625" style="819"/>
    <col min="787" max="787" width="28.42578125" style="819" bestFit="1" customWidth="1"/>
    <col min="788" max="1025" width="9.140625" style="819"/>
    <col min="1026" max="1026" width="5" style="819" customWidth="1"/>
    <col min="1027" max="1027" width="21.5703125" style="819" customWidth="1"/>
    <col min="1028" max="1035" width="9.140625" style="819"/>
    <col min="1036" max="1036" width="11.140625" style="819" customWidth="1"/>
    <col min="1037" max="1037" width="9.140625" style="819"/>
    <col min="1038" max="1038" width="13" style="819" customWidth="1"/>
    <col min="1039" max="1039" width="10" style="819" customWidth="1"/>
    <col min="1040" max="1040" width="11.42578125" style="819" customWidth="1"/>
    <col min="1041" max="1041" width="13.42578125" style="819" customWidth="1"/>
    <col min="1042" max="1042" width="9.140625" style="819"/>
    <col min="1043" max="1043" width="28.42578125" style="819" bestFit="1" customWidth="1"/>
    <col min="1044" max="1281" width="9.140625" style="819"/>
    <col min="1282" max="1282" width="5" style="819" customWidth="1"/>
    <col min="1283" max="1283" width="21.5703125" style="819" customWidth="1"/>
    <col min="1284" max="1291" width="9.140625" style="819"/>
    <col min="1292" max="1292" width="11.140625" style="819" customWidth="1"/>
    <col min="1293" max="1293" width="9.140625" style="819"/>
    <col min="1294" max="1294" width="13" style="819" customWidth="1"/>
    <col min="1295" max="1295" width="10" style="819" customWidth="1"/>
    <col min="1296" max="1296" width="11.42578125" style="819" customWidth="1"/>
    <col min="1297" max="1297" width="13.42578125" style="819" customWidth="1"/>
    <col min="1298" max="1298" width="9.140625" style="819"/>
    <col min="1299" max="1299" width="28.42578125" style="819" bestFit="1" customWidth="1"/>
    <col min="1300" max="1537" width="9.140625" style="819"/>
    <col min="1538" max="1538" width="5" style="819" customWidth="1"/>
    <col min="1539" max="1539" width="21.5703125" style="819" customWidth="1"/>
    <col min="1540" max="1547" width="9.140625" style="819"/>
    <col min="1548" max="1548" width="11.140625" style="819" customWidth="1"/>
    <col min="1549" max="1549" width="9.140625" style="819"/>
    <col min="1550" max="1550" width="13" style="819" customWidth="1"/>
    <col min="1551" max="1551" width="10" style="819" customWidth="1"/>
    <col min="1552" max="1552" width="11.42578125" style="819" customWidth="1"/>
    <col min="1553" max="1553" width="13.42578125" style="819" customWidth="1"/>
    <col min="1554" max="1554" width="9.140625" style="819"/>
    <col min="1555" max="1555" width="28.42578125" style="819" bestFit="1" customWidth="1"/>
    <col min="1556" max="1793" width="9.140625" style="819"/>
    <col min="1794" max="1794" width="5" style="819" customWidth="1"/>
    <col min="1795" max="1795" width="21.5703125" style="819" customWidth="1"/>
    <col min="1796" max="1803" width="9.140625" style="819"/>
    <col min="1804" max="1804" width="11.140625" style="819" customWidth="1"/>
    <col min="1805" max="1805" width="9.140625" style="819"/>
    <col min="1806" max="1806" width="13" style="819" customWidth="1"/>
    <col min="1807" max="1807" width="10" style="819" customWidth="1"/>
    <col min="1808" max="1808" width="11.42578125" style="819" customWidth="1"/>
    <col min="1809" max="1809" width="13.42578125" style="819" customWidth="1"/>
    <col min="1810" max="1810" width="9.140625" style="819"/>
    <col min="1811" max="1811" width="28.42578125" style="819" bestFit="1" customWidth="1"/>
    <col min="1812" max="2049" width="9.140625" style="819"/>
    <col min="2050" max="2050" width="5" style="819" customWidth="1"/>
    <col min="2051" max="2051" width="21.5703125" style="819" customWidth="1"/>
    <col min="2052" max="2059" width="9.140625" style="819"/>
    <col min="2060" max="2060" width="11.140625" style="819" customWidth="1"/>
    <col min="2061" max="2061" width="9.140625" style="819"/>
    <col min="2062" max="2062" width="13" style="819" customWidth="1"/>
    <col min="2063" max="2063" width="10" style="819" customWidth="1"/>
    <col min="2064" max="2064" width="11.42578125" style="819" customWidth="1"/>
    <col min="2065" max="2065" width="13.42578125" style="819" customWidth="1"/>
    <col min="2066" max="2066" width="9.140625" style="819"/>
    <col min="2067" max="2067" width="28.42578125" style="819" bestFit="1" customWidth="1"/>
    <col min="2068" max="2305" width="9.140625" style="819"/>
    <col min="2306" max="2306" width="5" style="819" customWidth="1"/>
    <col min="2307" max="2307" width="21.5703125" style="819" customWidth="1"/>
    <col min="2308" max="2315" width="9.140625" style="819"/>
    <col min="2316" max="2316" width="11.140625" style="819" customWidth="1"/>
    <col min="2317" max="2317" width="9.140625" style="819"/>
    <col min="2318" max="2318" width="13" style="819" customWidth="1"/>
    <col min="2319" max="2319" width="10" style="819" customWidth="1"/>
    <col min="2320" max="2320" width="11.42578125" style="819" customWidth="1"/>
    <col min="2321" max="2321" width="13.42578125" style="819" customWidth="1"/>
    <col min="2322" max="2322" width="9.140625" style="819"/>
    <col min="2323" max="2323" width="28.42578125" style="819" bestFit="1" customWidth="1"/>
    <col min="2324" max="2561" width="9.140625" style="819"/>
    <col min="2562" max="2562" width="5" style="819" customWidth="1"/>
    <col min="2563" max="2563" width="21.5703125" style="819" customWidth="1"/>
    <col min="2564" max="2571" width="9.140625" style="819"/>
    <col min="2572" max="2572" width="11.140625" style="819" customWidth="1"/>
    <col min="2573" max="2573" width="9.140625" style="819"/>
    <col min="2574" max="2574" width="13" style="819" customWidth="1"/>
    <col min="2575" max="2575" width="10" style="819" customWidth="1"/>
    <col min="2576" max="2576" width="11.42578125" style="819" customWidth="1"/>
    <col min="2577" max="2577" width="13.42578125" style="819" customWidth="1"/>
    <col min="2578" max="2578" width="9.140625" style="819"/>
    <col min="2579" max="2579" width="28.42578125" style="819" bestFit="1" customWidth="1"/>
    <col min="2580" max="2817" width="9.140625" style="819"/>
    <col min="2818" max="2818" width="5" style="819" customWidth="1"/>
    <col min="2819" max="2819" width="21.5703125" style="819" customWidth="1"/>
    <col min="2820" max="2827" width="9.140625" style="819"/>
    <col min="2828" max="2828" width="11.140625" style="819" customWidth="1"/>
    <col min="2829" max="2829" width="9.140625" style="819"/>
    <col min="2830" max="2830" width="13" style="819" customWidth="1"/>
    <col min="2831" max="2831" width="10" style="819" customWidth="1"/>
    <col min="2832" max="2832" width="11.42578125" style="819" customWidth="1"/>
    <col min="2833" max="2833" width="13.42578125" style="819" customWidth="1"/>
    <col min="2834" max="2834" width="9.140625" style="819"/>
    <col min="2835" max="2835" width="28.42578125" style="819" bestFit="1" customWidth="1"/>
    <col min="2836" max="3073" width="9.140625" style="819"/>
    <col min="3074" max="3074" width="5" style="819" customWidth="1"/>
    <col min="3075" max="3075" width="21.5703125" style="819" customWidth="1"/>
    <col min="3076" max="3083" width="9.140625" style="819"/>
    <col min="3084" max="3084" width="11.140625" style="819" customWidth="1"/>
    <col min="3085" max="3085" width="9.140625" style="819"/>
    <col min="3086" max="3086" width="13" style="819" customWidth="1"/>
    <col min="3087" max="3087" width="10" style="819" customWidth="1"/>
    <col min="3088" max="3088" width="11.42578125" style="819" customWidth="1"/>
    <col min="3089" max="3089" width="13.42578125" style="819" customWidth="1"/>
    <col min="3090" max="3090" width="9.140625" style="819"/>
    <col min="3091" max="3091" width="28.42578125" style="819" bestFit="1" customWidth="1"/>
    <col min="3092" max="3329" width="9.140625" style="819"/>
    <col min="3330" max="3330" width="5" style="819" customWidth="1"/>
    <col min="3331" max="3331" width="21.5703125" style="819" customWidth="1"/>
    <col min="3332" max="3339" width="9.140625" style="819"/>
    <col min="3340" max="3340" width="11.140625" style="819" customWidth="1"/>
    <col min="3341" max="3341" width="9.140625" style="819"/>
    <col min="3342" max="3342" width="13" style="819" customWidth="1"/>
    <col min="3343" max="3343" width="10" style="819" customWidth="1"/>
    <col min="3344" max="3344" width="11.42578125" style="819" customWidth="1"/>
    <col min="3345" max="3345" width="13.42578125" style="819" customWidth="1"/>
    <col min="3346" max="3346" width="9.140625" style="819"/>
    <col min="3347" max="3347" width="28.42578125" style="819" bestFit="1" customWidth="1"/>
    <col min="3348" max="3585" width="9.140625" style="819"/>
    <col min="3586" max="3586" width="5" style="819" customWidth="1"/>
    <col min="3587" max="3587" width="21.5703125" style="819" customWidth="1"/>
    <col min="3588" max="3595" width="9.140625" style="819"/>
    <col min="3596" max="3596" width="11.140625" style="819" customWidth="1"/>
    <col min="3597" max="3597" width="9.140625" style="819"/>
    <col min="3598" max="3598" width="13" style="819" customWidth="1"/>
    <col min="3599" max="3599" width="10" style="819" customWidth="1"/>
    <col min="3600" max="3600" width="11.42578125" style="819" customWidth="1"/>
    <col min="3601" max="3601" width="13.42578125" style="819" customWidth="1"/>
    <col min="3602" max="3602" width="9.140625" style="819"/>
    <col min="3603" max="3603" width="28.42578125" style="819" bestFit="1" customWidth="1"/>
    <col min="3604" max="3841" width="9.140625" style="819"/>
    <col min="3842" max="3842" width="5" style="819" customWidth="1"/>
    <col min="3843" max="3843" width="21.5703125" style="819" customWidth="1"/>
    <col min="3844" max="3851" width="9.140625" style="819"/>
    <col min="3852" max="3852" width="11.140625" style="819" customWidth="1"/>
    <col min="3853" max="3853" width="9.140625" style="819"/>
    <col min="3854" max="3854" width="13" style="819" customWidth="1"/>
    <col min="3855" max="3855" width="10" style="819" customWidth="1"/>
    <col min="3856" max="3856" width="11.42578125" style="819" customWidth="1"/>
    <col min="3857" max="3857" width="13.42578125" style="819" customWidth="1"/>
    <col min="3858" max="3858" width="9.140625" style="819"/>
    <col min="3859" max="3859" width="28.42578125" style="819" bestFit="1" customWidth="1"/>
    <col min="3860" max="4097" width="9.140625" style="819"/>
    <col min="4098" max="4098" width="5" style="819" customWidth="1"/>
    <col min="4099" max="4099" width="21.5703125" style="819" customWidth="1"/>
    <col min="4100" max="4107" width="9.140625" style="819"/>
    <col min="4108" max="4108" width="11.140625" style="819" customWidth="1"/>
    <col min="4109" max="4109" width="9.140625" style="819"/>
    <col min="4110" max="4110" width="13" style="819" customWidth="1"/>
    <col min="4111" max="4111" width="10" style="819" customWidth="1"/>
    <col min="4112" max="4112" width="11.42578125" style="819" customWidth="1"/>
    <col min="4113" max="4113" width="13.42578125" style="819" customWidth="1"/>
    <col min="4114" max="4114" width="9.140625" style="819"/>
    <col min="4115" max="4115" width="28.42578125" style="819" bestFit="1" customWidth="1"/>
    <col min="4116" max="4353" width="9.140625" style="819"/>
    <col min="4354" max="4354" width="5" style="819" customWidth="1"/>
    <col min="4355" max="4355" width="21.5703125" style="819" customWidth="1"/>
    <col min="4356" max="4363" width="9.140625" style="819"/>
    <col min="4364" max="4364" width="11.140625" style="819" customWidth="1"/>
    <col min="4365" max="4365" width="9.140625" style="819"/>
    <col min="4366" max="4366" width="13" style="819" customWidth="1"/>
    <col min="4367" max="4367" width="10" style="819" customWidth="1"/>
    <col min="4368" max="4368" width="11.42578125" style="819" customWidth="1"/>
    <col min="4369" max="4369" width="13.42578125" style="819" customWidth="1"/>
    <col min="4370" max="4370" width="9.140625" style="819"/>
    <col min="4371" max="4371" width="28.42578125" style="819" bestFit="1" customWidth="1"/>
    <col min="4372" max="4609" width="9.140625" style="819"/>
    <col min="4610" max="4610" width="5" style="819" customWidth="1"/>
    <col min="4611" max="4611" width="21.5703125" style="819" customWidth="1"/>
    <col min="4612" max="4619" width="9.140625" style="819"/>
    <col min="4620" max="4620" width="11.140625" style="819" customWidth="1"/>
    <col min="4621" max="4621" width="9.140625" style="819"/>
    <col min="4622" max="4622" width="13" style="819" customWidth="1"/>
    <col min="4623" max="4623" width="10" style="819" customWidth="1"/>
    <col min="4624" max="4624" width="11.42578125" style="819" customWidth="1"/>
    <col min="4625" max="4625" width="13.42578125" style="819" customWidth="1"/>
    <col min="4626" max="4626" width="9.140625" style="819"/>
    <col min="4627" max="4627" width="28.42578125" style="819" bestFit="1" customWidth="1"/>
    <col min="4628" max="4865" width="9.140625" style="819"/>
    <col min="4866" max="4866" width="5" style="819" customWidth="1"/>
    <col min="4867" max="4867" width="21.5703125" style="819" customWidth="1"/>
    <col min="4868" max="4875" width="9.140625" style="819"/>
    <col min="4876" max="4876" width="11.140625" style="819" customWidth="1"/>
    <col min="4877" max="4877" width="9.140625" style="819"/>
    <col min="4878" max="4878" width="13" style="819" customWidth="1"/>
    <col min="4879" max="4879" width="10" style="819" customWidth="1"/>
    <col min="4880" max="4880" width="11.42578125" style="819" customWidth="1"/>
    <col min="4881" max="4881" width="13.42578125" style="819" customWidth="1"/>
    <col min="4882" max="4882" width="9.140625" style="819"/>
    <col min="4883" max="4883" width="28.42578125" style="819" bestFit="1" customWidth="1"/>
    <col min="4884" max="5121" width="9.140625" style="819"/>
    <col min="5122" max="5122" width="5" style="819" customWidth="1"/>
    <col min="5123" max="5123" width="21.5703125" style="819" customWidth="1"/>
    <col min="5124" max="5131" width="9.140625" style="819"/>
    <col min="5132" max="5132" width="11.140625" style="819" customWidth="1"/>
    <col min="5133" max="5133" width="9.140625" style="819"/>
    <col min="5134" max="5134" width="13" style="819" customWidth="1"/>
    <col min="5135" max="5135" width="10" style="819" customWidth="1"/>
    <col min="5136" max="5136" width="11.42578125" style="819" customWidth="1"/>
    <col min="5137" max="5137" width="13.42578125" style="819" customWidth="1"/>
    <col min="5138" max="5138" width="9.140625" style="819"/>
    <col min="5139" max="5139" width="28.42578125" style="819" bestFit="1" customWidth="1"/>
    <col min="5140" max="5377" width="9.140625" style="819"/>
    <col min="5378" max="5378" width="5" style="819" customWidth="1"/>
    <col min="5379" max="5379" width="21.5703125" style="819" customWidth="1"/>
    <col min="5380" max="5387" width="9.140625" style="819"/>
    <col min="5388" max="5388" width="11.140625" style="819" customWidth="1"/>
    <col min="5389" max="5389" width="9.140625" style="819"/>
    <col min="5390" max="5390" width="13" style="819" customWidth="1"/>
    <col min="5391" max="5391" width="10" style="819" customWidth="1"/>
    <col min="5392" max="5392" width="11.42578125" style="819" customWidth="1"/>
    <col min="5393" max="5393" width="13.42578125" style="819" customWidth="1"/>
    <col min="5394" max="5394" width="9.140625" style="819"/>
    <col min="5395" max="5395" width="28.42578125" style="819" bestFit="1" customWidth="1"/>
    <col min="5396" max="5633" width="9.140625" style="819"/>
    <col min="5634" max="5634" width="5" style="819" customWidth="1"/>
    <col min="5635" max="5635" width="21.5703125" style="819" customWidth="1"/>
    <col min="5636" max="5643" width="9.140625" style="819"/>
    <col min="5644" max="5644" width="11.140625" style="819" customWidth="1"/>
    <col min="5645" max="5645" width="9.140625" style="819"/>
    <col min="5646" max="5646" width="13" style="819" customWidth="1"/>
    <col min="5647" max="5647" width="10" style="819" customWidth="1"/>
    <col min="5648" max="5648" width="11.42578125" style="819" customWidth="1"/>
    <col min="5649" max="5649" width="13.42578125" style="819" customWidth="1"/>
    <col min="5650" max="5650" width="9.140625" style="819"/>
    <col min="5651" max="5651" width="28.42578125" style="819" bestFit="1" customWidth="1"/>
    <col min="5652" max="5889" width="9.140625" style="819"/>
    <col min="5890" max="5890" width="5" style="819" customWidth="1"/>
    <col min="5891" max="5891" width="21.5703125" style="819" customWidth="1"/>
    <col min="5892" max="5899" width="9.140625" style="819"/>
    <col min="5900" max="5900" width="11.140625" style="819" customWidth="1"/>
    <col min="5901" max="5901" width="9.140625" style="819"/>
    <col min="5902" max="5902" width="13" style="819" customWidth="1"/>
    <col min="5903" max="5903" width="10" style="819" customWidth="1"/>
    <col min="5904" max="5904" width="11.42578125" style="819" customWidth="1"/>
    <col min="5905" max="5905" width="13.42578125" style="819" customWidth="1"/>
    <col min="5906" max="5906" width="9.140625" style="819"/>
    <col min="5907" max="5907" width="28.42578125" style="819" bestFit="1" customWidth="1"/>
    <col min="5908" max="6145" width="9.140625" style="819"/>
    <col min="6146" max="6146" width="5" style="819" customWidth="1"/>
    <col min="6147" max="6147" width="21.5703125" style="819" customWidth="1"/>
    <col min="6148" max="6155" width="9.140625" style="819"/>
    <col min="6156" max="6156" width="11.140625" style="819" customWidth="1"/>
    <col min="6157" max="6157" width="9.140625" style="819"/>
    <col min="6158" max="6158" width="13" style="819" customWidth="1"/>
    <col min="6159" max="6159" width="10" style="819" customWidth="1"/>
    <col min="6160" max="6160" width="11.42578125" style="819" customWidth="1"/>
    <col min="6161" max="6161" width="13.42578125" style="819" customWidth="1"/>
    <col min="6162" max="6162" width="9.140625" style="819"/>
    <col min="6163" max="6163" width="28.42578125" style="819" bestFit="1" customWidth="1"/>
    <col min="6164" max="6401" width="9.140625" style="819"/>
    <col min="6402" max="6402" width="5" style="819" customWidth="1"/>
    <col min="6403" max="6403" width="21.5703125" style="819" customWidth="1"/>
    <col min="6404" max="6411" width="9.140625" style="819"/>
    <col min="6412" max="6412" width="11.140625" style="819" customWidth="1"/>
    <col min="6413" max="6413" width="9.140625" style="819"/>
    <col min="6414" max="6414" width="13" style="819" customWidth="1"/>
    <col min="6415" max="6415" width="10" style="819" customWidth="1"/>
    <col min="6416" max="6416" width="11.42578125" style="819" customWidth="1"/>
    <col min="6417" max="6417" width="13.42578125" style="819" customWidth="1"/>
    <col min="6418" max="6418" width="9.140625" style="819"/>
    <col min="6419" max="6419" width="28.42578125" style="819" bestFit="1" customWidth="1"/>
    <col min="6420" max="6657" width="9.140625" style="819"/>
    <col min="6658" max="6658" width="5" style="819" customWidth="1"/>
    <col min="6659" max="6659" width="21.5703125" style="819" customWidth="1"/>
    <col min="6660" max="6667" width="9.140625" style="819"/>
    <col min="6668" max="6668" width="11.140625" style="819" customWidth="1"/>
    <col min="6669" max="6669" width="9.140625" style="819"/>
    <col min="6670" max="6670" width="13" style="819" customWidth="1"/>
    <col min="6671" max="6671" width="10" style="819" customWidth="1"/>
    <col min="6672" max="6672" width="11.42578125" style="819" customWidth="1"/>
    <col min="6673" max="6673" width="13.42578125" style="819" customWidth="1"/>
    <col min="6674" max="6674" width="9.140625" style="819"/>
    <col min="6675" max="6675" width="28.42578125" style="819" bestFit="1" customWidth="1"/>
    <col min="6676" max="6913" width="9.140625" style="819"/>
    <col min="6914" max="6914" width="5" style="819" customWidth="1"/>
    <col min="6915" max="6915" width="21.5703125" style="819" customWidth="1"/>
    <col min="6916" max="6923" width="9.140625" style="819"/>
    <col min="6924" max="6924" width="11.140625" style="819" customWidth="1"/>
    <col min="6925" max="6925" width="9.140625" style="819"/>
    <col min="6926" max="6926" width="13" style="819" customWidth="1"/>
    <col min="6927" max="6927" width="10" style="819" customWidth="1"/>
    <col min="6928" max="6928" width="11.42578125" style="819" customWidth="1"/>
    <col min="6929" max="6929" width="13.42578125" style="819" customWidth="1"/>
    <col min="6930" max="6930" width="9.140625" style="819"/>
    <col min="6931" max="6931" width="28.42578125" style="819" bestFit="1" customWidth="1"/>
    <col min="6932" max="7169" width="9.140625" style="819"/>
    <col min="7170" max="7170" width="5" style="819" customWidth="1"/>
    <col min="7171" max="7171" width="21.5703125" style="819" customWidth="1"/>
    <col min="7172" max="7179" width="9.140625" style="819"/>
    <col min="7180" max="7180" width="11.140625" style="819" customWidth="1"/>
    <col min="7181" max="7181" width="9.140625" style="819"/>
    <col min="7182" max="7182" width="13" style="819" customWidth="1"/>
    <col min="7183" max="7183" width="10" style="819" customWidth="1"/>
    <col min="7184" max="7184" width="11.42578125" style="819" customWidth="1"/>
    <col min="7185" max="7185" width="13.42578125" style="819" customWidth="1"/>
    <col min="7186" max="7186" width="9.140625" style="819"/>
    <col min="7187" max="7187" width="28.42578125" style="819" bestFit="1" customWidth="1"/>
    <col min="7188" max="7425" width="9.140625" style="819"/>
    <col min="7426" max="7426" width="5" style="819" customWidth="1"/>
    <col min="7427" max="7427" width="21.5703125" style="819" customWidth="1"/>
    <col min="7428" max="7435" width="9.140625" style="819"/>
    <col min="7436" max="7436" width="11.140625" style="819" customWidth="1"/>
    <col min="7437" max="7437" width="9.140625" style="819"/>
    <col min="7438" max="7438" width="13" style="819" customWidth="1"/>
    <col min="7439" max="7439" width="10" style="819" customWidth="1"/>
    <col min="7440" max="7440" width="11.42578125" style="819" customWidth="1"/>
    <col min="7441" max="7441" width="13.42578125" style="819" customWidth="1"/>
    <col min="7442" max="7442" width="9.140625" style="819"/>
    <col min="7443" max="7443" width="28.42578125" style="819" bestFit="1" customWidth="1"/>
    <col min="7444" max="7681" width="9.140625" style="819"/>
    <col min="7682" max="7682" width="5" style="819" customWidth="1"/>
    <col min="7683" max="7683" width="21.5703125" style="819" customWidth="1"/>
    <col min="7684" max="7691" width="9.140625" style="819"/>
    <col min="7692" max="7692" width="11.140625" style="819" customWidth="1"/>
    <col min="7693" max="7693" width="9.140625" style="819"/>
    <col min="7694" max="7694" width="13" style="819" customWidth="1"/>
    <col min="7695" max="7695" width="10" style="819" customWidth="1"/>
    <col min="7696" max="7696" width="11.42578125" style="819" customWidth="1"/>
    <col min="7697" max="7697" width="13.42578125" style="819" customWidth="1"/>
    <col min="7698" max="7698" width="9.140625" style="819"/>
    <col min="7699" max="7699" width="28.42578125" style="819" bestFit="1" customWidth="1"/>
    <col min="7700" max="7937" width="9.140625" style="819"/>
    <col min="7938" max="7938" width="5" style="819" customWidth="1"/>
    <col min="7939" max="7939" width="21.5703125" style="819" customWidth="1"/>
    <col min="7940" max="7947" width="9.140625" style="819"/>
    <col min="7948" max="7948" width="11.140625" style="819" customWidth="1"/>
    <col min="7949" max="7949" width="9.140625" style="819"/>
    <col min="7950" max="7950" width="13" style="819" customWidth="1"/>
    <col min="7951" max="7951" width="10" style="819" customWidth="1"/>
    <col min="7952" max="7952" width="11.42578125" style="819" customWidth="1"/>
    <col min="7953" max="7953" width="13.42578125" style="819" customWidth="1"/>
    <col min="7954" max="7954" width="9.140625" style="819"/>
    <col min="7955" max="7955" width="28.42578125" style="819" bestFit="1" customWidth="1"/>
    <col min="7956" max="8193" width="9.140625" style="819"/>
    <col min="8194" max="8194" width="5" style="819" customWidth="1"/>
    <col min="8195" max="8195" width="21.5703125" style="819" customWidth="1"/>
    <col min="8196" max="8203" width="9.140625" style="819"/>
    <col min="8204" max="8204" width="11.140625" style="819" customWidth="1"/>
    <col min="8205" max="8205" width="9.140625" style="819"/>
    <col min="8206" max="8206" width="13" style="819" customWidth="1"/>
    <col min="8207" max="8207" width="10" style="819" customWidth="1"/>
    <col min="8208" max="8208" width="11.42578125" style="819" customWidth="1"/>
    <col min="8209" max="8209" width="13.42578125" style="819" customWidth="1"/>
    <col min="8210" max="8210" width="9.140625" style="819"/>
    <col min="8211" max="8211" width="28.42578125" style="819" bestFit="1" customWidth="1"/>
    <col min="8212" max="8449" width="9.140625" style="819"/>
    <col min="8450" max="8450" width="5" style="819" customWidth="1"/>
    <col min="8451" max="8451" width="21.5703125" style="819" customWidth="1"/>
    <col min="8452" max="8459" width="9.140625" style="819"/>
    <col min="8460" max="8460" width="11.140625" style="819" customWidth="1"/>
    <col min="8461" max="8461" width="9.140625" style="819"/>
    <col min="8462" max="8462" width="13" style="819" customWidth="1"/>
    <col min="8463" max="8463" width="10" style="819" customWidth="1"/>
    <col min="8464" max="8464" width="11.42578125" style="819" customWidth="1"/>
    <col min="8465" max="8465" width="13.42578125" style="819" customWidth="1"/>
    <col min="8466" max="8466" width="9.140625" style="819"/>
    <col min="8467" max="8467" width="28.42578125" style="819" bestFit="1" customWidth="1"/>
    <col min="8468" max="8705" width="9.140625" style="819"/>
    <col min="8706" max="8706" width="5" style="819" customWidth="1"/>
    <col min="8707" max="8707" width="21.5703125" style="819" customWidth="1"/>
    <col min="8708" max="8715" width="9.140625" style="819"/>
    <col min="8716" max="8716" width="11.140625" style="819" customWidth="1"/>
    <col min="8717" max="8717" width="9.140625" style="819"/>
    <col min="8718" max="8718" width="13" style="819" customWidth="1"/>
    <col min="8719" max="8719" width="10" style="819" customWidth="1"/>
    <col min="8720" max="8720" width="11.42578125" style="819" customWidth="1"/>
    <col min="8721" max="8721" width="13.42578125" style="819" customWidth="1"/>
    <col min="8722" max="8722" width="9.140625" style="819"/>
    <col min="8723" max="8723" width="28.42578125" style="819" bestFit="1" customWidth="1"/>
    <col min="8724" max="8961" width="9.140625" style="819"/>
    <col min="8962" max="8962" width="5" style="819" customWidth="1"/>
    <col min="8963" max="8963" width="21.5703125" style="819" customWidth="1"/>
    <col min="8964" max="8971" width="9.140625" style="819"/>
    <col min="8972" max="8972" width="11.140625" style="819" customWidth="1"/>
    <col min="8973" max="8973" width="9.140625" style="819"/>
    <col min="8974" max="8974" width="13" style="819" customWidth="1"/>
    <col min="8975" max="8975" width="10" style="819" customWidth="1"/>
    <col min="8976" max="8976" width="11.42578125" style="819" customWidth="1"/>
    <col min="8977" max="8977" width="13.42578125" style="819" customWidth="1"/>
    <col min="8978" max="8978" width="9.140625" style="819"/>
    <col min="8979" max="8979" width="28.42578125" style="819" bestFit="1" customWidth="1"/>
    <col min="8980" max="9217" width="9.140625" style="819"/>
    <col min="9218" max="9218" width="5" style="819" customWidth="1"/>
    <col min="9219" max="9219" width="21.5703125" style="819" customWidth="1"/>
    <col min="9220" max="9227" width="9.140625" style="819"/>
    <col min="9228" max="9228" width="11.140625" style="819" customWidth="1"/>
    <col min="9229" max="9229" width="9.140625" style="819"/>
    <col min="9230" max="9230" width="13" style="819" customWidth="1"/>
    <col min="9231" max="9231" width="10" style="819" customWidth="1"/>
    <col min="9232" max="9232" width="11.42578125" style="819" customWidth="1"/>
    <col min="9233" max="9233" width="13.42578125" style="819" customWidth="1"/>
    <col min="9234" max="9234" width="9.140625" style="819"/>
    <col min="9235" max="9235" width="28.42578125" style="819" bestFit="1" customWidth="1"/>
    <col min="9236" max="9473" width="9.140625" style="819"/>
    <col min="9474" max="9474" width="5" style="819" customWidth="1"/>
    <col min="9475" max="9475" width="21.5703125" style="819" customWidth="1"/>
    <col min="9476" max="9483" width="9.140625" style="819"/>
    <col min="9484" max="9484" width="11.140625" style="819" customWidth="1"/>
    <col min="9485" max="9485" width="9.140625" style="819"/>
    <col min="9486" max="9486" width="13" style="819" customWidth="1"/>
    <col min="9487" max="9487" width="10" style="819" customWidth="1"/>
    <col min="9488" max="9488" width="11.42578125" style="819" customWidth="1"/>
    <col min="9489" max="9489" width="13.42578125" style="819" customWidth="1"/>
    <col min="9490" max="9490" width="9.140625" style="819"/>
    <col min="9491" max="9491" width="28.42578125" style="819" bestFit="1" customWidth="1"/>
    <col min="9492" max="9729" width="9.140625" style="819"/>
    <col min="9730" max="9730" width="5" style="819" customWidth="1"/>
    <col min="9731" max="9731" width="21.5703125" style="819" customWidth="1"/>
    <col min="9732" max="9739" width="9.140625" style="819"/>
    <col min="9740" max="9740" width="11.140625" style="819" customWidth="1"/>
    <col min="9741" max="9741" width="9.140625" style="819"/>
    <col min="9742" max="9742" width="13" style="819" customWidth="1"/>
    <col min="9743" max="9743" width="10" style="819" customWidth="1"/>
    <col min="9744" max="9744" width="11.42578125" style="819" customWidth="1"/>
    <col min="9745" max="9745" width="13.42578125" style="819" customWidth="1"/>
    <col min="9746" max="9746" width="9.140625" style="819"/>
    <col min="9747" max="9747" width="28.42578125" style="819" bestFit="1" customWidth="1"/>
    <col min="9748" max="9985" width="9.140625" style="819"/>
    <col min="9986" max="9986" width="5" style="819" customWidth="1"/>
    <col min="9987" max="9987" width="21.5703125" style="819" customWidth="1"/>
    <col min="9988" max="9995" width="9.140625" style="819"/>
    <col min="9996" max="9996" width="11.140625" style="819" customWidth="1"/>
    <col min="9997" max="9997" width="9.140625" style="819"/>
    <col min="9998" max="9998" width="13" style="819" customWidth="1"/>
    <col min="9999" max="9999" width="10" style="819" customWidth="1"/>
    <col min="10000" max="10000" width="11.42578125" style="819" customWidth="1"/>
    <col min="10001" max="10001" width="13.42578125" style="819" customWidth="1"/>
    <col min="10002" max="10002" width="9.140625" style="819"/>
    <col min="10003" max="10003" width="28.42578125" style="819" bestFit="1" customWidth="1"/>
    <col min="10004" max="10241" width="9.140625" style="819"/>
    <col min="10242" max="10242" width="5" style="819" customWidth="1"/>
    <col min="10243" max="10243" width="21.5703125" style="819" customWidth="1"/>
    <col min="10244" max="10251" width="9.140625" style="819"/>
    <col min="10252" max="10252" width="11.140625" style="819" customWidth="1"/>
    <col min="10253" max="10253" width="9.140625" style="819"/>
    <col min="10254" max="10254" width="13" style="819" customWidth="1"/>
    <col min="10255" max="10255" width="10" style="819" customWidth="1"/>
    <col min="10256" max="10256" width="11.42578125" style="819" customWidth="1"/>
    <col min="10257" max="10257" width="13.42578125" style="819" customWidth="1"/>
    <col min="10258" max="10258" width="9.140625" style="819"/>
    <col min="10259" max="10259" width="28.42578125" style="819" bestFit="1" customWidth="1"/>
    <col min="10260" max="10497" width="9.140625" style="819"/>
    <col min="10498" max="10498" width="5" style="819" customWidth="1"/>
    <col min="10499" max="10499" width="21.5703125" style="819" customWidth="1"/>
    <col min="10500" max="10507" width="9.140625" style="819"/>
    <col min="10508" max="10508" width="11.140625" style="819" customWidth="1"/>
    <col min="10509" max="10509" width="9.140625" style="819"/>
    <col min="10510" max="10510" width="13" style="819" customWidth="1"/>
    <col min="10511" max="10511" width="10" style="819" customWidth="1"/>
    <col min="10512" max="10512" width="11.42578125" style="819" customWidth="1"/>
    <col min="10513" max="10513" width="13.42578125" style="819" customWidth="1"/>
    <col min="10514" max="10514" width="9.140625" style="819"/>
    <col min="10515" max="10515" width="28.42578125" style="819" bestFit="1" customWidth="1"/>
    <col min="10516" max="10753" width="9.140625" style="819"/>
    <col min="10754" max="10754" width="5" style="819" customWidth="1"/>
    <col min="10755" max="10755" width="21.5703125" style="819" customWidth="1"/>
    <col min="10756" max="10763" width="9.140625" style="819"/>
    <col min="10764" max="10764" width="11.140625" style="819" customWidth="1"/>
    <col min="10765" max="10765" width="9.140625" style="819"/>
    <col min="10766" max="10766" width="13" style="819" customWidth="1"/>
    <col min="10767" max="10767" width="10" style="819" customWidth="1"/>
    <col min="10768" max="10768" width="11.42578125" style="819" customWidth="1"/>
    <col min="10769" max="10769" width="13.42578125" style="819" customWidth="1"/>
    <col min="10770" max="10770" width="9.140625" style="819"/>
    <col min="10771" max="10771" width="28.42578125" style="819" bestFit="1" customWidth="1"/>
    <col min="10772" max="11009" width="9.140625" style="819"/>
    <col min="11010" max="11010" width="5" style="819" customWidth="1"/>
    <col min="11011" max="11011" width="21.5703125" style="819" customWidth="1"/>
    <col min="11012" max="11019" width="9.140625" style="819"/>
    <col min="11020" max="11020" width="11.140625" style="819" customWidth="1"/>
    <col min="11021" max="11021" width="9.140625" style="819"/>
    <col min="11022" max="11022" width="13" style="819" customWidth="1"/>
    <col min="11023" max="11023" width="10" style="819" customWidth="1"/>
    <col min="11024" max="11024" width="11.42578125" style="819" customWidth="1"/>
    <col min="11025" max="11025" width="13.42578125" style="819" customWidth="1"/>
    <col min="11026" max="11026" width="9.140625" style="819"/>
    <col min="11027" max="11027" width="28.42578125" style="819" bestFit="1" customWidth="1"/>
    <col min="11028" max="11265" width="9.140625" style="819"/>
    <col min="11266" max="11266" width="5" style="819" customWidth="1"/>
    <col min="11267" max="11267" width="21.5703125" style="819" customWidth="1"/>
    <col min="11268" max="11275" width="9.140625" style="819"/>
    <col min="11276" max="11276" width="11.140625" style="819" customWidth="1"/>
    <col min="11277" max="11277" width="9.140625" style="819"/>
    <col min="11278" max="11278" width="13" style="819" customWidth="1"/>
    <col min="11279" max="11279" width="10" style="819" customWidth="1"/>
    <col min="11280" max="11280" width="11.42578125" style="819" customWidth="1"/>
    <col min="11281" max="11281" width="13.42578125" style="819" customWidth="1"/>
    <col min="11282" max="11282" width="9.140625" style="819"/>
    <col min="11283" max="11283" width="28.42578125" style="819" bestFit="1" customWidth="1"/>
    <col min="11284" max="11521" width="9.140625" style="819"/>
    <col min="11522" max="11522" width="5" style="819" customWidth="1"/>
    <col min="11523" max="11523" width="21.5703125" style="819" customWidth="1"/>
    <col min="11524" max="11531" width="9.140625" style="819"/>
    <col min="11532" max="11532" width="11.140625" style="819" customWidth="1"/>
    <col min="11533" max="11533" width="9.140625" style="819"/>
    <col min="11534" max="11534" width="13" style="819" customWidth="1"/>
    <col min="11535" max="11535" width="10" style="819" customWidth="1"/>
    <col min="11536" max="11536" width="11.42578125" style="819" customWidth="1"/>
    <col min="11537" max="11537" width="13.42578125" style="819" customWidth="1"/>
    <col min="11538" max="11538" width="9.140625" style="819"/>
    <col min="11539" max="11539" width="28.42578125" style="819" bestFit="1" customWidth="1"/>
    <col min="11540" max="11777" width="9.140625" style="819"/>
    <col min="11778" max="11778" width="5" style="819" customWidth="1"/>
    <col min="11779" max="11779" width="21.5703125" style="819" customWidth="1"/>
    <col min="11780" max="11787" width="9.140625" style="819"/>
    <col min="11788" max="11788" width="11.140625" style="819" customWidth="1"/>
    <col min="11789" max="11789" width="9.140625" style="819"/>
    <col min="11790" max="11790" width="13" style="819" customWidth="1"/>
    <col min="11791" max="11791" width="10" style="819" customWidth="1"/>
    <col min="11792" max="11792" width="11.42578125" style="819" customWidth="1"/>
    <col min="11793" max="11793" width="13.42578125" style="819" customWidth="1"/>
    <col min="11794" max="11794" width="9.140625" style="819"/>
    <col min="11795" max="11795" width="28.42578125" style="819" bestFit="1" customWidth="1"/>
    <col min="11796" max="12033" width="9.140625" style="819"/>
    <col min="12034" max="12034" width="5" style="819" customWidth="1"/>
    <col min="12035" max="12035" width="21.5703125" style="819" customWidth="1"/>
    <col min="12036" max="12043" width="9.140625" style="819"/>
    <col min="12044" max="12044" width="11.140625" style="819" customWidth="1"/>
    <col min="12045" max="12045" width="9.140625" style="819"/>
    <col min="12046" max="12046" width="13" style="819" customWidth="1"/>
    <col min="12047" max="12047" width="10" style="819" customWidth="1"/>
    <col min="12048" max="12048" width="11.42578125" style="819" customWidth="1"/>
    <col min="12049" max="12049" width="13.42578125" style="819" customWidth="1"/>
    <col min="12050" max="12050" width="9.140625" style="819"/>
    <col min="12051" max="12051" width="28.42578125" style="819" bestFit="1" customWidth="1"/>
    <col min="12052" max="12289" width="9.140625" style="819"/>
    <col min="12290" max="12290" width="5" style="819" customWidth="1"/>
    <col min="12291" max="12291" width="21.5703125" style="819" customWidth="1"/>
    <col min="12292" max="12299" width="9.140625" style="819"/>
    <col min="12300" max="12300" width="11.140625" style="819" customWidth="1"/>
    <col min="12301" max="12301" width="9.140625" style="819"/>
    <col min="12302" max="12302" width="13" style="819" customWidth="1"/>
    <col min="12303" max="12303" width="10" style="819" customWidth="1"/>
    <col min="12304" max="12304" width="11.42578125" style="819" customWidth="1"/>
    <col min="12305" max="12305" width="13.42578125" style="819" customWidth="1"/>
    <col min="12306" max="12306" width="9.140625" style="819"/>
    <col min="12307" max="12307" width="28.42578125" style="819" bestFit="1" customWidth="1"/>
    <col min="12308" max="12545" width="9.140625" style="819"/>
    <col min="12546" max="12546" width="5" style="819" customWidth="1"/>
    <col min="12547" max="12547" width="21.5703125" style="819" customWidth="1"/>
    <col min="12548" max="12555" width="9.140625" style="819"/>
    <col min="12556" max="12556" width="11.140625" style="819" customWidth="1"/>
    <col min="12557" max="12557" width="9.140625" style="819"/>
    <col min="12558" max="12558" width="13" style="819" customWidth="1"/>
    <col min="12559" max="12559" width="10" style="819" customWidth="1"/>
    <col min="12560" max="12560" width="11.42578125" style="819" customWidth="1"/>
    <col min="12561" max="12561" width="13.42578125" style="819" customWidth="1"/>
    <col min="12562" max="12562" width="9.140625" style="819"/>
    <col min="12563" max="12563" width="28.42578125" style="819" bestFit="1" customWidth="1"/>
    <col min="12564" max="12801" width="9.140625" style="819"/>
    <col min="12802" max="12802" width="5" style="819" customWidth="1"/>
    <col min="12803" max="12803" width="21.5703125" style="819" customWidth="1"/>
    <col min="12804" max="12811" width="9.140625" style="819"/>
    <col min="12812" max="12812" width="11.140625" style="819" customWidth="1"/>
    <col min="12813" max="12813" width="9.140625" style="819"/>
    <col min="12814" max="12814" width="13" style="819" customWidth="1"/>
    <col min="12815" max="12815" width="10" style="819" customWidth="1"/>
    <col min="12816" max="12816" width="11.42578125" style="819" customWidth="1"/>
    <col min="12817" max="12817" width="13.42578125" style="819" customWidth="1"/>
    <col min="12818" max="12818" width="9.140625" style="819"/>
    <col min="12819" max="12819" width="28.42578125" style="819" bestFit="1" customWidth="1"/>
    <col min="12820" max="13057" width="9.140625" style="819"/>
    <col min="13058" max="13058" width="5" style="819" customWidth="1"/>
    <col min="13059" max="13059" width="21.5703125" style="819" customWidth="1"/>
    <col min="13060" max="13067" width="9.140625" style="819"/>
    <col min="13068" max="13068" width="11.140625" style="819" customWidth="1"/>
    <col min="13069" max="13069" width="9.140625" style="819"/>
    <col min="13070" max="13070" width="13" style="819" customWidth="1"/>
    <col min="13071" max="13071" width="10" style="819" customWidth="1"/>
    <col min="13072" max="13072" width="11.42578125" style="819" customWidth="1"/>
    <col min="13073" max="13073" width="13.42578125" style="819" customWidth="1"/>
    <col min="13074" max="13074" width="9.140625" style="819"/>
    <col min="13075" max="13075" width="28.42578125" style="819" bestFit="1" customWidth="1"/>
    <col min="13076" max="13313" width="9.140625" style="819"/>
    <col min="13314" max="13314" width="5" style="819" customWidth="1"/>
    <col min="13315" max="13315" width="21.5703125" style="819" customWidth="1"/>
    <col min="13316" max="13323" width="9.140625" style="819"/>
    <col min="13324" max="13324" width="11.140625" style="819" customWidth="1"/>
    <col min="13325" max="13325" width="9.140625" style="819"/>
    <col min="13326" max="13326" width="13" style="819" customWidth="1"/>
    <col min="13327" max="13327" width="10" style="819" customWidth="1"/>
    <col min="13328" max="13328" width="11.42578125" style="819" customWidth="1"/>
    <col min="13329" max="13329" width="13.42578125" style="819" customWidth="1"/>
    <col min="13330" max="13330" width="9.140625" style="819"/>
    <col min="13331" max="13331" width="28.42578125" style="819" bestFit="1" customWidth="1"/>
    <col min="13332" max="13569" width="9.140625" style="819"/>
    <col min="13570" max="13570" width="5" style="819" customWidth="1"/>
    <col min="13571" max="13571" width="21.5703125" style="819" customWidth="1"/>
    <col min="13572" max="13579" width="9.140625" style="819"/>
    <col min="13580" max="13580" width="11.140625" style="819" customWidth="1"/>
    <col min="13581" max="13581" width="9.140625" style="819"/>
    <col min="13582" max="13582" width="13" style="819" customWidth="1"/>
    <col min="13583" max="13583" width="10" style="819" customWidth="1"/>
    <col min="13584" max="13584" width="11.42578125" style="819" customWidth="1"/>
    <col min="13585" max="13585" width="13.42578125" style="819" customWidth="1"/>
    <col min="13586" max="13586" width="9.140625" style="819"/>
    <col min="13587" max="13587" width="28.42578125" style="819" bestFit="1" customWidth="1"/>
    <col min="13588" max="13825" width="9.140625" style="819"/>
    <col min="13826" max="13826" width="5" style="819" customWidth="1"/>
    <col min="13827" max="13827" width="21.5703125" style="819" customWidth="1"/>
    <col min="13828" max="13835" width="9.140625" style="819"/>
    <col min="13836" max="13836" width="11.140625" style="819" customWidth="1"/>
    <col min="13837" max="13837" width="9.140625" style="819"/>
    <col min="13838" max="13838" width="13" style="819" customWidth="1"/>
    <col min="13839" max="13839" width="10" style="819" customWidth="1"/>
    <col min="13840" max="13840" width="11.42578125" style="819" customWidth="1"/>
    <col min="13841" max="13841" width="13.42578125" style="819" customWidth="1"/>
    <col min="13842" max="13842" width="9.140625" style="819"/>
    <col min="13843" max="13843" width="28.42578125" style="819" bestFit="1" customWidth="1"/>
    <col min="13844" max="14081" width="9.140625" style="819"/>
    <col min="14082" max="14082" width="5" style="819" customWidth="1"/>
    <col min="14083" max="14083" width="21.5703125" style="819" customWidth="1"/>
    <col min="14084" max="14091" width="9.140625" style="819"/>
    <col min="14092" max="14092" width="11.140625" style="819" customWidth="1"/>
    <col min="14093" max="14093" width="9.140625" style="819"/>
    <col min="14094" max="14094" width="13" style="819" customWidth="1"/>
    <col min="14095" max="14095" width="10" style="819" customWidth="1"/>
    <col min="14096" max="14096" width="11.42578125" style="819" customWidth="1"/>
    <col min="14097" max="14097" width="13.42578125" style="819" customWidth="1"/>
    <col min="14098" max="14098" width="9.140625" style="819"/>
    <col min="14099" max="14099" width="28.42578125" style="819" bestFit="1" customWidth="1"/>
    <col min="14100" max="14337" width="9.140625" style="819"/>
    <col min="14338" max="14338" width="5" style="819" customWidth="1"/>
    <col min="14339" max="14339" width="21.5703125" style="819" customWidth="1"/>
    <col min="14340" max="14347" width="9.140625" style="819"/>
    <col min="14348" max="14348" width="11.140625" style="819" customWidth="1"/>
    <col min="14349" max="14349" width="9.140625" style="819"/>
    <col min="14350" max="14350" width="13" style="819" customWidth="1"/>
    <col min="14351" max="14351" width="10" style="819" customWidth="1"/>
    <col min="14352" max="14352" width="11.42578125" style="819" customWidth="1"/>
    <col min="14353" max="14353" width="13.42578125" style="819" customWidth="1"/>
    <col min="14354" max="14354" width="9.140625" style="819"/>
    <col min="14355" max="14355" width="28.42578125" style="819" bestFit="1" customWidth="1"/>
    <col min="14356" max="14593" width="9.140625" style="819"/>
    <col min="14594" max="14594" width="5" style="819" customWidth="1"/>
    <col min="14595" max="14595" width="21.5703125" style="819" customWidth="1"/>
    <col min="14596" max="14603" width="9.140625" style="819"/>
    <col min="14604" max="14604" width="11.140625" style="819" customWidth="1"/>
    <col min="14605" max="14605" width="9.140625" style="819"/>
    <col min="14606" max="14606" width="13" style="819" customWidth="1"/>
    <col min="14607" max="14607" width="10" style="819" customWidth="1"/>
    <col min="14608" max="14608" width="11.42578125" style="819" customWidth="1"/>
    <col min="14609" max="14609" width="13.42578125" style="819" customWidth="1"/>
    <col min="14610" max="14610" width="9.140625" style="819"/>
    <col min="14611" max="14611" width="28.42578125" style="819" bestFit="1" customWidth="1"/>
    <col min="14612" max="14849" width="9.140625" style="819"/>
    <col min="14850" max="14850" width="5" style="819" customWidth="1"/>
    <col min="14851" max="14851" width="21.5703125" style="819" customWidth="1"/>
    <col min="14852" max="14859" width="9.140625" style="819"/>
    <col min="14860" max="14860" width="11.140625" style="819" customWidth="1"/>
    <col min="14861" max="14861" width="9.140625" style="819"/>
    <col min="14862" max="14862" width="13" style="819" customWidth="1"/>
    <col min="14863" max="14863" width="10" style="819" customWidth="1"/>
    <col min="14864" max="14864" width="11.42578125" style="819" customWidth="1"/>
    <col min="14865" max="14865" width="13.42578125" style="819" customWidth="1"/>
    <col min="14866" max="14866" width="9.140625" style="819"/>
    <col min="14867" max="14867" width="28.42578125" style="819" bestFit="1" customWidth="1"/>
    <col min="14868" max="15105" width="9.140625" style="819"/>
    <col min="15106" max="15106" width="5" style="819" customWidth="1"/>
    <col min="15107" max="15107" width="21.5703125" style="819" customWidth="1"/>
    <col min="15108" max="15115" width="9.140625" style="819"/>
    <col min="15116" max="15116" width="11.140625" style="819" customWidth="1"/>
    <col min="15117" max="15117" width="9.140625" style="819"/>
    <col min="15118" max="15118" width="13" style="819" customWidth="1"/>
    <col min="15119" max="15119" width="10" style="819" customWidth="1"/>
    <col min="15120" max="15120" width="11.42578125" style="819" customWidth="1"/>
    <col min="15121" max="15121" width="13.42578125" style="819" customWidth="1"/>
    <col min="15122" max="15122" width="9.140625" style="819"/>
    <col min="15123" max="15123" width="28.42578125" style="819" bestFit="1" customWidth="1"/>
    <col min="15124" max="15361" width="9.140625" style="819"/>
    <col min="15362" max="15362" width="5" style="819" customWidth="1"/>
    <col min="15363" max="15363" width="21.5703125" style="819" customWidth="1"/>
    <col min="15364" max="15371" width="9.140625" style="819"/>
    <col min="15372" max="15372" width="11.140625" style="819" customWidth="1"/>
    <col min="15373" max="15373" width="9.140625" style="819"/>
    <col min="15374" max="15374" width="13" style="819" customWidth="1"/>
    <col min="15375" max="15375" width="10" style="819" customWidth="1"/>
    <col min="15376" max="15376" width="11.42578125" style="819" customWidth="1"/>
    <col min="15377" max="15377" width="13.42578125" style="819" customWidth="1"/>
    <col min="15378" max="15378" width="9.140625" style="819"/>
    <col min="15379" max="15379" width="28.42578125" style="819" bestFit="1" customWidth="1"/>
    <col min="15380" max="15617" width="9.140625" style="819"/>
    <col min="15618" max="15618" width="5" style="819" customWidth="1"/>
    <col min="15619" max="15619" width="21.5703125" style="819" customWidth="1"/>
    <col min="15620" max="15627" width="9.140625" style="819"/>
    <col min="15628" max="15628" width="11.140625" style="819" customWidth="1"/>
    <col min="15629" max="15629" width="9.140625" style="819"/>
    <col min="15630" max="15630" width="13" style="819" customWidth="1"/>
    <col min="15631" max="15631" width="10" style="819" customWidth="1"/>
    <col min="15632" max="15632" width="11.42578125" style="819" customWidth="1"/>
    <col min="15633" max="15633" width="13.42578125" style="819" customWidth="1"/>
    <col min="15634" max="15634" width="9.140625" style="819"/>
    <col min="15635" max="15635" width="28.42578125" style="819" bestFit="1" customWidth="1"/>
    <col min="15636" max="15873" width="9.140625" style="819"/>
    <col min="15874" max="15874" width="5" style="819" customWidth="1"/>
    <col min="15875" max="15875" width="21.5703125" style="819" customWidth="1"/>
    <col min="15876" max="15883" width="9.140625" style="819"/>
    <col min="15884" max="15884" width="11.140625" style="819" customWidth="1"/>
    <col min="15885" max="15885" width="9.140625" style="819"/>
    <col min="15886" max="15886" width="13" style="819" customWidth="1"/>
    <col min="15887" max="15887" width="10" style="819" customWidth="1"/>
    <col min="15888" max="15888" width="11.42578125" style="819" customWidth="1"/>
    <col min="15889" max="15889" width="13.42578125" style="819" customWidth="1"/>
    <col min="15890" max="15890" width="9.140625" style="819"/>
    <col min="15891" max="15891" width="28.42578125" style="819" bestFit="1" customWidth="1"/>
    <col min="15892" max="16129" width="9.140625" style="819"/>
    <col min="16130" max="16130" width="5" style="819" customWidth="1"/>
    <col min="16131" max="16131" width="21.5703125" style="819" customWidth="1"/>
    <col min="16132" max="16139" width="9.140625" style="819"/>
    <col min="16140" max="16140" width="11.140625" style="819" customWidth="1"/>
    <col min="16141" max="16141" width="9.140625" style="819"/>
    <col min="16142" max="16142" width="13" style="819" customWidth="1"/>
    <col min="16143" max="16143" width="10" style="819" customWidth="1"/>
    <col min="16144" max="16144" width="11.42578125" style="819" customWidth="1"/>
    <col min="16145" max="16145" width="13.42578125" style="819" customWidth="1"/>
    <col min="16146" max="16146" width="9.140625" style="819"/>
    <col min="16147" max="16147" width="28.42578125" style="819" bestFit="1" customWidth="1"/>
    <col min="16148" max="16384" width="9.140625" style="798"/>
  </cols>
  <sheetData>
    <row r="1" spans="1:32">
      <c r="B1" s="799" t="s">
        <v>624</v>
      </c>
      <c r="C1" s="799"/>
    </row>
    <row r="2" spans="1:32">
      <c r="D2" s="800" t="s">
        <v>11</v>
      </c>
      <c r="E2" s="800" t="s">
        <v>12</v>
      </c>
      <c r="F2" s="800" t="s">
        <v>13</v>
      </c>
      <c r="G2" s="800" t="s">
        <v>14</v>
      </c>
      <c r="H2" s="800" t="s">
        <v>15</v>
      </c>
      <c r="I2" s="800" t="s">
        <v>16</v>
      </c>
      <c r="J2" s="800" t="s">
        <v>17</v>
      </c>
      <c r="K2" s="800" t="s">
        <v>18</v>
      </c>
      <c r="L2" s="800" t="s">
        <v>19</v>
      </c>
      <c r="M2" s="800" t="s">
        <v>20</v>
      </c>
      <c r="N2" s="800" t="s">
        <v>21</v>
      </c>
      <c r="O2" s="800" t="s">
        <v>22</v>
      </c>
      <c r="P2" s="800" t="s">
        <v>439</v>
      </c>
      <c r="Q2" s="800" t="s">
        <v>625</v>
      </c>
      <c r="R2" s="801" t="s">
        <v>626</v>
      </c>
      <c r="S2" s="802"/>
      <c r="T2" s="802"/>
      <c r="U2" s="802"/>
      <c r="V2" s="802"/>
      <c r="W2" s="802"/>
      <c r="X2" s="802"/>
      <c r="Y2" s="802"/>
      <c r="Z2" s="802"/>
      <c r="AA2" s="802"/>
      <c r="AB2" s="802"/>
      <c r="AC2" s="802"/>
      <c r="AD2" s="802"/>
    </row>
    <row r="3" spans="1:32" ht="14.25" customHeight="1" thickBot="1">
      <c r="A3" s="798">
        <v>2</v>
      </c>
      <c r="B3" s="803" t="s">
        <v>84</v>
      </c>
      <c r="C3" s="803"/>
      <c r="D3" s="800"/>
      <c r="E3" s="800"/>
      <c r="F3" s="800"/>
      <c r="G3" s="800"/>
      <c r="H3" s="800"/>
      <c r="I3" s="800"/>
      <c r="J3" s="800"/>
      <c r="K3" s="800"/>
      <c r="L3" s="800"/>
      <c r="M3" s="800"/>
      <c r="N3" s="800"/>
      <c r="O3" s="800"/>
      <c r="P3" s="800"/>
      <c r="Q3" s="800"/>
      <c r="S3" s="800" t="s">
        <v>168</v>
      </c>
      <c r="T3" s="800" t="s">
        <v>172</v>
      </c>
      <c r="U3" s="800" t="s">
        <v>177</v>
      </c>
      <c r="V3" s="800" t="s">
        <v>180</v>
      </c>
      <c r="W3" s="800" t="s">
        <v>15</v>
      </c>
      <c r="X3" s="800" t="s">
        <v>185</v>
      </c>
      <c r="Y3" s="800" t="s">
        <v>186</v>
      </c>
      <c r="Z3" s="800" t="s">
        <v>187</v>
      </c>
      <c r="AA3" s="800" t="s">
        <v>188</v>
      </c>
      <c r="AB3" s="800" t="s">
        <v>189</v>
      </c>
      <c r="AC3" s="800" t="s">
        <v>190</v>
      </c>
      <c r="AD3" s="800" t="s">
        <v>627</v>
      </c>
      <c r="AE3" s="800" t="s">
        <v>23</v>
      </c>
    </row>
    <row r="4" spans="1:32" ht="15.75" thickBot="1">
      <c r="A4" s="798">
        <v>3</v>
      </c>
      <c r="B4" s="804" t="s">
        <v>628</v>
      </c>
      <c r="C4" s="805" t="s">
        <v>629</v>
      </c>
      <c r="D4" s="806">
        <v>35</v>
      </c>
      <c r="E4" s="806">
        <v>30</v>
      </c>
      <c r="F4" s="806">
        <v>30</v>
      </c>
      <c r="G4" s="806">
        <v>20</v>
      </c>
      <c r="H4" s="806">
        <v>11</v>
      </c>
      <c r="I4" s="806">
        <v>8</v>
      </c>
      <c r="J4" s="806">
        <v>9</v>
      </c>
      <c r="K4" s="806">
        <v>14</v>
      </c>
      <c r="L4" s="806">
        <v>12</v>
      </c>
      <c r="M4" s="806">
        <v>21</v>
      </c>
      <c r="N4" s="806">
        <v>27</v>
      </c>
      <c r="O4" s="806">
        <v>19</v>
      </c>
      <c r="P4" s="807">
        <v>236</v>
      </c>
      <c r="Q4" s="807" t="str">
        <f>R6</f>
        <v>Zone 1 - Cold Interior</v>
      </c>
      <c r="R4" s="798" t="s">
        <v>630</v>
      </c>
    </row>
    <row r="5" spans="1:32" ht="15.75" thickBot="1">
      <c r="A5" s="798">
        <v>5</v>
      </c>
      <c r="B5" s="804" t="s">
        <v>631</v>
      </c>
      <c r="C5" s="805" t="s">
        <v>629</v>
      </c>
      <c r="D5" s="806">
        <v>120</v>
      </c>
      <c r="E5" s="806">
        <v>84</v>
      </c>
      <c r="F5" s="806">
        <v>74</v>
      </c>
      <c r="G5" s="806">
        <v>37</v>
      </c>
      <c r="H5" s="806">
        <v>7</v>
      </c>
      <c r="I5" s="806">
        <v>6</v>
      </c>
      <c r="J5" s="806">
        <v>2</v>
      </c>
      <c r="K5" s="806">
        <v>5</v>
      </c>
      <c r="L5" s="806">
        <v>16</v>
      </c>
      <c r="M5" s="806">
        <v>58</v>
      </c>
      <c r="N5" s="806">
        <v>101</v>
      </c>
      <c r="O5" s="806">
        <v>124</v>
      </c>
      <c r="P5" s="807">
        <v>634</v>
      </c>
      <c r="Q5" s="807" t="str">
        <f>R7</f>
        <v>Zone 2 - Temperate Interior</v>
      </c>
    </row>
    <row r="6" spans="1:32" ht="15.75" thickBot="1">
      <c r="A6" s="798">
        <v>7</v>
      </c>
      <c r="B6" s="804" t="s">
        <v>632</v>
      </c>
      <c r="C6" s="805" t="s">
        <v>629</v>
      </c>
      <c r="D6" s="806">
        <v>170</v>
      </c>
      <c r="E6" s="806">
        <v>101</v>
      </c>
      <c r="F6" s="806">
        <v>83</v>
      </c>
      <c r="G6" s="806">
        <v>53</v>
      </c>
      <c r="H6" s="806">
        <v>16</v>
      </c>
      <c r="I6" s="806">
        <v>7</v>
      </c>
      <c r="J6" s="806">
        <v>5</v>
      </c>
      <c r="K6" s="806">
        <v>9</v>
      </c>
      <c r="L6" s="806">
        <v>33</v>
      </c>
      <c r="M6" s="806">
        <v>93</v>
      </c>
      <c r="N6" s="806">
        <v>156</v>
      </c>
      <c r="O6" s="806">
        <v>152</v>
      </c>
      <c r="P6" s="807">
        <v>878</v>
      </c>
      <c r="Q6" s="807" t="str">
        <f>R6</f>
        <v>Zone 1 - Cold Interior</v>
      </c>
      <c r="R6" s="808" t="s">
        <v>633</v>
      </c>
      <c r="S6" s="809">
        <v>0.5</v>
      </c>
      <c r="T6" s="809">
        <v>0.5</v>
      </c>
      <c r="U6" s="809">
        <v>0.5</v>
      </c>
      <c r="V6" s="809">
        <v>1</v>
      </c>
      <c r="W6" s="809">
        <v>1</v>
      </c>
      <c r="X6" s="809">
        <v>1</v>
      </c>
      <c r="Y6" s="809">
        <v>1</v>
      </c>
      <c r="Z6" s="809">
        <v>1</v>
      </c>
      <c r="AA6" s="809">
        <v>1</v>
      </c>
      <c r="AB6" s="809">
        <v>0.5</v>
      </c>
      <c r="AC6" s="809">
        <v>0.5</v>
      </c>
      <c r="AD6" s="809">
        <v>0.5</v>
      </c>
      <c r="AE6" s="809">
        <f t="shared" ref="AE6:AE11" si="0">SUM(S6:AD6)</f>
        <v>9</v>
      </c>
      <c r="AF6" s="810"/>
    </row>
    <row r="7" spans="1:32" ht="15.75" thickBot="1">
      <c r="A7" s="798">
        <v>9</v>
      </c>
      <c r="B7" s="804" t="s">
        <v>634</v>
      </c>
      <c r="C7" s="805" t="s">
        <v>629</v>
      </c>
      <c r="D7" s="806">
        <v>146</v>
      </c>
      <c r="E7" s="806">
        <v>75</v>
      </c>
      <c r="F7" s="806">
        <v>61</v>
      </c>
      <c r="G7" s="806">
        <v>48</v>
      </c>
      <c r="H7" s="806">
        <v>14</v>
      </c>
      <c r="I7" s="806">
        <v>7</v>
      </c>
      <c r="J7" s="806">
        <v>6</v>
      </c>
      <c r="K7" s="806">
        <v>13</v>
      </c>
      <c r="L7" s="806">
        <v>28</v>
      </c>
      <c r="M7" s="806">
        <v>78</v>
      </c>
      <c r="N7" s="806">
        <v>129</v>
      </c>
      <c r="O7" s="806">
        <v>106</v>
      </c>
      <c r="P7" s="807">
        <v>711</v>
      </c>
      <c r="Q7" s="807" t="str">
        <f>R6</f>
        <v>Zone 1 - Cold Interior</v>
      </c>
      <c r="R7" s="808" t="s">
        <v>635</v>
      </c>
      <c r="S7" s="809">
        <v>0.5</v>
      </c>
      <c r="T7" s="809">
        <v>0.5</v>
      </c>
      <c r="U7" s="809">
        <v>0.5</v>
      </c>
      <c r="V7" s="809">
        <v>1</v>
      </c>
      <c r="W7" s="809">
        <v>1</v>
      </c>
      <c r="X7" s="809">
        <v>1</v>
      </c>
      <c r="Y7" s="809">
        <v>1</v>
      </c>
      <c r="Z7" s="809">
        <v>1</v>
      </c>
      <c r="AA7" s="809">
        <v>1</v>
      </c>
      <c r="AB7" s="809">
        <v>0.5</v>
      </c>
      <c r="AC7" s="809">
        <v>0.5</v>
      </c>
      <c r="AD7" s="809">
        <v>0.5</v>
      </c>
      <c r="AE7" s="809">
        <f t="shared" si="0"/>
        <v>9</v>
      </c>
      <c r="AF7" s="810"/>
    </row>
    <row r="8" spans="1:32" ht="15.75" thickBot="1">
      <c r="A8" s="798">
        <v>11</v>
      </c>
      <c r="B8" s="804" t="s">
        <v>636</v>
      </c>
      <c r="C8" s="805" t="s">
        <v>629</v>
      </c>
      <c r="D8" s="806">
        <v>96</v>
      </c>
      <c r="E8" s="806">
        <v>77</v>
      </c>
      <c r="F8" s="806">
        <v>94</v>
      </c>
      <c r="G8" s="806">
        <v>58</v>
      </c>
      <c r="H8" s="806">
        <v>9</v>
      </c>
      <c r="I8" s="806">
        <v>12</v>
      </c>
      <c r="J8" s="806">
        <v>7</v>
      </c>
      <c r="K8" s="806">
        <v>27</v>
      </c>
      <c r="L8" s="806">
        <v>35</v>
      </c>
      <c r="M8" s="806">
        <v>83</v>
      </c>
      <c r="N8" s="806">
        <v>96</v>
      </c>
      <c r="O8" s="806">
        <v>86</v>
      </c>
      <c r="P8" s="807">
        <v>680</v>
      </c>
      <c r="Q8" s="807" t="str">
        <f>R6</f>
        <v>Zone 1 - Cold Interior</v>
      </c>
      <c r="R8" s="808" t="s">
        <v>637</v>
      </c>
      <c r="S8" s="809">
        <v>0.5</v>
      </c>
      <c r="T8" s="809">
        <v>0.5</v>
      </c>
      <c r="U8" s="809">
        <v>0.5</v>
      </c>
      <c r="V8" s="809">
        <v>1</v>
      </c>
      <c r="W8" s="809">
        <v>1</v>
      </c>
      <c r="X8" s="809">
        <v>1</v>
      </c>
      <c r="Y8" s="809">
        <v>1</v>
      </c>
      <c r="Z8" s="809">
        <v>1</v>
      </c>
      <c r="AA8" s="809">
        <v>1</v>
      </c>
      <c r="AB8" s="809">
        <v>0.5</v>
      </c>
      <c r="AC8" s="809">
        <v>0.5</v>
      </c>
      <c r="AD8" s="809">
        <v>0.5</v>
      </c>
      <c r="AE8" s="809">
        <f t="shared" si="0"/>
        <v>9</v>
      </c>
      <c r="AF8" s="810"/>
    </row>
    <row r="9" spans="1:32" ht="15.75" thickBot="1">
      <c r="A9" s="798">
        <v>13</v>
      </c>
      <c r="B9" s="804" t="s">
        <v>638</v>
      </c>
      <c r="C9" s="805" t="s">
        <v>629</v>
      </c>
      <c r="D9" s="806">
        <v>83</v>
      </c>
      <c r="E9" s="806">
        <v>111</v>
      </c>
      <c r="F9" s="806">
        <v>72</v>
      </c>
      <c r="G9" s="806">
        <v>56</v>
      </c>
      <c r="H9" s="806">
        <v>17</v>
      </c>
      <c r="I9" s="806">
        <v>12</v>
      </c>
      <c r="J9" s="806">
        <v>8</v>
      </c>
      <c r="K9" s="806">
        <v>15</v>
      </c>
      <c r="L9" s="806">
        <v>24</v>
      </c>
      <c r="M9" s="806">
        <v>43</v>
      </c>
      <c r="N9" s="806">
        <v>58</v>
      </c>
      <c r="O9" s="806">
        <v>60</v>
      </c>
      <c r="P9" s="807">
        <v>559</v>
      </c>
      <c r="Q9" s="807" t="str">
        <f>R6</f>
        <v>Zone 1 - Cold Interior</v>
      </c>
      <c r="R9" s="808" t="s">
        <v>639</v>
      </c>
      <c r="S9" s="809">
        <v>1</v>
      </c>
      <c r="T9" s="809">
        <v>1</v>
      </c>
      <c r="U9" s="809">
        <v>1</v>
      </c>
      <c r="V9" s="809">
        <v>1</v>
      </c>
      <c r="W9" s="809">
        <v>0.5</v>
      </c>
      <c r="X9" s="809">
        <v>0.5</v>
      </c>
      <c r="Y9" s="809">
        <v>0.5</v>
      </c>
      <c r="Z9" s="809">
        <v>0.5</v>
      </c>
      <c r="AA9" s="809">
        <v>1</v>
      </c>
      <c r="AB9" s="809">
        <v>1</v>
      </c>
      <c r="AC9" s="809">
        <v>1</v>
      </c>
      <c r="AD9" s="809">
        <v>1</v>
      </c>
      <c r="AE9" s="809">
        <f t="shared" si="0"/>
        <v>10</v>
      </c>
      <c r="AF9" s="810"/>
    </row>
    <row r="10" spans="1:32" ht="15.75" thickBot="1">
      <c r="B10" s="804" t="s">
        <v>640</v>
      </c>
      <c r="C10" s="805" t="s">
        <v>629</v>
      </c>
      <c r="D10" s="806">
        <v>14</v>
      </c>
      <c r="E10" s="806">
        <v>12</v>
      </c>
      <c r="F10" s="806">
        <v>26</v>
      </c>
      <c r="G10" s="806">
        <v>27</v>
      </c>
      <c r="H10" s="806">
        <v>22</v>
      </c>
      <c r="I10" s="806">
        <v>34</v>
      </c>
      <c r="J10" s="806">
        <v>23</v>
      </c>
      <c r="K10" s="806">
        <v>24</v>
      </c>
      <c r="L10" s="806">
        <v>13</v>
      </c>
      <c r="M10" s="806">
        <v>11</v>
      </c>
      <c r="N10" s="806">
        <v>13</v>
      </c>
      <c r="O10" s="806">
        <v>9</v>
      </c>
      <c r="P10" s="807">
        <v>228</v>
      </c>
      <c r="Q10" s="807" t="str">
        <f>R7</f>
        <v>Zone 2 - Temperate Interior</v>
      </c>
      <c r="R10" s="808" t="s">
        <v>641</v>
      </c>
      <c r="S10" s="809">
        <v>0.5</v>
      </c>
      <c r="T10" s="809">
        <v>0.5</v>
      </c>
      <c r="U10" s="809">
        <v>0.5</v>
      </c>
      <c r="V10" s="809">
        <v>0.5</v>
      </c>
      <c r="W10" s="809">
        <v>1</v>
      </c>
      <c r="X10" s="809">
        <v>1</v>
      </c>
      <c r="Y10" s="809">
        <v>1</v>
      </c>
      <c r="Z10" s="809">
        <v>1</v>
      </c>
      <c r="AA10" s="809">
        <v>0.5</v>
      </c>
      <c r="AB10" s="809">
        <v>0.5</v>
      </c>
      <c r="AC10" s="809">
        <v>0.5</v>
      </c>
      <c r="AD10" s="809">
        <v>0.5</v>
      </c>
      <c r="AE10" s="809">
        <f t="shared" si="0"/>
        <v>8</v>
      </c>
      <c r="AF10" s="810"/>
    </row>
    <row r="11" spans="1:32" ht="15.75" thickBot="1">
      <c r="A11" s="798">
        <v>15</v>
      </c>
      <c r="B11" s="804" t="s">
        <v>642</v>
      </c>
      <c r="C11" s="805" t="s">
        <v>629</v>
      </c>
      <c r="D11" s="806">
        <v>15</v>
      </c>
      <c r="E11" s="806">
        <v>17</v>
      </c>
      <c r="F11" s="806">
        <v>20</v>
      </c>
      <c r="G11" s="806">
        <v>41</v>
      </c>
      <c r="H11" s="806">
        <v>69</v>
      </c>
      <c r="I11" s="806">
        <v>93</v>
      </c>
      <c r="J11" s="806">
        <v>82</v>
      </c>
      <c r="K11" s="806">
        <v>77</v>
      </c>
      <c r="L11" s="806">
        <v>40</v>
      </c>
      <c r="M11" s="806">
        <v>30</v>
      </c>
      <c r="N11" s="806">
        <v>14</v>
      </c>
      <c r="O11" s="806">
        <v>17</v>
      </c>
      <c r="P11" s="807">
        <v>515</v>
      </c>
      <c r="Q11" s="807" t="str">
        <f>R9</f>
        <v>Zone 4 - Temperate Coastal</v>
      </c>
      <c r="R11" s="808" t="s">
        <v>643</v>
      </c>
      <c r="S11" s="809">
        <v>1</v>
      </c>
      <c r="T11" s="809">
        <v>0.5</v>
      </c>
      <c r="U11" s="809">
        <v>1</v>
      </c>
      <c r="V11" s="809">
        <v>1</v>
      </c>
      <c r="W11" s="809">
        <v>1</v>
      </c>
      <c r="X11" s="809">
        <v>1</v>
      </c>
      <c r="Y11" s="809">
        <v>1</v>
      </c>
      <c r="Z11" s="809">
        <v>1</v>
      </c>
      <c r="AA11" s="809">
        <v>1</v>
      </c>
      <c r="AB11" s="809">
        <v>1</v>
      </c>
      <c r="AC11" s="809">
        <v>1</v>
      </c>
      <c r="AD11" s="809">
        <v>1</v>
      </c>
      <c r="AE11" s="809">
        <f t="shared" si="0"/>
        <v>11.5</v>
      </c>
      <c r="AF11" s="810"/>
    </row>
    <row r="12" spans="1:32" ht="15.75" thickBot="1">
      <c r="B12" s="804" t="s">
        <v>644</v>
      </c>
      <c r="C12" s="805" t="s">
        <v>629</v>
      </c>
      <c r="D12" s="806">
        <v>36</v>
      </c>
      <c r="E12" s="806">
        <v>60</v>
      </c>
      <c r="F12" s="806">
        <v>52</v>
      </c>
      <c r="G12" s="806">
        <v>41</v>
      </c>
      <c r="H12" s="806">
        <v>16</v>
      </c>
      <c r="I12" s="806">
        <v>13</v>
      </c>
      <c r="J12" s="806">
        <v>13</v>
      </c>
      <c r="K12" s="806">
        <v>15</v>
      </c>
      <c r="L12" s="806">
        <v>11</v>
      </c>
      <c r="M12" s="806">
        <v>26</v>
      </c>
      <c r="N12" s="806">
        <v>30</v>
      </c>
      <c r="O12" s="806">
        <v>23</v>
      </c>
      <c r="P12" s="807">
        <v>336</v>
      </c>
      <c r="Q12" s="807" t="str">
        <f>R6</f>
        <v>Zone 1 - Cold Interior</v>
      </c>
    </row>
    <row r="13" spans="1:32" ht="15.75" thickBot="1">
      <c r="A13" s="798">
        <v>17</v>
      </c>
      <c r="B13" s="804" t="s">
        <v>645</v>
      </c>
      <c r="C13" s="805" t="s">
        <v>629</v>
      </c>
      <c r="D13" s="806">
        <v>134</v>
      </c>
      <c r="E13" s="806">
        <v>113</v>
      </c>
      <c r="F13" s="806">
        <v>120</v>
      </c>
      <c r="G13" s="806">
        <v>73</v>
      </c>
      <c r="H13" s="806">
        <v>59</v>
      </c>
      <c r="I13" s="806">
        <v>28</v>
      </c>
      <c r="J13" s="806">
        <v>39</v>
      </c>
      <c r="K13" s="806">
        <v>62</v>
      </c>
      <c r="L13" s="806">
        <v>73</v>
      </c>
      <c r="M13" s="806">
        <v>98</v>
      </c>
      <c r="N13" s="806">
        <v>108</v>
      </c>
      <c r="O13" s="806">
        <v>102</v>
      </c>
      <c r="P13" s="807">
        <v>1009</v>
      </c>
      <c r="Q13" s="807" t="str">
        <f>R10</f>
        <v>Zone 5 - Sub-tropical Coastal</v>
      </c>
      <c r="R13" s="798" t="s">
        <v>646</v>
      </c>
      <c r="S13" s="798" t="s">
        <v>647</v>
      </c>
      <c r="AE13" s="802"/>
    </row>
    <row r="14" spans="1:32" ht="15.75" thickBot="1">
      <c r="B14" s="804" t="s">
        <v>648</v>
      </c>
      <c r="C14" s="805" t="s">
        <v>629</v>
      </c>
      <c r="D14" s="806">
        <v>69</v>
      </c>
      <c r="E14" s="806">
        <v>92</v>
      </c>
      <c r="F14" s="806">
        <v>105</v>
      </c>
      <c r="G14" s="806">
        <v>83</v>
      </c>
      <c r="H14" s="806">
        <v>52</v>
      </c>
      <c r="I14" s="806">
        <v>40</v>
      </c>
      <c r="J14" s="806">
        <v>47</v>
      </c>
      <c r="K14" s="806">
        <v>78</v>
      </c>
      <c r="L14" s="806">
        <v>80</v>
      </c>
      <c r="M14" s="806">
        <v>102</v>
      </c>
      <c r="N14" s="806">
        <v>110</v>
      </c>
      <c r="O14" s="806">
        <v>63</v>
      </c>
      <c r="P14" s="807">
        <v>921</v>
      </c>
      <c r="Q14" s="807" t="str">
        <f>R10</f>
        <v>Zone 5 - Sub-tropical Coastal</v>
      </c>
      <c r="AE14" s="802"/>
    </row>
    <row r="15" spans="1:32" ht="15.75" thickBot="1">
      <c r="A15" s="798">
        <v>19</v>
      </c>
      <c r="B15" s="804" t="s">
        <v>649</v>
      </c>
      <c r="C15" s="805" t="s">
        <v>629</v>
      </c>
      <c r="D15" s="806">
        <v>63</v>
      </c>
      <c r="E15" s="806">
        <v>59</v>
      </c>
      <c r="F15" s="806">
        <v>69</v>
      </c>
      <c r="G15" s="806">
        <v>71</v>
      </c>
      <c r="H15" s="806">
        <v>53</v>
      </c>
      <c r="I15" s="806">
        <v>45</v>
      </c>
      <c r="J15" s="806">
        <v>43</v>
      </c>
      <c r="K15" s="806">
        <v>68</v>
      </c>
      <c r="L15" s="806">
        <v>60</v>
      </c>
      <c r="M15" s="806">
        <v>64</v>
      </c>
      <c r="N15" s="806">
        <v>61</v>
      </c>
      <c r="O15" s="806">
        <v>59</v>
      </c>
      <c r="P15" s="807">
        <v>715</v>
      </c>
      <c r="Q15" s="807" t="str">
        <f>R9</f>
        <v>Zone 4 - Temperate Coastal</v>
      </c>
      <c r="R15" s="808" t="s">
        <v>633</v>
      </c>
      <c r="S15" s="811">
        <v>3.806225806451613</v>
      </c>
      <c r="T15" s="811">
        <v>3.4066423357664224</v>
      </c>
      <c r="U15" s="811">
        <v>2.9907407407407414</v>
      </c>
      <c r="V15" s="811">
        <v>2.7884333333333342</v>
      </c>
      <c r="W15" s="811">
        <v>2.4160429447852758</v>
      </c>
      <c r="X15" s="811">
        <v>2.1003951367781148</v>
      </c>
      <c r="Y15" s="811">
        <v>2.260615835777124</v>
      </c>
      <c r="Z15" s="811">
        <v>2.8588554216867506</v>
      </c>
      <c r="AA15" s="811">
        <v>3.8035759493670875</v>
      </c>
      <c r="AB15" s="811">
        <v>3.9543870967741941</v>
      </c>
      <c r="AC15" s="811">
        <v>3.9602000000000004</v>
      </c>
      <c r="AD15" s="811">
        <v>4.2623870967741944</v>
      </c>
      <c r="AE15" s="802"/>
    </row>
    <row r="16" spans="1:32" ht="15.75" thickBot="1">
      <c r="B16" s="804" t="s">
        <v>606</v>
      </c>
      <c r="C16" s="805" t="s">
        <v>629</v>
      </c>
      <c r="D16" s="806">
        <v>125</v>
      </c>
      <c r="E16" s="806">
        <v>90</v>
      </c>
      <c r="F16" s="806">
        <v>91</v>
      </c>
      <c r="G16" s="806">
        <v>54</v>
      </c>
      <c r="H16" s="806">
        <v>13</v>
      </c>
      <c r="I16" s="806">
        <v>9</v>
      </c>
      <c r="J16" s="806">
        <v>4</v>
      </c>
      <c r="K16" s="806">
        <v>6</v>
      </c>
      <c r="L16" s="806">
        <v>27</v>
      </c>
      <c r="M16" s="806">
        <v>72</v>
      </c>
      <c r="N16" s="806">
        <v>117</v>
      </c>
      <c r="O16" s="806">
        <v>105</v>
      </c>
      <c r="P16" s="807">
        <v>713</v>
      </c>
      <c r="Q16" s="807" t="str">
        <f>R6</f>
        <v>Zone 1 - Cold Interior</v>
      </c>
      <c r="R16" s="808" t="s">
        <v>635</v>
      </c>
      <c r="S16" s="811">
        <v>3.7554435483870949</v>
      </c>
      <c r="T16" s="811">
        <v>4.091733333333333</v>
      </c>
      <c r="U16" s="811">
        <v>3.5426724137931034</v>
      </c>
      <c r="V16" s="811">
        <v>2.7748095238095241</v>
      </c>
      <c r="W16" s="811">
        <v>2.4348815165876765</v>
      </c>
      <c r="X16" s="811">
        <v>2.116683673469387</v>
      </c>
      <c r="Y16" s="811">
        <v>2.2805069124423984</v>
      </c>
      <c r="Z16" s="811">
        <v>3.0173469387755087</v>
      </c>
      <c r="AA16" s="811">
        <v>3.9972131147540995</v>
      </c>
      <c r="AB16" s="811">
        <v>4.2165040650406516</v>
      </c>
      <c r="AC16" s="811">
        <v>4.2215481171548142</v>
      </c>
      <c r="AD16" s="811">
        <v>4.392608695652175</v>
      </c>
      <c r="AE16" s="802"/>
    </row>
    <row r="17" spans="1:31" ht="15.75" thickBot="1">
      <c r="A17" s="798">
        <v>21</v>
      </c>
      <c r="B17" s="804" t="s">
        <v>650</v>
      </c>
      <c r="C17" s="805" t="s">
        <v>629</v>
      </c>
      <c r="D17" s="806">
        <v>57</v>
      </c>
      <c r="E17" s="806">
        <v>76</v>
      </c>
      <c r="F17" s="806">
        <v>65</v>
      </c>
      <c r="G17" s="806">
        <v>49</v>
      </c>
      <c r="H17" s="806">
        <v>16</v>
      </c>
      <c r="I17" s="806">
        <v>7</v>
      </c>
      <c r="J17" s="806">
        <v>7</v>
      </c>
      <c r="K17" s="806">
        <v>7</v>
      </c>
      <c r="L17" s="806">
        <v>12</v>
      </c>
      <c r="M17" s="806">
        <v>30</v>
      </c>
      <c r="N17" s="806">
        <v>42</v>
      </c>
      <c r="O17" s="806">
        <v>46</v>
      </c>
      <c r="P17" s="807">
        <v>414</v>
      </c>
      <c r="Q17" s="807" t="str">
        <f>R11</f>
        <v>Zone 6 - Arid Interior</v>
      </c>
      <c r="R17" s="808" t="s">
        <v>637</v>
      </c>
      <c r="S17" s="811">
        <v>4.3964896755162224</v>
      </c>
      <c r="T17" s="811">
        <v>4.521136363636364</v>
      </c>
      <c r="U17" s="811">
        <v>3.898299120234602</v>
      </c>
      <c r="V17" s="811">
        <v>3.0510914454277285</v>
      </c>
      <c r="W17" s="811">
        <v>2.7455795148247986</v>
      </c>
      <c r="X17" s="811">
        <v>2.3705586592178762</v>
      </c>
      <c r="Y17" s="811">
        <v>2.6089218328840977</v>
      </c>
      <c r="Z17" s="811">
        <v>3.1344892473118255</v>
      </c>
      <c r="AA17" s="811">
        <v>3.8409565217391326</v>
      </c>
      <c r="AB17" s="811">
        <v>3.7052492668621682</v>
      </c>
      <c r="AC17" s="811">
        <v>3.8690273556231007</v>
      </c>
      <c r="AD17" s="811">
        <v>4.3316715542521989</v>
      </c>
      <c r="AE17" s="802"/>
    </row>
    <row r="18" spans="1:31" ht="15.75" thickBot="1">
      <c r="B18" s="804" t="s">
        <v>651</v>
      </c>
      <c r="C18" s="805" t="s">
        <v>629</v>
      </c>
      <c r="D18" s="806">
        <v>145</v>
      </c>
      <c r="E18" s="806">
        <v>106</v>
      </c>
      <c r="F18" s="806">
        <v>90</v>
      </c>
      <c r="G18" s="806">
        <v>39</v>
      </c>
      <c r="H18" s="806">
        <v>14</v>
      </c>
      <c r="I18" s="806">
        <v>6</v>
      </c>
      <c r="J18" s="806">
        <v>5</v>
      </c>
      <c r="K18" s="806">
        <v>26</v>
      </c>
      <c r="L18" s="806">
        <v>38</v>
      </c>
      <c r="M18" s="806">
        <v>77</v>
      </c>
      <c r="N18" s="806">
        <v>91</v>
      </c>
      <c r="O18" s="806">
        <v>112</v>
      </c>
      <c r="P18" s="807">
        <v>749</v>
      </c>
      <c r="Q18" s="807" t="str">
        <f>R6</f>
        <v>Zone 1 - Cold Interior</v>
      </c>
      <c r="R18" s="808" t="s">
        <v>639</v>
      </c>
      <c r="S18" s="811">
        <v>4.9205555555555511</v>
      </c>
      <c r="T18" s="811">
        <v>4.4256175298804763</v>
      </c>
      <c r="U18" s="811">
        <v>3.6798207885304688</v>
      </c>
      <c r="V18" s="811">
        <v>2.4538289962825286</v>
      </c>
      <c r="W18" s="811">
        <v>1.5961151079136684</v>
      </c>
      <c r="X18" s="811">
        <v>1.3571268656716418</v>
      </c>
      <c r="Y18" s="811">
        <v>1.5577978339350191</v>
      </c>
      <c r="Z18" s="811">
        <v>1.80426523297491</v>
      </c>
      <c r="AA18" s="811">
        <v>2.3880232558139531</v>
      </c>
      <c r="AB18" s="811">
        <v>3.3779032258064539</v>
      </c>
      <c r="AC18" s="811">
        <v>4.225882352941178</v>
      </c>
      <c r="AD18" s="811">
        <v>4.1666129032258041</v>
      </c>
      <c r="AE18" s="802"/>
    </row>
    <row r="19" spans="1:31" ht="15.75" thickBot="1">
      <c r="A19" s="798">
        <v>23</v>
      </c>
      <c r="B19" s="804" t="s">
        <v>652</v>
      </c>
      <c r="C19" s="805" t="s">
        <v>629</v>
      </c>
      <c r="D19" s="806">
        <v>8</v>
      </c>
      <c r="E19" s="806">
        <v>4</v>
      </c>
      <c r="F19" s="806">
        <v>11</v>
      </c>
      <c r="G19" s="806">
        <v>24</v>
      </c>
      <c r="H19" s="806">
        <v>40</v>
      </c>
      <c r="I19" s="806">
        <v>41</v>
      </c>
      <c r="J19" s="806">
        <v>47</v>
      </c>
      <c r="K19" s="806">
        <v>45</v>
      </c>
      <c r="L19" s="806">
        <v>24</v>
      </c>
      <c r="M19" s="806">
        <v>12</v>
      </c>
      <c r="N19" s="806">
        <v>12</v>
      </c>
      <c r="O19" s="806">
        <v>10</v>
      </c>
      <c r="P19" s="807">
        <v>278</v>
      </c>
      <c r="Q19" s="807" t="str">
        <f>R9</f>
        <v>Zone 4 - Temperate Coastal</v>
      </c>
      <c r="R19" s="808" t="s">
        <v>641</v>
      </c>
      <c r="S19" s="811">
        <v>3.4533870967741946</v>
      </c>
      <c r="T19" s="811">
        <v>4.0634146341463397</v>
      </c>
      <c r="U19" s="811">
        <v>3.4147096774193546</v>
      </c>
      <c r="V19" s="811">
        <v>2.5414666666666674</v>
      </c>
      <c r="W19" s="811">
        <v>2.1489473684210521</v>
      </c>
      <c r="X19" s="811">
        <v>1.7232666666666656</v>
      </c>
      <c r="Y19" s="811">
        <v>1.9119354838709675</v>
      </c>
      <c r="Z19" s="811">
        <v>2.2841549295774657</v>
      </c>
      <c r="AA19" s="811">
        <v>2.7084166666666656</v>
      </c>
      <c r="AB19" s="811">
        <v>2.6895967741935483</v>
      </c>
      <c r="AC19" s="811">
        <v>3.0700833333333346</v>
      </c>
      <c r="AD19" s="811">
        <v>3.4445161290322583</v>
      </c>
      <c r="AE19" s="802"/>
    </row>
    <row r="20" spans="1:31" ht="15.75" thickBot="1">
      <c r="B20" s="804" t="s">
        <v>653</v>
      </c>
      <c r="C20" s="805" t="s">
        <v>629</v>
      </c>
      <c r="D20" s="806">
        <v>58</v>
      </c>
      <c r="E20" s="806">
        <v>57</v>
      </c>
      <c r="F20" s="806">
        <v>39</v>
      </c>
      <c r="G20" s="806">
        <v>27</v>
      </c>
      <c r="H20" s="806">
        <v>10</v>
      </c>
      <c r="I20" s="806">
        <v>4</v>
      </c>
      <c r="J20" s="806">
        <v>1</v>
      </c>
      <c r="K20" s="806">
        <v>1</v>
      </c>
      <c r="L20" s="806">
        <v>12</v>
      </c>
      <c r="M20" s="806">
        <v>24</v>
      </c>
      <c r="N20" s="806">
        <v>49</v>
      </c>
      <c r="O20" s="806">
        <v>57</v>
      </c>
      <c r="P20" s="807">
        <v>339</v>
      </c>
      <c r="Q20" s="807" t="str">
        <f>R8</f>
        <v>Zone 3 - Hot Interior</v>
      </c>
      <c r="R20" s="808" t="s">
        <v>643</v>
      </c>
      <c r="S20" s="811">
        <v>5.3647311827956985</v>
      </c>
      <c r="T20" s="811">
        <v>5.0459643916913937</v>
      </c>
      <c r="U20" s="811">
        <v>4.3616935483870964</v>
      </c>
      <c r="V20" s="811">
        <v>3.2627118644067798</v>
      </c>
      <c r="W20" s="811">
        <v>2.5418328840970359</v>
      </c>
      <c r="X20" s="811">
        <v>2.1014722222222249</v>
      </c>
      <c r="Y20" s="811">
        <v>2.3212096774193558</v>
      </c>
      <c r="Z20" s="811">
        <v>3.1018548387096763</v>
      </c>
      <c r="AA20" s="811">
        <v>4.1831321839080493</v>
      </c>
      <c r="AB20" s="811">
        <v>5.0443695014662788</v>
      </c>
      <c r="AC20" s="811">
        <v>5.7252664576802532</v>
      </c>
      <c r="AD20" s="811">
        <v>6.3455718475073342</v>
      </c>
      <c r="AE20" s="802"/>
    </row>
    <row r="21" spans="1:31" ht="15.75" thickBot="1">
      <c r="A21" s="798">
        <v>25</v>
      </c>
      <c r="B21" s="804" t="s">
        <v>654</v>
      </c>
      <c r="C21" s="805" t="s">
        <v>629</v>
      </c>
      <c r="D21" s="806">
        <v>127</v>
      </c>
      <c r="E21" s="806">
        <v>108</v>
      </c>
      <c r="F21" s="806">
        <v>90</v>
      </c>
      <c r="G21" s="806">
        <v>51</v>
      </c>
      <c r="H21" s="806">
        <v>15</v>
      </c>
      <c r="I21" s="806">
        <v>9</v>
      </c>
      <c r="J21" s="806">
        <v>10</v>
      </c>
      <c r="K21" s="806">
        <v>10</v>
      </c>
      <c r="L21" s="806">
        <v>26</v>
      </c>
      <c r="M21" s="806">
        <v>75</v>
      </c>
      <c r="N21" s="806">
        <v>115</v>
      </c>
      <c r="O21" s="806">
        <v>131</v>
      </c>
      <c r="P21" s="807">
        <v>767</v>
      </c>
      <c r="Q21" s="807" t="str">
        <f>R8</f>
        <v>Zone 3 - Hot Interior</v>
      </c>
      <c r="AE21" s="802"/>
    </row>
    <row r="22" spans="1:31" ht="15.75" thickBot="1">
      <c r="B22" s="804" t="s">
        <v>655</v>
      </c>
      <c r="C22" s="805" t="s">
        <v>629</v>
      </c>
      <c r="D22" s="806">
        <v>117</v>
      </c>
      <c r="E22" s="806">
        <v>83</v>
      </c>
      <c r="F22" s="806">
        <v>74</v>
      </c>
      <c r="G22" s="806">
        <v>57</v>
      </c>
      <c r="H22" s="806">
        <v>14</v>
      </c>
      <c r="I22" s="806">
        <v>5</v>
      </c>
      <c r="J22" s="806">
        <v>3</v>
      </c>
      <c r="K22" s="806">
        <v>5</v>
      </c>
      <c r="L22" s="806">
        <v>13</v>
      </c>
      <c r="M22" s="806">
        <v>37</v>
      </c>
      <c r="N22" s="806">
        <v>64</v>
      </c>
      <c r="O22" s="806">
        <v>67</v>
      </c>
      <c r="P22" s="807">
        <v>539</v>
      </c>
      <c r="Q22" s="807" t="str">
        <f>R7</f>
        <v>Zone 2 - Temperate Interior</v>
      </c>
      <c r="R22" s="798" t="s">
        <v>656</v>
      </c>
      <c r="AE22" s="802"/>
    </row>
    <row r="23" spans="1:31" ht="15.75" thickBot="1">
      <c r="A23" s="798">
        <v>27</v>
      </c>
      <c r="B23" s="804" t="s">
        <v>657</v>
      </c>
      <c r="C23" s="805" t="s">
        <v>629</v>
      </c>
      <c r="D23" s="806">
        <v>141</v>
      </c>
      <c r="E23" s="806">
        <v>117</v>
      </c>
      <c r="F23" s="806">
        <v>113</v>
      </c>
      <c r="G23" s="806">
        <v>48</v>
      </c>
      <c r="H23" s="806">
        <v>24</v>
      </c>
      <c r="I23" s="806">
        <v>13</v>
      </c>
      <c r="J23" s="806">
        <v>11</v>
      </c>
      <c r="K23" s="806">
        <v>31</v>
      </c>
      <c r="L23" s="806">
        <v>60</v>
      </c>
      <c r="M23" s="806">
        <v>74</v>
      </c>
      <c r="N23" s="806">
        <v>104</v>
      </c>
      <c r="O23" s="806">
        <v>108</v>
      </c>
      <c r="P23" s="807">
        <v>844</v>
      </c>
      <c r="Q23" s="807" t="str">
        <f>R10</f>
        <v>Zone 5 - Sub-tropical Coastal</v>
      </c>
      <c r="R23" s="798" t="s">
        <v>642</v>
      </c>
      <c r="S23" s="809">
        <v>194</v>
      </c>
      <c r="T23" s="809">
        <v>195</v>
      </c>
      <c r="U23" s="809">
        <v>168</v>
      </c>
      <c r="V23" s="809">
        <v>111</v>
      </c>
      <c r="W23" s="809">
        <v>73</v>
      </c>
      <c r="X23" s="809">
        <v>55</v>
      </c>
      <c r="Y23" s="809">
        <v>57</v>
      </c>
      <c r="Z23" s="809">
        <v>71</v>
      </c>
      <c r="AA23" s="809">
        <v>98</v>
      </c>
      <c r="AB23" s="809">
        <v>168</v>
      </c>
      <c r="AC23" s="809">
        <v>198</v>
      </c>
      <c r="AD23" s="809">
        <v>219</v>
      </c>
      <c r="AE23" s="802">
        <f>SUM(S23:AD23)</f>
        <v>1607</v>
      </c>
    </row>
    <row r="24" spans="1:31" ht="15.75" thickBot="1">
      <c r="B24" s="804" t="s">
        <v>658</v>
      </c>
      <c r="C24" s="805" t="s">
        <v>629</v>
      </c>
      <c r="D24" s="806">
        <v>78</v>
      </c>
      <c r="E24" s="806">
        <v>71</v>
      </c>
      <c r="F24" s="806">
        <v>58</v>
      </c>
      <c r="G24" s="806">
        <v>38</v>
      </c>
      <c r="H24" s="806">
        <v>6</v>
      </c>
      <c r="I24" s="806">
        <v>12</v>
      </c>
      <c r="J24" s="806">
        <v>3</v>
      </c>
      <c r="K24" s="806">
        <v>5</v>
      </c>
      <c r="L24" s="806">
        <v>25</v>
      </c>
      <c r="M24" s="806">
        <v>57</v>
      </c>
      <c r="N24" s="806">
        <v>61</v>
      </c>
      <c r="O24" s="806">
        <v>105</v>
      </c>
      <c r="P24" s="807">
        <v>519</v>
      </c>
      <c r="Q24" s="807" t="str">
        <f>R7</f>
        <v>Zone 2 - Temperate Interior</v>
      </c>
    </row>
    <row r="25" spans="1:31" ht="15.75" thickBot="1">
      <c r="A25" s="798">
        <v>29</v>
      </c>
      <c r="B25" s="804" t="s">
        <v>659</v>
      </c>
      <c r="C25" s="805" t="s">
        <v>629</v>
      </c>
      <c r="D25" s="806">
        <v>82</v>
      </c>
      <c r="E25" s="806">
        <v>60</v>
      </c>
      <c r="F25" s="806">
        <v>52</v>
      </c>
      <c r="G25" s="806">
        <v>33</v>
      </c>
      <c r="H25" s="806">
        <v>11</v>
      </c>
      <c r="I25" s="806">
        <v>5</v>
      </c>
      <c r="J25" s="806">
        <v>3</v>
      </c>
      <c r="K25" s="806">
        <v>6</v>
      </c>
      <c r="L25" s="806">
        <v>17</v>
      </c>
      <c r="M25" s="806">
        <v>43</v>
      </c>
      <c r="N25" s="806">
        <v>85</v>
      </c>
      <c r="O25" s="806">
        <v>81</v>
      </c>
      <c r="P25" s="807">
        <v>478</v>
      </c>
      <c r="Q25" s="807" t="str">
        <f>R7</f>
        <v>Zone 2 - Temperate Interior</v>
      </c>
    </row>
    <row r="26" spans="1:31" ht="15.75" thickBot="1">
      <c r="B26" s="804" t="s">
        <v>660</v>
      </c>
      <c r="C26" s="805" t="s">
        <v>629</v>
      </c>
      <c r="D26" s="806">
        <v>36</v>
      </c>
      <c r="E26" s="806">
        <v>40</v>
      </c>
      <c r="F26" s="806">
        <v>54</v>
      </c>
      <c r="G26" s="806">
        <v>58</v>
      </c>
      <c r="H26" s="806">
        <v>59</v>
      </c>
      <c r="I26" s="806">
        <v>62</v>
      </c>
      <c r="J26" s="806">
        <v>47</v>
      </c>
      <c r="K26" s="806">
        <v>64</v>
      </c>
      <c r="L26" s="806">
        <v>62</v>
      </c>
      <c r="M26" s="806">
        <v>59</v>
      </c>
      <c r="N26" s="806">
        <v>49</v>
      </c>
      <c r="O26" s="806">
        <v>34</v>
      </c>
      <c r="P26" s="807">
        <v>624</v>
      </c>
      <c r="Q26" s="807" t="str">
        <f>R9</f>
        <v>Zone 4 - Temperate Coastal</v>
      </c>
    </row>
    <row r="27" spans="1:31" ht="15.75" thickBot="1">
      <c r="A27" s="798">
        <v>31</v>
      </c>
      <c r="B27" s="804" t="s">
        <v>661</v>
      </c>
      <c r="C27" s="805" t="s">
        <v>629</v>
      </c>
      <c r="D27" s="806">
        <v>136</v>
      </c>
      <c r="E27" s="806">
        <v>75</v>
      </c>
      <c r="F27" s="806">
        <v>82</v>
      </c>
      <c r="G27" s="806">
        <v>51</v>
      </c>
      <c r="H27" s="806">
        <v>13</v>
      </c>
      <c r="I27" s="806">
        <v>7</v>
      </c>
      <c r="J27" s="806">
        <v>3</v>
      </c>
      <c r="K27" s="806">
        <v>6</v>
      </c>
      <c r="L27" s="806">
        <v>22</v>
      </c>
      <c r="M27" s="806">
        <v>71</v>
      </c>
      <c r="N27" s="806">
        <v>98</v>
      </c>
      <c r="O27" s="806">
        <v>110</v>
      </c>
      <c r="P27" s="807">
        <v>674</v>
      </c>
      <c r="Q27" s="807" t="str">
        <f>R7</f>
        <v>Zone 2 - Temperate Interior</v>
      </c>
    </row>
    <row r="28" spans="1:31" ht="15.75" thickBot="1">
      <c r="B28" s="804" t="s">
        <v>662</v>
      </c>
      <c r="C28" s="805" t="s">
        <v>629</v>
      </c>
      <c r="D28" s="806">
        <v>172</v>
      </c>
      <c r="E28" s="806">
        <v>167</v>
      </c>
      <c r="F28" s="806">
        <v>107</v>
      </c>
      <c r="G28" s="806">
        <v>109</v>
      </c>
      <c r="H28" s="806">
        <v>109</v>
      </c>
      <c r="I28" s="806">
        <v>57</v>
      </c>
      <c r="J28" s="806">
        <v>60</v>
      </c>
      <c r="K28" s="806">
        <v>65</v>
      </c>
      <c r="L28" s="806">
        <v>77</v>
      </c>
      <c r="M28" s="806">
        <v>105</v>
      </c>
      <c r="N28" s="806">
        <v>114</v>
      </c>
      <c r="O28" s="806">
        <v>86</v>
      </c>
      <c r="P28" s="807">
        <v>1228</v>
      </c>
      <c r="Q28" s="807" t="str">
        <f>R10</f>
        <v>Zone 5 - Sub-tropical Coastal</v>
      </c>
    </row>
    <row r="29" spans="1:31" ht="15.75" thickBot="1">
      <c r="A29" s="798">
        <v>33</v>
      </c>
      <c r="B29" s="804" t="s">
        <v>663</v>
      </c>
      <c r="C29" s="805" t="s">
        <v>629</v>
      </c>
      <c r="D29" s="806">
        <v>94</v>
      </c>
      <c r="E29" s="806">
        <v>96</v>
      </c>
      <c r="F29" s="806">
        <v>66</v>
      </c>
      <c r="G29" s="806">
        <v>38</v>
      </c>
      <c r="H29" s="806">
        <v>14</v>
      </c>
      <c r="I29" s="806">
        <v>11</v>
      </c>
      <c r="J29" s="806">
        <v>11</v>
      </c>
      <c r="K29" s="806">
        <v>8</v>
      </c>
      <c r="L29" s="806">
        <v>28</v>
      </c>
      <c r="M29" s="806">
        <v>40</v>
      </c>
      <c r="N29" s="806">
        <v>63</v>
      </c>
      <c r="O29" s="806">
        <v>92</v>
      </c>
      <c r="P29" s="807">
        <v>561</v>
      </c>
      <c r="Q29" s="807" t="str">
        <f>R8</f>
        <v>Zone 3 - Hot Interior</v>
      </c>
    </row>
    <row r="30" spans="1:31" ht="15.75" thickBot="1">
      <c r="B30" s="804" t="s">
        <v>664</v>
      </c>
      <c r="C30" s="805" t="s">
        <v>629</v>
      </c>
      <c r="D30" s="806">
        <v>74</v>
      </c>
      <c r="E30" s="806">
        <v>108</v>
      </c>
      <c r="F30" s="806">
        <v>75</v>
      </c>
      <c r="G30" s="806">
        <v>47</v>
      </c>
      <c r="H30" s="806">
        <v>15</v>
      </c>
      <c r="I30" s="806">
        <v>17</v>
      </c>
      <c r="J30" s="806">
        <v>14</v>
      </c>
      <c r="K30" s="806">
        <v>11</v>
      </c>
      <c r="L30" s="806">
        <v>39</v>
      </c>
      <c r="M30" s="806">
        <v>93</v>
      </c>
      <c r="N30" s="806">
        <v>76</v>
      </c>
      <c r="O30" s="806">
        <v>128</v>
      </c>
      <c r="P30" s="807">
        <v>697</v>
      </c>
      <c r="Q30" s="807" t="str">
        <f>R8</f>
        <v>Zone 3 - Hot Interior</v>
      </c>
    </row>
    <row r="31" spans="1:31" ht="15.75" thickBot="1">
      <c r="A31" s="798">
        <v>35</v>
      </c>
      <c r="B31" s="804" t="s">
        <v>665</v>
      </c>
      <c r="C31" s="805" t="s">
        <v>629</v>
      </c>
      <c r="D31" s="806">
        <v>77</v>
      </c>
      <c r="E31" s="806">
        <v>70</v>
      </c>
      <c r="F31" s="806">
        <v>81</v>
      </c>
      <c r="G31" s="806">
        <v>80</v>
      </c>
      <c r="H31" s="806">
        <v>86</v>
      </c>
      <c r="I31" s="806">
        <v>75</v>
      </c>
      <c r="J31" s="806">
        <v>78</v>
      </c>
      <c r="K31" s="806">
        <v>111</v>
      </c>
      <c r="L31" s="806">
        <v>66</v>
      </c>
      <c r="M31" s="806">
        <v>83</v>
      </c>
      <c r="N31" s="806">
        <v>78</v>
      </c>
      <c r="O31" s="806">
        <v>60</v>
      </c>
      <c r="P31" s="807">
        <v>945</v>
      </c>
      <c r="Q31" s="807" t="str">
        <f>R9</f>
        <v>Zone 4 - Temperate Coastal</v>
      </c>
    </row>
    <row r="32" spans="1:31" ht="15.75" thickBot="1">
      <c r="B32" s="804" t="s">
        <v>666</v>
      </c>
      <c r="C32" s="805" t="s">
        <v>629</v>
      </c>
      <c r="D32" s="806">
        <v>87</v>
      </c>
      <c r="E32" s="806">
        <v>89</v>
      </c>
      <c r="F32" s="806">
        <v>83</v>
      </c>
      <c r="G32" s="806">
        <v>58</v>
      </c>
      <c r="H32" s="806">
        <v>18</v>
      </c>
      <c r="I32" s="806">
        <v>11</v>
      </c>
      <c r="J32" s="806">
        <v>18</v>
      </c>
      <c r="K32" s="806">
        <v>15</v>
      </c>
      <c r="L32" s="806">
        <v>35</v>
      </c>
      <c r="M32" s="806">
        <v>73</v>
      </c>
      <c r="N32" s="806">
        <v>75</v>
      </c>
      <c r="O32" s="806">
        <v>88</v>
      </c>
      <c r="P32" s="807">
        <v>650</v>
      </c>
      <c r="Q32" s="807" t="str">
        <f>R10</f>
        <v>Zone 5 - Sub-tropical Coastal</v>
      </c>
    </row>
    <row r="33" spans="1:32">
      <c r="A33" s="798">
        <v>37</v>
      </c>
      <c r="B33" s="804" t="s">
        <v>667</v>
      </c>
      <c r="C33" s="805" t="s">
        <v>629</v>
      </c>
      <c r="D33" s="806">
        <v>24</v>
      </c>
      <c r="E33" s="806">
        <v>35</v>
      </c>
      <c r="F33" s="806">
        <v>37</v>
      </c>
      <c r="G33" s="806">
        <v>26</v>
      </c>
      <c r="H33" s="806">
        <v>10</v>
      </c>
      <c r="I33" s="806">
        <v>4</v>
      </c>
      <c r="J33" s="806">
        <v>2</v>
      </c>
      <c r="K33" s="806">
        <v>4</v>
      </c>
      <c r="L33" s="806">
        <v>4</v>
      </c>
      <c r="M33" s="806">
        <v>9</v>
      </c>
      <c r="N33" s="806">
        <v>17</v>
      </c>
      <c r="O33" s="806">
        <v>17</v>
      </c>
      <c r="P33" s="807">
        <v>189</v>
      </c>
      <c r="Q33" s="807" t="str">
        <f>R11</f>
        <v>Zone 6 - Arid Interior</v>
      </c>
    </row>
    <row r="35" spans="1:32">
      <c r="B35" s="798" t="s">
        <v>668</v>
      </c>
      <c r="D35" s="798">
        <v>2</v>
      </c>
      <c r="E35" s="798">
        <v>3</v>
      </c>
      <c r="F35" s="798">
        <v>4</v>
      </c>
      <c r="G35" s="798">
        <v>5</v>
      </c>
      <c r="H35" s="798">
        <v>6</v>
      </c>
      <c r="I35" s="798">
        <v>7</v>
      </c>
      <c r="J35" s="798">
        <v>8</v>
      </c>
      <c r="K35" s="798">
        <v>9</v>
      </c>
      <c r="L35" s="798">
        <v>10</v>
      </c>
      <c r="M35" s="798">
        <v>11</v>
      </c>
      <c r="N35" s="798">
        <v>12</v>
      </c>
      <c r="O35" s="798">
        <v>13</v>
      </c>
      <c r="P35" s="798">
        <v>14</v>
      </c>
    </row>
    <row r="36" spans="1:32">
      <c r="B36" s="798" t="s">
        <v>669</v>
      </c>
      <c r="D36" s="798" t="s">
        <v>628</v>
      </c>
      <c r="F36" s="798" t="s">
        <v>670</v>
      </c>
      <c r="I36" s="812" t="s">
        <v>639</v>
      </c>
      <c r="J36" s="812"/>
      <c r="K36" s="812"/>
      <c r="L36" s="812"/>
      <c r="M36" s="812"/>
    </row>
    <row r="37" spans="1:32">
      <c r="B37" s="798" t="s">
        <v>336</v>
      </c>
      <c r="D37" s="798" t="str">
        <f t="shared" ref="D37:O37" si="1">VLOOKUP($D$36,$B$4:$P$6,D35,FALSE)</f>
        <v>Precip (mm)</v>
      </c>
      <c r="E37" s="798">
        <f t="shared" si="1"/>
        <v>35</v>
      </c>
      <c r="F37" s="798">
        <f t="shared" si="1"/>
        <v>30</v>
      </c>
      <c r="G37" s="798">
        <f t="shared" si="1"/>
        <v>30</v>
      </c>
      <c r="H37" s="798">
        <f t="shared" si="1"/>
        <v>20</v>
      </c>
      <c r="I37" s="798">
        <f t="shared" si="1"/>
        <v>11</v>
      </c>
      <c r="J37" s="798">
        <f t="shared" si="1"/>
        <v>8</v>
      </c>
      <c r="K37" s="798">
        <f t="shared" si="1"/>
        <v>9</v>
      </c>
      <c r="L37" s="798">
        <f t="shared" si="1"/>
        <v>14</v>
      </c>
      <c r="M37" s="798">
        <f t="shared" si="1"/>
        <v>12</v>
      </c>
      <c r="N37" s="798">
        <f t="shared" si="1"/>
        <v>21</v>
      </c>
      <c r="O37" s="798">
        <f t="shared" si="1"/>
        <v>27</v>
      </c>
      <c r="P37" s="798">
        <f>SUM(D37:O37)</f>
        <v>217</v>
      </c>
    </row>
    <row r="38" spans="1:32">
      <c r="B38" s="798" t="s">
        <v>368</v>
      </c>
      <c r="D38" s="798">
        <v>1</v>
      </c>
      <c r="E38" s="798">
        <v>0.3</v>
      </c>
      <c r="F38" s="798">
        <v>1</v>
      </c>
      <c r="G38" s="798">
        <v>1</v>
      </c>
      <c r="H38" s="798">
        <v>1</v>
      </c>
      <c r="I38" s="798">
        <v>1</v>
      </c>
      <c r="J38" s="798">
        <v>1</v>
      </c>
      <c r="K38" s="798">
        <v>1</v>
      </c>
      <c r="L38" s="798">
        <v>1</v>
      </c>
      <c r="M38" s="798">
        <v>1</v>
      </c>
      <c r="N38" s="798">
        <v>1</v>
      </c>
      <c r="O38" s="798">
        <v>1</v>
      </c>
      <c r="P38" s="798">
        <f>SUM(D38:O38)</f>
        <v>11.3</v>
      </c>
    </row>
    <row r="40" spans="1:32">
      <c r="D40" s="798">
        <v>125</v>
      </c>
      <c r="E40" s="798">
        <v>90</v>
      </c>
      <c r="F40" s="798">
        <v>91</v>
      </c>
      <c r="G40" s="798">
        <v>54</v>
      </c>
      <c r="H40" s="798">
        <v>13</v>
      </c>
      <c r="I40" s="798">
        <v>9</v>
      </c>
      <c r="J40" s="798">
        <v>4</v>
      </c>
      <c r="K40" s="798">
        <v>6</v>
      </c>
      <c r="L40" s="798">
        <v>27</v>
      </c>
      <c r="M40" s="798">
        <v>72</v>
      </c>
      <c r="N40" s="798">
        <v>117</v>
      </c>
      <c r="O40" s="798">
        <v>105</v>
      </c>
      <c r="P40" s="798">
        <v>713</v>
      </c>
    </row>
    <row r="41" spans="1:32">
      <c r="D41" s="798">
        <v>0.3</v>
      </c>
      <c r="E41" s="798">
        <v>0.3</v>
      </c>
      <c r="F41" s="798">
        <v>0.3</v>
      </c>
      <c r="G41" s="798">
        <v>1</v>
      </c>
      <c r="H41" s="798">
        <v>1</v>
      </c>
      <c r="I41" s="798">
        <v>1</v>
      </c>
      <c r="J41" s="798">
        <v>1</v>
      </c>
      <c r="K41" s="798">
        <v>1</v>
      </c>
      <c r="L41" s="798">
        <v>1</v>
      </c>
      <c r="M41" s="798">
        <v>0.3</v>
      </c>
      <c r="N41" s="798">
        <v>0.3</v>
      </c>
      <c r="O41" s="798">
        <v>0.3</v>
      </c>
      <c r="P41" s="798">
        <v>7.8</v>
      </c>
    </row>
    <row r="43" spans="1:32">
      <c r="B43" s="799" t="s">
        <v>671</v>
      </c>
    </row>
    <row r="44" spans="1:32">
      <c r="D44" s="800" t="s">
        <v>11</v>
      </c>
      <c r="E44" s="800" t="s">
        <v>12</v>
      </c>
      <c r="F44" s="800" t="s">
        <v>13</v>
      </c>
      <c r="G44" s="800" t="s">
        <v>14</v>
      </c>
      <c r="H44" s="800" t="s">
        <v>15</v>
      </c>
      <c r="I44" s="800" t="s">
        <v>16</v>
      </c>
      <c r="J44" s="800" t="s">
        <v>17</v>
      </c>
      <c r="K44" s="800" t="s">
        <v>18</v>
      </c>
      <c r="L44" s="800" t="s">
        <v>19</v>
      </c>
      <c r="M44" s="800" t="s">
        <v>20</v>
      </c>
      <c r="N44" s="800" t="s">
        <v>21</v>
      </c>
      <c r="O44" s="800" t="s">
        <v>22</v>
      </c>
      <c r="P44" s="800" t="s">
        <v>439</v>
      </c>
      <c r="AE44" s="802"/>
      <c r="AF44" s="802"/>
    </row>
    <row r="45" spans="1:32" ht="15.75" thickBot="1">
      <c r="B45" s="813" t="str">
        <f>B4</f>
        <v>Beaufort West</v>
      </c>
      <c r="C45" s="814" t="s">
        <v>38</v>
      </c>
      <c r="D45" s="815">
        <v>6</v>
      </c>
      <c r="E45" s="815">
        <v>6</v>
      </c>
      <c r="F45" s="815">
        <v>5</v>
      </c>
      <c r="G45" s="815">
        <v>3</v>
      </c>
      <c r="H45" s="815">
        <v>2</v>
      </c>
      <c r="I45" s="815">
        <v>2</v>
      </c>
      <c r="J45" s="815">
        <v>2</v>
      </c>
      <c r="K45" s="815">
        <v>2</v>
      </c>
      <c r="L45" s="815">
        <v>2</v>
      </c>
      <c r="M45" s="815">
        <v>4</v>
      </c>
      <c r="N45" s="815">
        <v>5</v>
      </c>
      <c r="O45" s="815">
        <v>4</v>
      </c>
      <c r="P45" s="816">
        <v>43</v>
      </c>
      <c r="AE45" s="802"/>
      <c r="AF45" s="802"/>
    </row>
    <row r="46" spans="1:32" ht="15.75" thickBot="1">
      <c r="B46" s="813" t="str">
        <f t="shared" ref="B46:B74" si="2">B5</f>
        <v>Bela-Bela</v>
      </c>
      <c r="C46" s="814" t="s">
        <v>38</v>
      </c>
      <c r="D46" s="815">
        <v>14</v>
      </c>
      <c r="E46" s="815">
        <v>10</v>
      </c>
      <c r="F46" s="815">
        <v>8</v>
      </c>
      <c r="G46" s="815">
        <v>4</v>
      </c>
      <c r="H46" s="815">
        <v>1</v>
      </c>
      <c r="I46" s="815">
        <v>1</v>
      </c>
      <c r="J46" s="815">
        <v>0</v>
      </c>
      <c r="K46" s="815">
        <v>1</v>
      </c>
      <c r="L46" s="815">
        <v>2</v>
      </c>
      <c r="M46" s="815">
        <v>7</v>
      </c>
      <c r="N46" s="815">
        <v>12</v>
      </c>
      <c r="O46" s="815">
        <v>14</v>
      </c>
      <c r="P46" s="816">
        <v>74</v>
      </c>
      <c r="AE46" s="802"/>
      <c r="AF46" s="802"/>
    </row>
    <row r="47" spans="1:32" ht="15.75" thickBot="1">
      <c r="B47" s="813" t="str">
        <f t="shared" si="2"/>
        <v>Belfast</v>
      </c>
      <c r="C47" s="814" t="s">
        <v>38</v>
      </c>
      <c r="D47" s="815">
        <v>16</v>
      </c>
      <c r="E47" s="815">
        <v>10</v>
      </c>
      <c r="F47" s="815">
        <v>8</v>
      </c>
      <c r="G47" s="815">
        <v>5</v>
      </c>
      <c r="H47" s="815">
        <v>2</v>
      </c>
      <c r="I47" s="815">
        <v>1</v>
      </c>
      <c r="J47" s="815">
        <v>0</v>
      </c>
      <c r="K47" s="815">
        <v>1</v>
      </c>
      <c r="L47" s="815">
        <v>3</v>
      </c>
      <c r="M47" s="815">
        <v>8</v>
      </c>
      <c r="N47" s="815">
        <v>15</v>
      </c>
      <c r="O47" s="815">
        <v>14</v>
      </c>
      <c r="P47" s="816">
        <v>83</v>
      </c>
      <c r="AE47" s="802"/>
      <c r="AF47" s="802"/>
    </row>
    <row r="48" spans="1:32" ht="15.75" thickBot="1">
      <c r="B48" s="813" t="str">
        <f t="shared" si="2"/>
        <v>Bethal</v>
      </c>
      <c r="C48" s="814" t="s">
        <v>38</v>
      </c>
      <c r="D48" s="815">
        <v>19</v>
      </c>
      <c r="E48" s="815">
        <v>9</v>
      </c>
      <c r="F48" s="815">
        <v>8</v>
      </c>
      <c r="G48" s="815">
        <v>6</v>
      </c>
      <c r="H48" s="815">
        <v>2</v>
      </c>
      <c r="I48" s="815">
        <v>1</v>
      </c>
      <c r="J48" s="815">
        <v>1</v>
      </c>
      <c r="K48" s="815">
        <v>2</v>
      </c>
      <c r="L48" s="815">
        <v>3</v>
      </c>
      <c r="M48" s="815">
        <v>10</v>
      </c>
      <c r="N48" s="815">
        <v>16</v>
      </c>
      <c r="O48" s="815">
        <v>13</v>
      </c>
      <c r="P48" s="816">
        <v>90</v>
      </c>
      <c r="AE48" s="802"/>
      <c r="AF48" s="802"/>
    </row>
    <row r="49" spans="2:32" ht="15.75" thickBot="1">
      <c r="B49" s="813" t="str">
        <f t="shared" si="2"/>
        <v>Bethlehem</v>
      </c>
      <c r="C49" s="814" t="s">
        <v>38</v>
      </c>
      <c r="D49" s="815">
        <v>14</v>
      </c>
      <c r="E49" s="815">
        <v>11</v>
      </c>
      <c r="F49" s="815">
        <v>14</v>
      </c>
      <c r="G49" s="815">
        <v>8</v>
      </c>
      <c r="H49" s="815">
        <v>1</v>
      </c>
      <c r="I49" s="815">
        <v>2</v>
      </c>
      <c r="J49" s="815">
        <v>1</v>
      </c>
      <c r="K49" s="815">
        <v>4</v>
      </c>
      <c r="L49" s="815">
        <v>5</v>
      </c>
      <c r="M49" s="815">
        <v>12</v>
      </c>
      <c r="N49" s="815">
        <v>14</v>
      </c>
      <c r="O49" s="815">
        <v>12</v>
      </c>
      <c r="P49" s="816">
        <v>98</v>
      </c>
      <c r="AE49" s="802"/>
      <c r="AF49" s="802"/>
    </row>
    <row r="50" spans="2:32" ht="15.75" thickBot="1">
      <c r="B50" s="813" t="str">
        <f t="shared" si="2"/>
        <v>Bloemfontein</v>
      </c>
      <c r="C50" s="814" t="s">
        <v>38</v>
      </c>
      <c r="D50" s="815">
        <v>13</v>
      </c>
      <c r="E50" s="815">
        <v>16</v>
      </c>
      <c r="F50" s="815">
        <v>11</v>
      </c>
      <c r="G50" s="815">
        <v>8</v>
      </c>
      <c r="H50" s="815">
        <v>3</v>
      </c>
      <c r="I50" s="815">
        <v>2</v>
      </c>
      <c r="J50" s="815">
        <v>1</v>
      </c>
      <c r="K50" s="815">
        <v>2</v>
      </c>
      <c r="L50" s="815">
        <v>4</v>
      </c>
      <c r="M50" s="815">
        <v>6</v>
      </c>
      <c r="N50" s="815">
        <v>9</v>
      </c>
      <c r="O50" s="815">
        <v>9</v>
      </c>
      <c r="P50" s="816">
        <v>84</v>
      </c>
      <c r="AE50" s="802"/>
      <c r="AF50" s="802"/>
    </row>
    <row r="51" spans="2:32" ht="15.75" thickBot="1">
      <c r="B51" s="813" t="str">
        <f t="shared" si="2"/>
        <v>Calvinia</v>
      </c>
      <c r="C51" s="814" t="s">
        <v>38</v>
      </c>
      <c r="D51" s="815">
        <v>3</v>
      </c>
      <c r="E51" s="815">
        <v>3</v>
      </c>
      <c r="F51" s="815">
        <v>6</v>
      </c>
      <c r="G51" s="815">
        <v>5</v>
      </c>
      <c r="H51" s="815">
        <v>5</v>
      </c>
      <c r="I51" s="815">
        <v>8</v>
      </c>
      <c r="J51" s="815">
        <v>5</v>
      </c>
      <c r="K51" s="815">
        <v>5</v>
      </c>
      <c r="L51" s="815">
        <v>3</v>
      </c>
      <c r="M51" s="815">
        <v>2</v>
      </c>
      <c r="N51" s="815">
        <v>3</v>
      </c>
      <c r="O51" s="815">
        <v>2</v>
      </c>
      <c r="P51" s="816">
        <v>50</v>
      </c>
      <c r="AE51" s="802"/>
      <c r="AF51" s="802"/>
    </row>
    <row r="52" spans="2:32" ht="15.75" thickBot="1">
      <c r="B52" s="813" t="str">
        <f t="shared" si="2"/>
        <v>Cape Town</v>
      </c>
      <c r="C52" s="814" t="s">
        <v>38</v>
      </c>
      <c r="D52" s="815">
        <v>3</v>
      </c>
      <c r="E52" s="815">
        <v>4</v>
      </c>
      <c r="F52" s="815">
        <v>4</v>
      </c>
      <c r="G52" s="815">
        <v>8</v>
      </c>
      <c r="H52" s="815">
        <v>14</v>
      </c>
      <c r="I52" s="815">
        <v>19</v>
      </c>
      <c r="J52" s="815">
        <v>16</v>
      </c>
      <c r="K52" s="815">
        <v>15</v>
      </c>
      <c r="L52" s="815">
        <v>8</v>
      </c>
      <c r="M52" s="815">
        <v>6</v>
      </c>
      <c r="N52" s="815">
        <v>3</v>
      </c>
      <c r="O52" s="815">
        <v>3</v>
      </c>
      <c r="P52" s="816">
        <v>103</v>
      </c>
      <c r="AE52" s="802"/>
      <c r="AF52" s="802"/>
    </row>
    <row r="53" spans="2:32" ht="15.75" thickBot="1">
      <c r="B53" s="813" t="str">
        <f t="shared" si="2"/>
        <v>De Aar</v>
      </c>
      <c r="C53" s="814" t="s">
        <v>38</v>
      </c>
      <c r="D53" s="815">
        <v>6</v>
      </c>
      <c r="E53" s="815">
        <v>10</v>
      </c>
      <c r="F53" s="815">
        <v>8</v>
      </c>
      <c r="G53" s="815">
        <v>6</v>
      </c>
      <c r="H53" s="815">
        <v>3</v>
      </c>
      <c r="I53" s="815">
        <v>2</v>
      </c>
      <c r="J53" s="815">
        <v>2</v>
      </c>
      <c r="K53" s="815">
        <v>3</v>
      </c>
      <c r="L53" s="815">
        <v>2</v>
      </c>
      <c r="M53" s="815">
        <v>4</v>
      </c>
      <c r="N53" s="815">
        <v>5</v>
      </c>
      <c r="O53" s="815">
        <v>4</v>
      </c>
      <c r="P53" s="816">
        <v>55</v>
      </c>
      <c r="AE53" s="802"/>
      <c r="AF53" s="802"/>
    </row>
    <row r="54" spans="2:32" ht="15.75" thickBot="1">
      <c r="B54" s="813" t="str">
        <f t="shared" si="2"/>
        <v>Durban</v>
      </c>
      <c r="C54" s="814" t="s">
        <v>38</v>
      </c>
      <c r="D54" s="815">
        <v>17</v>
      </c>
      <c r="E54" s="815">
        <v>15</v>
      </c>
      <c r="F54" s="815">
        <v>15</v>
      </c>
      <c r="G54" s="815">
        <v>9</v>
      </c>
      <c r="H54" s="815">
        <v>8</v>
      </c>
      <c r="I54" s="815">
        <v>4</v>
      </c>
      <c r="J54" s="815">
        <v>5</v>
      </c>
      <c r="K54" s="815">
        <v>8</v>
      </c>
      <c r="L54" s="815">
        <v>9</v>
      </c>
      <c r="M54" s="815">
        <v>13</v>
      </c>
      <c r="N54" s="815">
        <v>14</v>
      </c>
      <c r="O54" s="815">
        <v>13</v>
      </c>
      <c r="P54" s="816">
        <v>130</v>
      </c>
      <c r="AE54" s="802"/>
      <c r="AF54" s="802"/>
    </row>
    <row r="55" spans="2:32" ht="15.75" thickBot="1">
      <c r="B55" s="813" t="str">
        <f t="shared" si="2"/>
        <v>East London</v>
      </c>
      <c r="C55" s="814" t="s">
        <v>38</v>
      </c>
      <c r="D55" s="815">
        <v>9</v>
      </c>
      <c r="E55" s="815">
        <v>12</v>
      </c>
      <c r="F55" s="815">
        <v>14</v>
      </c>
      <c r="G55" s="815">
        <v>11</v>
      </c>
      <c r="H55" s="815">
        <v>7</v>
      </c>
      <c r="I55" s="815">
        <v>5</v>
      </c>
      <c r="J55" s="815">
        <v>6</v>
      </c>
      <c r="K55" s="815">
        <v>10</v>
      </c>
      <c r="L55" s="815">
        <v>11</v>
      </c>
      <c r="M55" s="815">
        <v>13</v>
      </c>
      <c r="N55" s="815">
        <v>15</v>
      </c>
      <c r="O55" s="815">
        <v>8</v>
      </c>
      <c r="P55" s="816">
        <v>121</v>
      </c>
      <c r="AE55" s="802"/>
      <c r="AF55" s="802"/>
    </row>
    <row r="56" spans="2:32" ht="15.75" thickBot="1">
      <c r="B56" s="813" t="str">
        <f t="shared" si="2"/>
        <v>George</v>
      </c>
      <c r="C56" s="814" t="s">
        <v>38</v>
      </c>
      <c r="D56" s="815">
        <v>10</v>
      </c>
      <c r="E56" s="815">
        <v>10</v>
      </c>
      <c r="F56" s="815">
        <v>12</v>
      </c>
      <c r="G56" s="815">
        <v>12</v>
      </c>
      <c r="H56" s="815">
        <v>9</v>
      </c>
      <c r="I56" s="815">
        <v>8</v>
      </c>
      <c r="J56" s="815">
        <v>7</v>
      </c>
      <c r="K56" s="815">
        <v>12</v>
      </c>
      <c r="L56" s="815">
        <v>10</v>
      </c>
      <c r="M56" s="815">
        <v>11</v>
      </c>
      <c r="N56" s="815">
        <v>10</v>
      </c>
      <c r="O56" s="815">
        <v>10</v>
      </c>
      <c r="P56" s="816">
        <v>121</v>
      </c>
      <c r="AE56" s="802"/>
      <c r="AF56" s="802"/>
    </row>
    <row r="57" spans="2:32" ht="15.75" thickBot="1">
      <c r="B57" s="813" t="str">
        <f t="shared" si="2"/>
        <v>Johannesburg</v>
      </c>
      <c r="C57" s="814" t="s">
        <v>38</v>
      </c>
      <c r="D57" s="815">
        <v>17</v>
      </c>
      <c r="E57" s="815">
        <v>13</v>
      </c>
      <c r="F57" s="815">
        <v>13</v>
      </c>
      <c r="G57" s="815">
        <v>7</v>
      </c>
      <c r="H57" s="815">
        <v>2</v>
      </c>
      <c r="I57" s="815">
        <v>1</v>
      </c>
      <c r="J57" s="815">
        <v>1</v>
      </c>
      <c r="K57" s="815">
        <v>1</v>
      </c>
      <c r="L57" s="815">
        <v>4</v>
      </c>
      <c r="M57" s="815">
        <v>10</v>
      </c>
      <c r="N57" s="815">
        <v>15</v>
      </c>
      <c r="O57" s="815">
        <v>15</v>
      </c>
      <c r="P57" s="816">
        <v>99</v>
      </c>
      <c r="AE57" s="802"/>
      <c r="AF57" s="802"/>
    </row>
    <row r="58" spans="2:32" ht="15.75" thickBot="1">
      <c r="B58" s="813" t="str">
        <f t="shared" si="2"/>
        <v>Kimberley</v>
      </c>
      <c r="C58" s="814" t="s">
        <v>38</v>
      </c>
      <c r="D58" s="815">
        <v>10</v>
      </c>
      <c r="E58" s="815">
        <v>13</v>
      </c>
      <c r="F58" s="815">
        <v>11</v>
      </c>
      <c r="G58" s="815">
        <v>8</v>
      </c>
      <c r="H58" s="815">
        <v>3</v>
      </c>
      <c r="I58" s="815">
        <v>1</v>
      </c>
      <c r="J58" s="815">
        <v>2</v>
      </c>
      <c r="K58" s="815">
        <v>1</v>
      </c>
      <c r="L58" s="815">
        <v>2</v>
      </c>
      <c r="M58" s="815">
        <v>5</v>
      </c>
      <c r="N58" s="815">
        <v>7</v>
      </c>
      <c r="O58" s="815">
        <v>8</v>
      </c>
      <c r="P58" s="816">
        <v>71</v>
      </c>
      <c r="AE58" s="802"/>
      <c r="AF58" s="802"/>
    </row>
    <row r="59" spans="2:32" ht="15.75" thickBot="1">
      <c r="B59" s="813" t="str">
        <f t="shared" si="2"/>
        <v>Ladysmith</v>
      </c>
      <c r="C59" s="814" t="s">
        <v>38</v>
      </c>
      <c r="D59" s="815">
        <v>18</v>
      </c>
      <c r="E59" s="815">
        <v>13</v>
      </c>
      <c r="F59" s="815">
        <v>11</v>
      </c>
      <c r="G59" s="815">
        <v>5</v>
      </c>
      <c r="H59" s="815">
        <v>2</v>
      </c>
      <c r="I59" s="815">
        <v>1</v>
      </c>
      <c r="J59" s="815">
        <v>0</v>
      </c>
      <c r="K59" s="815">
        <v>3</v>
      </c>
      <c r="L59" s="815">
        <v>5</v>
      </c>
      <c r="M59" s="815">
        <v>10</v>
      </c>
      <c r="N59" s="815">
        <v>11</v>
      </c>
      <c r="O59" s="815">
        <v>14</v>
      </c>
      <c r="P59" s="816">
        <v>93</v>
      </c>
      <c r="AE59" s="802"/>
      <c r="AF59" s="817"/>
    </row>
    <row r="60" spans="2:32" ht="15.75" thickBot="1">
      <c r="B60" s="813" t="str">
        <f t="shared" si="2"/>
        <v>Langebaan</v>
      </c>
      <c r="C60" s="814" t="s">
        <v>38</v>
      </c>
      <c r="D60" s="815">
        <v>2</v>
      </c>
      <c r="E60" s="815">
        <v>1</v>
      </c>
      <c r="F60" s="815">
        <v>3</v>
      </c>
      <c r="G60" s="815">
        <v>7</v>
      </c>
      <c r="H60" s="815">
        <v>11</v>
      </c>
      <c r="I60" s="815">
        <v>11</v>
      </c>
      <c r="J60" s="815">
        <v>13</v>
      </c>
      <c r="K60" s="815">
        <v>12</v>
      </c>
      <c r="L60" s="815">
        <v>7</v>
      </c>
      <c r="M60" s="815">
        <v>3</v>
      </c>
      <c r="N60" s="815">
        <v>3</v>
      </c>
      <c r="O60" s="815">
        <v>3</v>
      </c>
      <c r="P60" s="816">
        <v>76</v>
      </c>
      <c r="AE60" s="802"/>
      <c r="AF60" s="802"/>
    </row>
    <row r="61" spans="2:32" ht="15.75" thickBot="1">
      <c r="B61" s="813" t="str">
        <f t="shared" si="2"/>
        <v>Musina</v>
      </c>
      <c r="C61" s="814" t="s">
        <v>38</v>
      </c>
      <c r="D61" s="815">
        <v>7</v>
      </c>
      <c r="E61" s="815">
        <v>7</v>
      </c>
      <c r="F61" s="815">
        <v>5</v>
      </c>
      <c r="G61" s="815">
        <v>3</v>
      </c>
      <c r="H61" s="815">
        <v>1</v>
      </c>
      <c r="I61" s="815">
        <v>1</v>
      </c>
      <c r="J61" s="815">
        <v>0</v>
      </c>
      <c r="K61" s="815">
        <v>0</v>
      </c>
      <c r="L61" s="815">
        <v>2</v>
      </c>
      <c r="M61" s="815">
        <v>3</v>
      </c>
      <c r="N61" s="815">
        <v>6</v>
      </c>
      <c r="O61" s="815">
        <v>7</v>
      </c>
      <c r="P61" s="816">
        <v>42</v>
      </c>
      <c r="AE61" s="802"/>
    </row>
    <row r="62" spans="2:32" ht="15.75" thickBot="1">
      <c r="B62" s="813" t="str">
        <f t="shared" si="2"/>
        <v>Nelspruit</v>
      </c>
      <c r="C62" s="814" t="s">
        <v>38</v>
      </c>
      <c r="D62" s="815">
        <v>17</v>
      </c>
      <c r="E62" s="815">
        <v>14</v>
      </c>
      <c r="F62" s="815">
        <v>12</v>
      </c>
      <c r="G62" s="815">
        <v>7</v>
      </c>
      <c r="H62" s="815">
        <v>2</v>
      </c>
      <c r="I62" s="815">
        <v>1</v>
      </c>
      <c r="J62" s="815">
        <v>1</v>
      </c>
      <c r="K62" s="815">
        <v>2</v>
      </c>
      <c r="L62" s="815">
        <v>3</v>
      </c>
      <c r="M62" s="815">
        <v>10</v>
      </c>
      <c r="N62" s="815">
        <v>14</v>
      </c>
      <c r="O62" s="815">
        <v>17</v>
      </c>
      <c r="P62" s="816">
        <v>100</v>
      </c>
      <c r="AE62" s="802"/>
    </row>
    <row r="63" spans="2:32" ht="15.75" thickBot="1">
      <c r="B63" s="813" t="str">
        <f t="shared" si="2"/>
        <v>Nmmabatho</v>
      </c>
      <c r="C63" s="814" t="s">
        <v>38</v>
      </c>
      <c r="D63" s="815">
        <v>16</v>
      </c>
      <c r="E63" s="815">
        <v>11</v>
      </c>
      <c r="F63" s="815">
        <v>10</v>
      </c>
      <c r="G63" s="815">
        <v>7</v>
      </c>
      <c r="H63" s="815">
        <v>2</v>
      </c>
      <c r="I63" s="815">
        <v>1</v>
      </c>
      <c r="J63" s="815">
        <v>0</v>
      </c>
      <c r="K63" s="815">
        <v>1</v>
      </c>
      <c r="L63" s="815">
        <v>2</v>
      </c>
      <c r="M63" s="815">
        <v>5</v>
      </c>
      <c r="N63" s="815">
        <v>8</v>
      </c>
      <c r="O63" s="815">
        <v>9</v>
      </c>
      <c r="P63" s="816">
        <v>72</v>
      </c>
      <c r="AE63" s="802"/>
    </row>
    <row r="64" spans="2:32" ht="15.75" thickBot="1">
      <c r="B64" s="813" t="str">
        <f t="shared" si="2"/>
        <v>Pietermaritzburg</v>
      </c>
      <c r="C64" s="814" t="s">
        <v>38</v>
      </c>
      <c r="D64" s="815">
        <v>23</v>
      </c>
      <c r="E64" s="815">
        <v>19</v>
      </c>
      <c r="F64" s="815">
        <v>18</v>
      </c>
      <c r="G64" s="815">
        <v>8</v>
      </c>
      <c r="H64" s="815">
        <v>4</v>
      </c>
      <c r="I64" s="815">
        <v>2</v>
      </c>
      <c r="J64" s="815">
        <v>2</v>
      </c>
      <c r="K64" s="815">
        <v>5</v>
      </c>
      <c r="L64" s="815">
        <v>10</v>
      </c>
      <c r="M64" s="815">
        <v>12</v>
      </c>
      <c r="N64" s="815">
        <v>17</v>
      </c>
      <c r="O64" s="815">
        <v>18</v>
      </c>
      <c r="P64" s="816">
        <v>138</v>
      </c>
    </row>
    <row r="65" spans="2:32" ht="15.75" thickBot="1">
      <c r="B65" s="813" t="str">
        <f t="shared" si="2"/>
        <v>Pilansberg</v>
      </c>
      <c r="C65" s="814" t="s">
        <v>38</v>
      </c>
      <c r="D65" s="815">
        <v>10</v>
      </c>
      <c r="E65" s="815">
        <v>9</v>
      </c>
      <c r="F65" s="815">
        <v>8</v>
      </c>
      <c r="G65" s="815">
        <v>5</v>
      </c>
      <c r="H65" s="815">
        <v>1</v>
      </c>
      <c r="I65" s="815">
        <v>2</v>
      </c>
      <c r="J65" s="815">
        <v>0</v>
      </c>
      <c r="K65" s="815">
        <v>1</v>
      </c>
      <c r="L65" s="815">
        <v>3</v>
      </c>
      <c r="M65" s="815">
        <v>8</v>
      </c>
      <c r="N65" s="815">
        <v>8</v>
      </c>
      <c r="O65" s="815">
        <v>14</v>
      </c>
      <c r="P65" s="816">
        <v>69</v>
      </c>
      <c r="R65" s="818"/>
    </row>
    <row r="66" spans="2:32" ht="15.75" thickBot="1">
      <c r="B66" s="813" t="str">
        <f t="shared" si="2"/>
        <v>Polokwane</v>
      </c>
      <c r="C66" s="814" t="s">
        <v>38</v>
      </c>
      <c r="D66" s="815">
        <v>11</v>
      </c>
      <c r="E66" s="815">
        <v>8</v>
      </c>
      <c r="F66" s="815">
        <v>7</v>
      </c>
      <c r="G66" s="815">
        <v>4</v>
      </c>
      <c r="H66" s="815">
        <v>2</v>
      </c>
      <c r="I66" s="815">
        <v>1</v>
      </c>
      <c r="J66" s="815">
        <v>0</v>
      </c>
      <c r="K66" s="815">
        <v>1</v>
      </c>
      <c r="L66" s="815">
        <v>2</v>
      </c>
      <c r="M66" s="815">
        <v>6</v>
      </c>
      <c r="N66" s="815">
        <v>12</v>
      </c>
      <c r="O66" s="815">
        <v>11</v>
      </c>
      <c r="P66" s="816">
        <v>65</v>
      </c>
    </row>
    <row r="67" spans="2:32" ht="15.75" thickBot="1">
      <c r="B67" s="813" t="str">
        <f t="shared" si="2"/>
        <v>Port Elizabeth</v>
      </c>
      <c r="C67" s="814" t="s">
        <v>38</v>
      </c>
      <c r="D67" s="815">
        <v>7</v>
      </c>
      <c r="E67" s="815">
        <v>7</v>
      </c>
      <c r="F67" s="815">
        <v>10</v>
      </c>
      <c r="G67" s="815">
        <v>10</v>
      </c>
      <c r="H67" s="815">
        <v>11</v>
      </c>
      <c r="I67" s="815">
        <v>11</v>
      </c>
      <c r="J67" s="815">
        <v>8</v>
      </c>
      <c r="K67" s="815">
        <v>12</v>
      </c>
      <c r="L67" s="815">
        <v>11</v>
      </c>
      <c r="M67" s="815">
        <v>10</v>
      </c>
      <c r="N67" s="815">
        <v>9</v>
      </c>
      <c r="O67" s="815">
        <v>6</v>
      </c>
      <c r="P67" s="816">
        <v>112</v>
      </c>
    </row>
    <row r="68" spans="2:32" ht="15.75" thickBot="1">
      <c r="B68" s="813" t="str">
        <f t="shared" si="2"/>
        <v>Pretoria</v>
      </c>
      <c r="C68" s="814" t="s">
        <v>38</v>
      </c>
      <c r="D68" s="815">
        <v>18</v>
      </c>
      <c r="E68" s="815">
        <v>10</v>
      </c>
      <c r="F68" s="815">
        <v>10</v>
      </c>
      <c r="G68" s="815">
        <v>6</v>
      </c>
      <c r="H68" s="815">
        <v>2</v>
      </c>
      <c r="I68" s="815">
        <v>1</v>
      </c>
      <c r="J68" s="815">
        <v>1</v>
      </c>
      <c r="K68" s="815">
        <v>1</v>
      </c>
      <c r="L68" s="815">
        <v>3</v>
      </c>
      <c r="M68" s="815">
        <v>9</v>
      </c>
      <c r="N68" s="815">
        <v>12</v>
      </c>
      <c r="O68" s="815">
        <v>14</v>
      </c>
      <c r="P68" s="816">
        <v>87</v>
      </c>
    </row>
    <row r="69" spans="2:32" ht="15.75" thickBot="1">
      <c r="B69" s="813" t="str">
        <f t="shared" si="2"/>
        <v>Richards Bay</v>
      </c>
      <c r="C69" s="814" t="s">
        <v>38</v>
      </c>
      <c r="D69" s="815">
        <v>16</v>
      </c>
      <c r="E69" s="815">
        <v>15</v>
      </c>
      <c r="F69" s="815">
        <v>10</v>
      </c>
      <c r="G69" s="815">
        <v>10</v>
      </c>
      <c r="H69" s="815">
        <v>10</v>
      </c>
      <c r="I69" s="815">
        <v>5</v>
      </c>
      <c r="J69" s="815">
        <v>6</v>
      </c>
      <c r="K69" s="815">
        <v>6</v>
      </c>
      <c r="L69" s="815">
        <v>7</v>
      </c>
      <c r="M69" s="815">
        <v>10</v>
      </c>
      <c r="N69" s="815">
        <v>10</v>
      </c>
      <c r="O69" s="815">
        <v>8</v>
      </c>
      <c r="P69" s="816">
        <v>113</v>
      </c>
    </row>
    <row r="70" spans="2:32" ht="15.75" thickBot="1">
      <c r="B70" s="813" t="str">
        <f t="shared" si="2"/>
        <v>Skukuza</v>
      </c>
      <c r="C70" s="814" t="s">
        <v>38</v>
      </c>
      <c r="D70" s="815">
        <v>12</v>
      </c>
      <c r="E70" s="815">
        <v>12</v>
      </c>
      <c r="F70" s="815">
        <v>8</v>
      </c>
      <c r="G70" s="815">
        <v>5</v>
      </c>
      <c r="H70" s="815">
        <v>2</v>
      </c>
      <c r="I70" s="815">
        <v>1</v>
      </c>
      <c r="J70" s="815">
        <v>1</v>
      </c>
      <c r="K70" s="815">
        <v>1</v>
      </c>
      <c r="L70" s="815">
        <v>4</v>
      </c>
      <c r="M70" s="815">
        <v>5</v>
      </c>
      <c r="N70" s="815">
        <v>8</v>
      </c>
      <c r="O70" s="815">
        <v>12</v>
      </c>
      <c r="P70" s="816">
        <v>71</v>
      </c>
    </row>
    <row r="71" spans="2:32" ht="15.75" thickBot="1">
      <c r="B71" s="813" t="str">
        <f t="shared" si="2"/>
        <v>Thohoyandou</v>
      </c>
      <c r="C71" s="814" t="s">
        <v>38</v>
      </c>
      <c r="D71" s="815">
        <v>10</v>
      </c>
      <c r="E71" s="815">
        <v>15</v>
      </c>
      <c r="F71" s="815">
        <v>10</v>
      </c>
      <c r="G71" s="815">
        <v>6</v>
      </c>
      <c r="H71" s="815">
        <v>2</v>
      </c>
      <c r="I71" s="815">
        <v>2</v>
      </c>
      <c r="J71" s="815">
        <v>2</v>
      </c>
      <c r="K71" s="815">
        <v>2</v>
      </c>
      <c r="L71" s="815">
        <v>5</v>
      </c>
      <c r="M71" s="815">
        <v>13</v>
      </c>
      <c r="N71" s="815">
        <v>10</v>
      </c>
      <c r="O71" s="815">
        <v>17</v>
      </c>
      <c r="P71" s="816">
        <v>94</v>
      </c>
    </row>
    <row r="72" spans="2:32" ht="15.75" thickBot="1">
      <c r="B72" s="813" t="str">
        <f t="shared" si="2"/>
        <v>Tstsikama</v>
      </c>
      <c r="C72" s="814" t="s">
        <v>38</v>
      </c>
      <c r="D72" s="815">
        <v>7</v>
      </c>
      <c r="E72" s="815">
        <v>7</v>
      </c>
      <c r="F72" s="815">
        <v>8</v>
      </c>
      <c r="G72" s="815">
        <v>8</v>
      </c>
      <c r="H72" s="815">
        <v>8</v>
      </c>
      <c r="I72" s="815">
        <v>7</v>
      </c>
      <c r="J72" s="815">
        <v>8</v>
      </c>
      <c r="K72" s="815">
        <v>10</v>
      </c>
      <c r="L72" s="815">
        <v>6</v>
      </c>
      <c r="M72" s="815">
        <v>8</v>
      </c>
      <c r="N72" s="815">
        <v>8</v>
      </c>
      <c r="O72" s="815">
        <v>6</v>
      </c>
      <c r="P72" s="816">
        <v>91</v>
      </c>
    </row>
    <row r="73" spans="2:32" ht="15.75" thickBot="1">
      <c r="B73" s="813" t="str">
        <f t="shared" si="2"/>
        <v>Umtata</v>
      </c>
      <c r="C73" s="814" t="s">
        <v>38</v>
      </c>
      <c r="D73" s="815">
        <v>15</v>
      </c>
      <c r="E73" s="815">
        <v>16</v>
      </c>
      <c r="F73" s="815">
        <v>14</v>
      </c>
      <c r="G73" s="815">
        <v>10</v>
      </c>
      <c r="H73" s="815">
        <v>3</v>
      </c>
      <c r="I73" s="815">
        <v>2</v>
      </c>
      <c r="J73" s="815">
        <v>3</v>
      </c>
      <c r="K73" s="815">
        <v>3</v>
      </c>
      <c r="L73" s="815">
        <v>6</v>
      </c>
      <c r="M73" s="815">
        <v>13</v>
      </c>
      <c r="N73" s="815">
        <v>13</v>
      </c>
      <c r="O73" s="815">
        <v>15</v>
      </c>
      <c r="P73" s="816">
        <v>113</v>
      </c>
    </row>
    <row r="74" spans="2:32" ht="15.75" thickBot="1">
      <c r="B74" s="813" t="str">
        <f t="shared" si="2"/>
        <v>Upington</v>
      </c>
      <c r="C74" s="814" t="s">
        <v>38</v>
      </c>
      <c r="D74" s="815">
        <v>5</v>
      </c>
      <c r="E74" s="815">
        <v>7</v>
      </c>
      <c r="F74" s="815">
        <v>7</v>
      </c>
      <c r="G74" s="815">
        <v>5</v>
      </c>
      <c r="H74" s="815">
        <v>2</v>
      </c>
      <c r="I74" s="815">
        <v>1</v>
      </c>
      <c r="J74" s="815">
        <v>0</v>
      </c>
      <c r="K74" s="815">
        <v>1</v>
      </c>
      <c r="L74" s="815">
        <v>1</v>
      </c>
      <c r="M74" s="815">
        <v>2</v>
      </c>
      <c r="N74" s="815">
        <v>3</v>
      </c>
      <c r="O74" s="815">
        <v>3</v>
      </c>
      <c r="P74" s="816">
        <v>37</v>
      </c>
    </row>
    <row r="76" spans="2:32">
      <c r="AF76" s="810"/>
    </row>
    <row r="77" spans="2:32">
      <c r="AF77" s="810"/>
    </row>
    <row r="78" spans="2:32">
      <c r="AF78" s="810"/>
    </row>
    <row r="95" spans="31:32">
      <c r="AE95" s="802"/>
      <c r="AF95" s="802"/>
    </row>
    <row r="96" spans="31:32">
      <c r="AE96" s="802"/>
      <c r="AF96" s="802"/>
    </row>
    <row r="97" spans="31:32">
      <c r="AE97" s="802"/>
      <c r="AF97" s="802"/>
    </row>
    <row r="98" spans="31:32">
      <c r="AE98" s="802"/>
      <c r="AF98" s="802"/>
    </row>
    <row r="99" spans="31:32">
      <c r="AE99" s="802"/>
      <c r="AF99" s="802"/>
    </row>
    <row r="100" spans="31:32">
      <c r="AE100" s="802"/>
      <c r="AF100" s="802"/>
    </row>
    <row r="101" spans="31:32">
      <c r="AE101" s="802"/>
      <c r="AF101" s="802"/>
    </row>
    <row r="102" spans="31:32">
      <c r="AE102" s="802"/>
      <c r="AF102" s="817"/>
    </row>
    <row r="103" spans="31:32">
      <c r="AE103" s="802"/>
    </row>
    <row r="104" spans="31:32">
      <c r="AE104" s="802"/>
    </row>
  </sheetData>
  <mergeCells count="1">
    <mergeCell ref="I36:M36"/>
  </mergeCells>
  <dataValidations count="3">
    <dataValidation type="list" allowBlank="1" showInputMessage="1" showErrorMessage="1" sqref="B983076:C983076 B65572:C65572 B131108:C131108 B196644:C196644 B262180:C262180 B327716:C327716 B393252:C393252 B458788:C458788 B524324:C524324 B589860:C589860 B655396:C655396 B720932:C720932 B786468:C786468 B852004:C852004 B917540:C917540 IY66 WVK983106 WLO983106 WBS983106 VRW983106 VIA983106 UYE983106 UOI983106 UEM983106 TUQ983106 TKU983106 TAY983106 SRC983106 SHG983106 RXK983106 RNO983106 RDS983106 QTW983106 QKA983106 QAE983106 PQI983106 PGM983106 OWQ983106 OMU983106 OCY983106 NTC983106 NJG983106 MZK983106 MPO983106 MFS983106 LVW983106 LMA983106 LCE983106 KSI983106 KIM983106 JYQ983106 JOU983106 JEY983106 IVC983106 ILG983106 IBK983106 HRO983106 HHS983106 GXW983106 GOA983106 GEE983106 FUI983106 FKM983106 FAQ983106 EQU983106 EGY983106 DXC983106 DNG983106 DDK983106 CTO983106 CJS983106 BZW983106 BQA983106 BGE983106 AWI983106 AMM983106 ACQ983106 SU983106 IY983106 WVK917570 WLO917570 WBS917570 VRW917570 VIA917570 UYE917570 UOI917570 UEM917570 TUQ917570 TKU917570 TAY917570 SRC917570 SHG917570 RXK917570 RNO917570 RDS917570 QTW917570 QKA917570 QAE917570 PQI917570 PGM917570 OWQ917570 OMU917570 OCY917570 NTC917570 NJG917570 MZK917570 MPO917570 MFS917570 LVW917570 LMA917570 LCE917570 KSI917570 KIM917570 JYQ917570 JOU917570 JEY917570 IVC917570 ILG917570 IBK917570 HRO917570 HHS917570 GXW917570 GOA917570 GEE917570 FUI917570 FKM917570 FAQ917570 EQU917570 EGY917570 DXC917570 DNG917570 DDK917570 CTO917570 CJS917570 BZW917570 BQA917570 BGE917570 AWI917570 AMM917570 ACQ917570 SU917570 IY917570 WVK852034 WLO852034 WBS852034 VRW852034 VIA852034 UYE852034 UOI852034 UEM852034 TUQ852034 TKU852034 TAY852034 SRC852034 SHG852034 RXK852034 RNO852034 RDS852034 QTW852034 QKA852034 QAE852034 PQI852034 PGM852034 OWQ852034 OMU852034 OCY852034 NTC852034 NJG852034 MZK852034 MPO852034 MFS852034 LVW852034 LMA852034 LCE852034 KSI852034 KIM852034 JYQ852034 JOU852034 JEY852034 IVC852034 ILG852034 IBK852034 HRO852034 HHS852034 GXW852034 GOA852034 GEE852034 FUI852034 FKM852034 FAQ852034 EQU852034 EGY852034 DXC852034 DNG852034 DDK852034 CTO852034 CJS852034 BZW852034 BQA852034 BGE852034 AWI852034 AMM852034 ACQ852034 SU852034 IY852034 WVK786498 WLO786498 WBS786498 VRW786498 VIA786498 UYE786498 UOI786498 UEM786498 TUQ786498 TKU786498 TAY786498 SRC786498 SHG786498 RXK786498 RNO786498 RDS786498 QTW786498 QKA786498 QAE786498 PQI786498 PGM786498 OWQ786498 OMU786498 OCY786498 NTC786498 NJG786498 MZK786498 MPO786498 MFS786498 LVW786498 LMA786498 LCE786498 KSI786498 KIM786498 JYQ786498 JOU786498 JEY786498 IVC786498 ILG786498 IBK786498 HRO786498 HHS786498 GXW786498 GOA786498 GEE786498 FUI786498 FKM786498 FAQ786498 EQU786498 EGY786498 DXC786498 DNG786498 DDK786498 CTO786498 CJS786498 BZW786498 BQA786498 BGE786498 AWI786498 AMM786498 ACQ786498 SU786498 IY786498 WVK720962 WLO720962 WBS720962 VRW720962 VIA720962 UYE720962 UOI720962 UEM720962 TUQ720962 TKU720962 TAY720962 SRC720962 SHG720962 RXK720962 RNO720962 RDS720962 QTW720962 QKA720962 QAE720962 PQI720962 PGM720962 OWQ720962 OMU720962 OCY720962 NTC720962 NJG720962 MZK720962 MPO720962 MFS720962 LVW720962 LMA720962 LCE720962 KSI720962 KIM720962 JYQ720962 JOU720962 JEY720962 IVC720962 ILG720962 IBK720962 HRO720962 HHS720962 GXW720962 GOA720962 GEE720962 FUI720962 FKM720962 FAQ720962 EQU720962 EGY720962 DXC720962 DNG720962 DDK720962 CTO720962 CJS720962 BZW720962 BQA720962 BGE720962 AWI720962 AMM720962 ACQ720962 SU720962 IY720962 WVK655426 WLO655426 WBS655426 VRW655426 VIA655426 UYE655426 UOI655426 UEM655426 TUQ655426 TKU655426 TAY655426 SRC655426 SHG655426 RXK655426 RNO655426 RDS655426 QTW655426 QKA655426 QAE655426 PQI655426 PGM655426 OWQ655426 OMU655426 OCY655426 NTC655426 NJG655426 MZK655426 MPO655426 MFS655426 LVW655426 LMA655426 LCE655426 KSI655426 KIM655426 JYQ655426 JOU655426 JEY655426 IVC655426 ILG655426 IBK655426 HRO655426 HHS655426 GXW655426 GOA655426 GEE655426 FUI655426 FKM655426 FAQ655426 EQU655426 EGY655426 DXC655426 DNG655426 DDK655426 CTO655426 CJS655426 BZW655426 BQA655426 BGE655426 AWI655426 AMM655426 ACQ655426 SU655426 IY655426 WVK589890 WLO589890 WBS589890 VRW589890 VIA589890 UYE589890 UOI589890 UEM589890 TUQ589890 TKU589890 TAY589890 SRC589890 SHG589890 RXK589890 RNO589890 RDS589890 QTW589890 QKA589890 QAE589890 PQI589890 PGM589890 OWQ589890 OMU589890 OCY589890 NTC589890 NJG589890 MZK589890 MPO589890 MFS589890 LVW589890 LMA589890 LCE589890 KSI589890 KIM589890 JYQ589890 JOU589890 JEY589890 IVC589890 ILG589890 IBK589890 HRO589890 HHS589890 GXW589890 GOA589890 GEE589890 FUI589890 FKM589890 FAQ589890 EQU589890 EGY589890 DXC589890 DNG589890 DDK589890 CTO589890 CJS589890 BZW589890 BQA589890 BGE589890 AWI589890 AMM589890 ACQ589890 SU589890 IY589890 WVK524354 WLO524354 WBS524354 VRW524354 VIA524354 UYE524354 UOI524354 UEM524354 TUQ524354 TKU524354 TAY524354 SRC524354 SHG524354 RXK524354 RNO524354 RDS524354 QTW524354 QKA524354 QAE524354 PQI524354 PGM524354 OWQ524354 OMU524354 OCY524354 NTC524354 NJG524354 MZK524354 MPO524354 MFS524354 LVW524354 LMA524354 LCE524354 KSI524354 KIM524354 JYQ524354 JOU524354 JEY524354 IVC524354 ILG524354 IBK524354 HRO524354 HHS524354 GXW524354 GOA524354 GEE524354 FUI524354 FKM524354 FAQ524354 EQU524354 EGY524354 DXC524354 DNG524354 DDK524354 CTO524354 CJS524354 BZW524354 BQA524354 BGE524354 AWI524354 AMM524354 ACQ524354 SU524354 IY524354 WVK458818 WLO458818 WBS458818 VRW458818 VIA458818 UYE458818 UOI458818 UEM458818 TUQ458818 TKU458818 TAY458818 SRC458818 SHG458818 RXK458818 RNO458818 RDS458818 QTW458818 QKA458818 QAE458818 PQI458818 PGM458818 OWQ458818 OMU458818 OCY458818 NTC458818 NJG458818 MZK458818 MPO458818 MFS458818 LVW458818 LMA458818 LCE458818 KSI458818 KIM458818 JYQ458818 JOU458818 JEY458818 IVC458818 ILG458818 IBK458818 HRO458818 HHS458818 GXW458818 GOA458818 GEE458818 FUI458818 FKM458818 FAQ458818 EQU458818 EGY458818 DXC458818 DNG458818 DDK458818 CTO458818 CJS458818 BZW458818 BQA458818 BGE458818 AWI458818 AMM458818 ACQ458818 SU458818 IY458818 WVK393282 WLO393282 WBS393282 VRW393282 VIA393282 UYE393282 UOI393282 UEM393282 TUQ393282 TKU393282 TAY393282 SRC393282 SHG393282 RXK393282 RNO393282 RDS393282 QTW393282 QKA393282 QAE393282 PQI393282 PGM393282 OWQ393282 OMU393282 OCY393282 NTC393282 NJG393282 MZK393282 MPO393282 MFS393282 LVW393282 LMA393282 LCE393282 KSI393282 KIM393282 JYQ393282 JOU393282 JEY393282 IVC393282 ILG393282 IBK393282 HRO393282 HHS393282 GXW393282 GOA393282 GEE393282 FUI393282 FKM393282 FAQ393282 EQU393282 EGY393282 DXC393282 DNG393282 DDK393282 CTO393282 CJS393282 BZW393282 BQA393282 BGE393282 AWI393282 AMM393282 ACQ393282 SU393282 IY393282 WVK327746 WLO327746 WBS327746 VRW327746 VIA327746 UYE327746 UOI327746 UEM327746 TUQ327746 TKU327746 TAY327746 SRC327746 SHG327746 RXK327746 RNO327746 RDS327746 QTW327746 QKA327746 QAE327746 PQI327746 PGM327746 OWQ327746 OMU327746 OCY327746 NTC327746 NJG327746 MZK327746 MPO327746 MFS327746 LVW327746 LMA327746 LCE327746 KSI327746 KIM327746 JYQ327746 JOU327746 JEY327746 IVC327746 ILG327746 IBK327746 HRO327746 HHS327746 GXW327746 GOA327746 GEE327746 FUI327746 FKM327746 FAQ327746 EQU327746 EGY327746 DXC327746 DNG327746 DDK327746 CTO327746 CJS327746 BZW327746 BQA327746 BGE327746 AWI327746 AMM327746 ACQ327746 SU327746 IY327746 WVK262210 WLO262210 WBS262210 VRW262210 VIA262210 UYE262210 UOI262210 UEM262210 TUQ262210 TKU262210 TAY262210 SRC262210 SHG262210 RXK262210 RNO262210 RDS262210 QTW262210 QKA262210 QAE262210 PQI262210 PGM262210 OWQ262210 OMU262210 OCY262210 NTC262210 NJG262210 MZK262210 MPO262210 MFS262210 LVW262210 LMA262210 LCE262210 KSI262210 KIM262210 JYQ262210 JOU262210 JEY262210 IVC262210 ILG262210 IBK262210 HRO262210 HHS262210 GXW262210 GOA262210 GEE262210 FUI262210 FKM262210 FAQ262210 EQU262210 EGY262210 DXC262210 DNG262210 DDK262210 CTO262210 CJS262210 BZW262210 BQA262210 BGE262210 AWI262210 AMM262210 ACQ262210 SU262210 IY262210 WVK196674 WLO196674 WBS196674 VRW196674 VIA196674 UYE196674 UOI196674 UEM196674 TUQ196674 TKU196674 TAY196674 SRC196674 SHG196674 RXK196674 RNO196674 RDS196674 QTW196674 QKA196674 QAE196674 PQI196674 PGM196674 OWQ196674 OMU196674 OCY196674 NTC196674 NJG196674 MZK196674 MPO196674 MFS196674 LVW196674 LMA196674 LCE196674 KSI196674 KIM196674 JYQ196674 JOU196674 JEY196674 IVC196674 ILG196674 IBK196674 HRO196674 HHS196674 GXW196674 GOA196674 GEE196674 FUI196674 FKM196674 FAQ196674 EQU196674 EGY196674 DXC196674 DNG196674 DDK196674 CTO196674 CJS196674 BZW196674 BQA196674 BGE196674 AWI196674 AMM196674 ACQ196674 SU196674 IY196674 WVK131138 WLO131138 WBS131138 VRW131138 VIA131138 UYE131138 UOI131138 UEM131138 TUQ131138 TKU131138 TAY131138 SRC131138 SHG131138 RXK131138 RNO131138 RDS131138 QTW131138 QKA131138 QAE131138 PQI131138 PGM131138 OWQ131138 OMU131138 OCY131138 NTC131138 NJG131138 MZK131138 MPO131138 MFS131138 LVW131138 LMA131138 LCE131138 KSI131138 KIM131138 JYQ131138 JOU131138 JEY131138 IVC131138 ILG131138 IBK131138 HRO131138 HHS131138 GXW131138 GOA131138 GEE131138 FUI131138 FKM131138 FAQ131138 EQU131138 EGY131138 DXC131138 DNG131138 DDK131138 CTO131138 CJS131138 BZW131138 BQA131138 BGE131138 AWI131138 AMM131138 ACQ131138 SU131138 IY131138 WVK65602 WLO65602 WBS65602 VRW65602 VIA65602 UYE65602 UOI65602 UEM65602 TUQ65602 TKU65602 TAY65602 SRC65602 SHG65602 RXK65602 RNO65602 RDS65602 QTW65602 QKA65602 QAE65602 PQI65602 PGM65602 OWQ65602 OMU65602 OCY65602 NTC65602 NJG65602 MZK65602 MPO65602 MFS65602 LVW65602 LMA65602 LCE65602 KSI65602 KIM65602 JYQ65602 JOU65602 JEY65602 IVC65602 ILG65602 IBK65602 HRO65602 HHS65602 GXW65602 GOA65602 GEE65602 FUI65602 FKM65602 FAQ65602 EQU65602 EGY65602 DXC65602 DNG65602 DDK65602 CTO65602 CJS65602 BZW65602 BQA65602 BGE65602 AWI65602 AMM65602 ACQ65602 SU65602 IY65602 WVK66 WLO66 WBS66 VRW66 VIA66 UYE66 UOI66 UEM66 TUQ66 TKU66 TAY66 SRC66 SHG66 RXK66 RNO66 RDS66 QTW66 QKA66 QAE66 PQI66 PGM66 OWQ66 OMU66 OCY66 NTC66 NJG66 MZK66 MPO66 MFS66 LVW66 LMA66 LCE66 KSI66 KIM66 JYQ66 JOU66 JEY66 IVC66 ILG66 IBK66 HRO66 HHS66 GXW66 GOA66 GEE66 FUI66 FKM66 FAQ66 EQU66 EGY66 DXC66 DNG66 DDK66 CTO66 CJS66 BZW66 BQA66 BGE66 AWI66 AMM66 ACQ66 SU66">
      <formula1>$B$4:$B$33</formula1>
    </dataValidation>
    <dataValidation type="list" allowBlank="1" showInputMessage="1" showErrorMessage="1" sqref="D36">
      <formula1>$B$4:$B$6</formula1>
    </dataValidation>
    <dataValidation type="list" allowBlank="1" showInputMessage="1" showErrorMessage="1" sqref="I36">
      <formula1>$R$6:$R$11</formula1>
    </dataValidation>
  </dataValidations>
  <pageMargins left="0.7" right="0.7" top="0.75" bottom="0.75" header="0.3" footer="0.3"/>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Potable Water Calculator</vt:lpstr>
      <vt:lpstr>Change Log</vt:lpstr>
      <vt:lpstr>Rainfall data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 Retief</dc:creator>
  <cp:lastModifiedBy>Francois Retief</cp:lastModifiedBy>
  <dcterms:created xsi:type="dcterms:W3CDTF">2013-09-04T14:23:36Z</dcterms:created>
  <dcterms:modified xsi:type="dcterms:W3CDTF">2014-11-03T08:50:08Z</dcterms:modified>
</cp:coreProperties>
</file>