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ow &amp; Reap\Projects\14004 - GBCSA EBP Tool Development\DRAFTS\calculators\"/>
    </mc:Choice>
  </mc:AlternateContent>
  <workbookProtection workbookPassword="AD9B" lockStructure="1"/>
  <bookViews>
    <workbookView xWindow="0" yWindow="0" windowWidth="15330" windowHeight="4635" tabRatio="932" firstSheet="2" activeTab="2"/>
  </bookViews>
  <sheets>
    <sheet name="Tool Navigation " sheetId="2" state="hidden" r:id="rId1"/>
    <sheet name="Tool" sheetId="3" state="hidden" r:id="rId2"/>
    <sheet name="Compliance Path &amp; Change Log" sheetId="1" r:id="rId3"/>
    <sheet name="Compliance Route 1 (Offices)" sheetId="4" r:id="rId4"/>
    <sheet name="Building Zone Breakdown" sheetId="5" state="hidden" r:id="rId5"/>
    <sheet name="Compliance Route 2 (SANS Bench)" sheetId="7" r:id="rId6"/>
    <sheet name="Climate Zone" sheetId="8" r:id="rId7"/>
    <sheet name="Compliance Route 3 (Comparable)" sheetId="10" r:id="rId8"/>
    <sheet name="Compliance Route 4 (Historical)" sheetId="11" r:id="rId9"/>
    <sheet name="Results" sheetId="9" r:id="rId10"/>
    <sheet name="Misc" sheetId="6" state="hidden" r:id="rId11"/>
  </sheets>
  <definedNames>
    <definedName name="_xlnm.Print_Area" localSheetId="7">'Compliance Route 3 (Comparable)'!$A$1:$I$208</definedName>
    <definedName name="_xlnm.Print_Area" localSheetId="8">'Compliance Route 4 (Historical)'!$A$1:$I$62</definedName>
    <definedName name="_xlnm.Print_Titles" localSheetId="7">'Compliance Route 3 (Comparable)'!$1:$8</definedName>
    <definedName name="_xlnm.Print_Titles" localSheetId="8">'Compliance Route 4 (Historical)'!$1:$8</definedName>
  </definedNames>
  <calcPr calcId="152511" concurrentCalc="0"/>
</workbook>
</file>

<file path=xl/calcChain.xml><?xml version="1.0" encoding="utf-8"?>
<calcChain xmlns="http://schemas.openxmlformats.org/spreadsheetml/2006/main">
  <c r="E30" i="10" l="1"/>
  <c r="I24" i="10"/>
  <c r="I23" i="7"/>
  <c r="E25" i="11"/>
  <c r="E24" i="11"/>
  <c r="E28" i="11"/>
  <c r="E28" i="10"/>
  <c r="E24" i="10"/>
  <c r="E14" i="7"/>
  <c r="E23" i="7"/>
  <c r="H23" i="9"/>
  <c r="E24" i="7"/>
  <c r="I2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E12" i="7"/>
  <c r="I28" i="7"/>
  <c r="I29" i="7"/>
  <c r="I30" i="7"/>
  <c r="I31" i="7"/>
  <c r="I32" i="7"/>
  <c r="I33" i="7"/>
  <c r="I34" i="7"/>
  <c r="I35" i="7"/>
  <c r="I36" i="7"/>
  <c r="I37" i="7"/>
  <c r="I38" i="7"/>
  <c r="I39" i="7"/>
  <c r="L23" i="7"/>
  <c r="M23" i="7"/>
  <c r="P15" i="7"/>
  <c r="P16" i="7"/>
  <c r="P17" i="7"/>
  <c r="P18" i="7"/>
  <c r="P19" i="7"/>
  <c r="P20" i="7"/>
  <c r="P14" i="7"/>
  <c r="B24" i="9"/>
  <c r="B18" i="9"/>
  <c r="B17" i="9"/>
  <c r="B16" i="9"/>
  <c r="B15" i="9"/>
  <c r="B14" i="9"/>
  <c r="B13" i="9"/>
  <c r="B12" i="9"/>
  <c r="G35" i="11"/>
  <c r="G60" i="11"/>
  <c r="F60" i="11"/>
  <c r="G58" i="11"/>
  <c r="F58" i="11"/>
  <c r="G59" i="11"/>
  <c r="F59" i="11"/>
  <c r="G61" i="11"/>
  <c r="F61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E74" i="10"/>
  <c r="E25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34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34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5" i="11"/>
  <c r="I184" i="10"/>
  <c r="E174" i="10"/>
  <c r="I134" i="10"/>
  <c r="E124" i="10"/>
  <c r="E26" i="10"/>
  <c r="G39" i="7"/>
  <c r="G38" i="7"/>
  <c r="G37" i="7"/>
  <c r="G36" i="7"/>
  <c r="G35" i="7"/>
  <c r="G34" i="7"/>
  <c r="G33" i="7"/>
  <c r="G32" i="7"/>
  <c r="G31" i="7"/>
  <c r="G30" i="7"/>
  <c r="G29" i="7"/>
  <c r="G28" i="7"/>
  <c r="F39" i="7"/>
  <c r="F38" i="7"/>
  <c r="F37" i="7"/>
  <c r="F36" i="7"/>
  <c r="F35" i="7"/>
  <c r="F34" i="7"/>
  <c r="F33" i="7"/>
  <c r="F32" i="7"/>
  <c r="F31" i="7"/>
  <c r="F30" i="7"/>
  <c r="F29" i="7"/>
  <c r="F28" i="7"/>
  <c r="J67" i="6"/>
  <c r="J66" i="6"/>
  <c r="J79" i="6"/>
  <c r="J86" i="6"/>
  <c r="N79" i="6"/>
  <c r="L86" i="6"/>
  <c r="J70" i="6"/>
  <c r="L70" i="6"/>
  <c r="J71" i="6"/>
  <c r="J74" i="6"/>
  <c r="L74" i="6"/>
  <c r="J75" i="6"/>
  <c r="L75" i="6"/>
  <c r="J78" i="6"/>
  <c r="L78" i="6"/>
  <c r="L79" i="6"/>
  <c r="J82" i="6"/>
  <c r="L82" i="6"/>
  <c r="J83" i="6"/>
  <c r="L83" i="6"/>
  <c r="L66" i="6"/>
  <c r="N83" i="6"/>
  <c r="N71" i="6"/>
  <c r="N66" i="6"/>
  <c r="J85" i="6"/>
  <c r="N85" i="6"/>
  <c r="J84" i="6"/>
  <c r="L84" i="6"/>
  <c r="N82" i="6"/>
  <c r="J81" i="6"/>
  <c r="N81" i="6"/>
  <c r="J80" i="6"/>
  <c r="L80" i="6"/>
  <c r="J77" i="6"/>
  <c r="L77" i="6"/>
  <c r="J76" i="6"/>
  <c r="L76" i="6"/>
  <c r="N74" i="6"/>
  <c r="J73" i="6"/>
  <c r="N73" i="6"/>
  <c r="J72" i="6"/>
  <c r="L72" i="6"/>
  <c r="J69" i="6"/>
  <c r="N69" i="6"/>
  <c r="J68" i="6"/>
  <c r="L68" i="6"/>
  <c r="J38" i="6"/>
  <c r="J45" i="6"/>
  <c r="J58" i="6"/>
  <c r="N45" i="6"/>
  <c r="H100" i="6"/>
  <c r="L58" i="6"/>
  <c r="J39" i="6"/>
  <c r="J40" i="6"/>
  <c r="N40" i="6"/>
  <c r="J41" i="6"/>
  <c r="L41" i="6"/>
  <c r="J42" i="6"/>
  <c r="N42" i="6"/>
  <c r="J43" i="6"/>
  <c r="N43" i="6"/>
  <c r="J44" i="6"/>
  <c r="L45" i="6"/>
  <c r="J46" i="6"/>
  <c r="N46" i="6"/>
  <c r="J47" i="6"/>
  <c r="J48" i="6"/>
  <c r="L48" i="6"/>
  <c r="J49" i="6"/>
  <c r="J50" i="6"/>
  <c r="L50" i="6"/>
  <c r="J51" i="6"/>
  <c r="J52" i="6"/>
  <c r="L52" i="6"/>
  <c r="J53" i="6"/>
  <c r="J54" i="6"/>
  <c r="L54" i="6"/>
  <c r="J55" i="6"/>
  <c r="L55" i="6"/>
  <c r="J56" i="6"/>
  <c r="J57" i="6"/>
  <c r="H92" i="6"/>
  <c r="H91" i="6"/>
  <c r="J92" i="6"/>
  <c r="J91" i="6"/>
  <c r="H95" i="6"/>
  <c r="J95" i="6"/>
  <c r="H96" i="6"/>
  <c r="J96" i="6"/>
  <c r="H99" i="6"/>
  <c r="J99" i="6"/>
  <c r="J100" i="6"/>
  <c r="H93" i="6"/>
  <c r="J93" i="6"/>
  <c r="H94" i="6"/>
  <c r="J94" i="6"/>
  <c r="H97" i="6"/>
  <c r="J97" i="6"/>
  <c r="H98" i="6"/>
  <c r="J98" i="6"/>
  <c r="H23" i="4"/>
  <c r="B105" i="6"/>
  <c r="N57" i="6"/>
  <c r="N49" i="6"/>
  <c r="N41" i="6"/>
  <c r="L43" i="6"/>
  <c r="N72" i="6"/>
  <c r="L57" i="6"/>
  <c r="L49" i="6"/>
  <c r="N80" i="6"/>
  <c r="N52" i="6"/>
  <c r="N44" i="6"/>
  <c r="L46" i="6"/>
  <c r="L56" i="6"/>
  <c r="N76" i="6"/>
  <c r="N55" i="6"/>
  <c r="N47" i="6"/>
  <c r="N39" i="6"/>
  <c r="L51" i="6"/>
  <c r="L81" i="6"/>
  <c r="L73" i="6"/>
  <c r="N58" i="6"/>
  <c r="N50" i="6"/>
  <c r="K23" i="7"/>
  <c r="E27" i="10"/>
  <c r="L69" i="6"/>
  <c r="L85" i="6"/>
  <c r="N38" i="6"/>
  <c r="L42" i="6"/>
  <c r="N48" i="6"/>
  <c r="N84" i="6"/>
  <c r="N68" i="6"/>
  <c r="L47" i="6"/>
  <c r="N53" i="6"/>
  <c r="L40" i="6"/>
  <c r="N70" i="6"/>
  <c r="N77" i="6"/>
  <c r="N86" i="6"/>
  <c r="N67" i="6"/>
  <c r="L44" i="6"/>
  <c r="L38" i="6"/>
  <c r="L71" i="6"/>
  <c r="L67" i="6"/>
  <c r="N54" i="6"/>
  <c r="N51" i="6"/>
  <c r="N56" i="6"/>
  <c r="L53" i="6"/>
  <c r="L39" i="6"/>
  <c r="N78" i="6"/>
  <c r="N75" i="6"/>
  <c r="B108" i="6"/>
  <c r="B107" i="6"/>
  <c r="B106" i="6"/>
</calcChain>
</file>

<file path=xl/comments1.xml><?xml version="1.0" encoding="utf-8"?>
<comments xmlns="http://schemas.openxmlformats.org/spreadsheetml/2006/main">
  <authors>
    <author>Francois Retief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Building Types with Energy Benchmarks under SANS 10400-XA, i.e:
</t>
        </r>
        <r>
          <rPr>
            <sz val="9"/>
            <color indexed="81"/>
            <rFont val="Tahoma"/>
            <family val="2"/>
          </rPr>
          <t>- Entertainment &amp; Public Assembly
- Theatrical &amp; Indoor Sport
- Places of Instruction
- Worship
- Large Shop
- Hotel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Other building types where energy baseline data for similar buildings exist.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Building types which are not covered by either of the previous 3 options</t>
        </r>
      </text>
    </comment>
  </commentList>
</comments>
</file>

<file path=xl/comments2.xml><?xml version="1.0" encoding="utf-8"?>
<comments xmlns="http://schemas.openxmlformats.org/spreadsheetml/2006/main">
  <authors>
    <author>Francois Retief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Normalised for occupancy and operating hours to align with SANS 10400-XA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Average occupancy percentage for the year averaged across entire floor area. I.e. for retail, it would be the average area tenanted over the year. For Public &amp; Assembly it would be the average occupancy percentage for occupied hours in the year.</t>
        </r>
      </text>
    </comment>
  </commentList>
</comments>
</file>

<file path=xl/sharedStrings.xml><?xml version="1.0" encoding="utf-8"?>
<sst xmlns="http://schemas.openxmlformats.org/spreadsheetml/2006/main" count="402" uniqueCount="181">
  <si>
    <t>GBCSA - Existing Building Performance Rating Tool</t>
  </si>
  <si>
    <t>ENE-1 Energy Consumption (GHGE) Tool</t>
  </si>
  <si>
    <t>Building Details</t>
  </si>
  <si>
    <t>Street Address</t>
  </si>
  <si>
    <t>Suburb</t>
  </si>
  <si>
    <t xml:space="preserve">City </t>
  </si>
  <si>
    <t xml:space="preserve">Province </t>
  </si>
  <si>
    <t xml:space="preserve">Postal Code </t>
  </si>
  <si>
    <t xml:space="preserve">Building Metrics </t>
  </si>
  <si>
    <t xml:space="preserve">Occupancy Hours (per week) </t>
  </si>
  <si>
    <t>GLA</t>
  </si>
  <si>
    <t>Energy Usage Inputs</t>
  </si>
  <si>
    <t xml:space="preserve">Number of occupants </t>
  </si>
  <si>
    <t>Description of area</t>
  </si>
  <si>
    <t>Annual vacancy (days)</t>
  </si>
  <si>
    <t>Weekly operatinghours</t>
  </si>
  <si>
    <t>Number of occupants</t>
  </si>
  <si>
    <t>Energy source</t>
  </si>
  <si>
    <t>Unit</t>
  </si>
  <si>
    <t>Unit (kWh)</t>
  </si>
  <si>
    <t>Fuel Factor</t>
  </si>
  <si>
    <t>Electricity</t>
  </si>
  <si>
    <t>Distillate Fuel (No1,2,4 fuel oil and diesel)</t>
  </si>
  <si>
    <t>Residual Fuel Oil (No5 and 6 fuel oil)</t>
  </si>
  <si>
    <t>LPG</t>
  </si>
  <si>
    <t>Propane</t>
  </si>
  <si>
    <t>Natural Gas</t>
  </si>
  <si>
    <t>Bituminous Coal</t>
  </si>
  <si>
    <t>Sub-bituminous Coal</t>
  </si>
  <si>
    <t>Fual factor</t>
  </si>
  <si>
    <r>
      <t>Floor area (m</t>
    </r>
    <r>
      <rPr>
        <b/>
        <sz val="11"/>
        <color theme="1"/>
        <rFont val="Calibri"/>
        <family val="2"/>
      </rPr>
      <t>²)</t>
    </r>
  </si>
  <si>
    <t xml:space="preserve">Zone Description </t>
  </si>
  <si>
    <t>Entertainment and public assembly</t>
  </si>
  <si>
    <t>Theatrical and indoor sport</t>
  </si>
  <si>
    <t>Places of instruction</t>
  </si>
  <si>
    <t>Worship</t>
  </si>
  <si>
    <t>Large shop</t>
  </si>
  <si>
    <t>Offices</t>
  </si>
  <si>
    <t>Hotel</t>
  </si>
  <si>
    <t>Month</t>
  </si>
  <si>
    <t>Number of computers</t>
  </si>
  <si>
    <t>Start date</t>
  </si>
  <si>
    <t>End date</t>
  </si>
  <si>
    <t>Energy Source Type</t>
  </si>
  <si>
    <t>kWh</t>
  </si>
  <si>
    <t xml:space="preserve">Consumption </t>
  </si>
  <si>
    <t>kgCO2/kWh</t>
  </si>
  <si>
    <t xml:space="preserve">Description </t>
  </si>
  <si>
    <t xml:space="preserve"> </t>
  </si>
  <si>
    <r>
      <t>GLA (m</t>
    </r>
    <r>
      <rPr>
        <sz val="11"/>
        <color theme="1"/>
        <rFont val="Calibri"/>
        <family val="2"/>
      </rPr>
      <t>²</t>
    </r>
    <r>
      <rPr>
        <sz val="12.65"/>
        <color theme="1"/>
        <rFont val="Calibri"/>
        <family val="2"/>
      </rPr>
      <t>)</t>
    </r>
  </si>
  <si>
    <t>Building Type</t>
  </si>
  <si>
    <t xml:space="preserve">Classification of occupancy of building </t>
  </si>
  <si>
    <t>A1</t>
  </si>
  <si>
    <t>A2</t>
  </si>
  <si>
    <t>A3</t>
  </si>
  <si>
    <t>A4</t>
  </si>
  <si>
    <t>F1</t>
  </si>
  <si>
    <t>G1</t>
  </si>
  <si>
    <t>H1</t>
  </si>
  <si>
    <t>Climatic zone</t>
  </si>
  <si>
    <t>BACK TO SANS</t>
  </si>
  <si>
    <r>
      <t>kWh/m</t>
    </r>
    <r>
      <rPr>
        <sz val="11"/>
        <color theme="1"/>
        <rFont val="Calibri"/>
        <family val="2"/>
      </rPr>
      <t>²</t>
    </r>
  </si>
  <si>
    <t xml:space="preserve">Annual Consumption Baseline of Building </t>
  </si>
  <si>
    <t>% Improvement</t>
  </si>
  <si>
    <t xml:space="preserve">SCORE </t>
  </si>
  <si>
    <t>SANS Score</t>
  </si>
  <si>
    <t>Percentage better than SANS Benchmark</t>
  </si>
  <si>
    <t>Points achieved</t>
  </si>
  <si>
    <t>Buildings built before November 2011</t>
  </si>
  <si>
    <t>Buildings built after November 2011</t>
  </si>
  <si>
    <t>Building construction date</t>
  </si>
  <si>
    <t>Type of building</t>
  </si>
  <si>
    <t>Use of building</t>
  </si>
  <si>
    <t xml:space="preserve">Climate zone </t>
  </si>
  <si>
    <t xml:space="preserve">Hours of operations </t>
  </si>
  <si>
    <r>
      <t>GLA (m</t>
    </r>
    <r>
      <rPr>
        <sz val="11"/>
        <color theme="1"/>
        <rFont val="Calibri"/>
        <family val="2"/>
      </rPr>
      <t>²)</t>
    </r>
  </si>
  <si>
    <t>Construction material</t>
  </si>
  <si>
    <r>
      <t>Occupancy rate (people/m</t>
    </r>
    <r>
      <rPr>
        <sz val="11"/>
        <color theme="1"/>
        <rFont val="Calibri"/>
        <family val="2"/>
      </rPr>
      <t>²</t>
    </r>
    <r>
      <rPr>
        <sz val="9.35"/>
        <color theme="1"/>
        <rFont val="Calibri"/>
        <family val="2"/>
      </rPr>
      <t>)</t>
    </r>
  </si>
  <si>
    <t xml:space="preserve">HVAC system </t>
  </si>
  <si>
    <t>Age of building</t>
  </si>
  <si>
    <t>Own Building Details:</t>
  </si>
  <si>
    <t>Comparable Building No.1 Details:</t>
  </si>
  <si>
    <t>Comparable Building No.2 Details:</t>
  </si>
  <si>
    <t>Comparable Building No.3 Details:</t>
  </si>
  <si>
    <t>Annual Consumption Baseline of Buildings</t>
  </si>
  <si>
    <t xml:space="preserve">Own building </t>
  </si>
  <si>
    <t>Comparable building No.1</t>
  </si>
  <si>
    <t>Comparable building No.2</t>
  </si>
  <si>
    <t>Comparable building No.3</t>
  </si>
  <si>
    <t>Average performer</t>
  </si>
  <si>
    <t xml:space="preserve">Tool Navigation </t>
  </si>
  <si>
    <t xml:space="preserve">Output score from GBCSA Energy and Water Benchmarking Tool </t>
  </si>
  <si>
    <t xml:space="preserve">Inputs </t>
  </si>
  <si>
    <t xml:space="preserve">Total Energy Usage </t>
  </si>
  <si>
    <t xml:space="preserve">Total Mains Electricity equivalent </t>
  </si>
  <si>
    <t xml:space="preserve">Total emissions </t>
  </si>
  <si>
    <t>Results</t>
  </si>
  <si>
    <t xml:space="preserve">Energy intensity </t>
  </si>
  <si>
    <t xml:space="preserve">Benchmark building energy intensity </t>
  </si>
  <si>
    <t>Benchmark building total emission</t>
  </si>
  <si>
    <t>kWh/Annum</t>
  </si>
  <si>
    <t>KgCO2/annum</t>
  </si>
  <si>
    <t>kWh/m2/annum</t>
  </si>
  <si>
    <t>KgCO2/m2/annum</t>
  </si>
  <si>
    <t xml:space="preserve">OFFICE rating tool </t>
  </si>
  <si>
    <t>Climatic Zone</t>
  </si>
  <si>
    <t xml:space="preserve">RESULTS </t>
  </si>
  <si>
    <t xml:space="preserve">ENE-1 Energy consumption Score </t>
  </si>
  <si>
    <t>ENE-1 Equivalent points</t>
  </si>
  <si>
    <t xml:space="preserve">ENE-1 score </t>
  </si>
  <si>
    <t>Compliance path selected</t>
  </si>
  <si>
    <t>Compliance path</t>
  </si>
  <si>
    <t>GBCSA Office benchmarking tool</t>
  </si>
  <si>
    <t xml:space="preserve">SANS Benchmarking </t>
  </si>
  <si>
    <t>Comparable Buildings</t>
  </si>
  <si>
    <t>Historical data from own building</t>
  </si>
  <si>
    <t>Score</t>
  </si>
  <si>
    <t>Click corresponding shaded icon to select compliance path</t>
  </si>
  <si>
    <t>This is the ENE-1 Energy consumption calculator tool for existing building performance rating.</t>
  </si>
  <si>
    <t>Annual Consumption Baseline of Building</t>
  </si>
  <si>
    <t xml:space="preserve">Current year  </t>
  </si>
  <si>
    <t>Option 2= Energy consumption baseline from historical energy data from own building</t>
  </si>
  <si>
    <r>
      <t>kWh/m</t>
    </r>
    <r>
      <rPr>
        <sz val="11"/>
        <color theme="1"/>
        <rFont val="Calibri"/>
        <family val="2"/>
      </rPr>
      <t>²/hr/people/m2</t>
    </r>
  </si>
  <si>
    <t>SANS Building Types (kWh)</t>
  </si>
  <si>
    <t>SANS Building Types (kVA) MAX DEMAND</t>
  </si>
  <si>
    <t>SANS Benchmark</t>
  </si>
  <si>
    <t>MAX DEMAND</t>
  </si>
  <si>
    <t>Tonnes</t>
  </si>
  <si>
    <t>GJ</t>
  </si>
  <si>
    <t>L</t>
  </si>
  <si>
    <t>convertion to kWh</t>
  </si>
  <si>
    <t xml:space="preserve">kWh Consumption </t>
  </si>
  <si>
    <t>Note. If multiple sources of energy are used in a particular month, insert additional rows into the table and transfer formula from adjacent cells</t>
  </si>
  <si>
    <t xml:space="preserve">Back to Compliance path tab </t>
  </si>
  <si>
    <t>Back to the top</t>
  </si>
  <si>
    <t xml:space="preserve"> here</t>
  </si>
  <si>
    <t>- Please enter below the results as achieved using the GBCSA Energy &amp; Water Benchmarking Tool available</t>
  </si>
  <si>
    <t>- This sheet applies to Office Buildings only</t>
  </si>
  <si>
    <t>Green Star SA - Existing Building Performance PILOT</t>
  </si>
  <si>
    <t>Sponsored by:</t>
  </si>
  <si>
    <r>
      <t xml:space="preserve">Green Star SA - Existing Building Performance PILOT
</t>
    </r>
    <r>
      <rPr>
        <b/>
        <sz val="14"/>
        <color theme="6" tint="-0.499984740745262"/>
        <rFont val="Calibri"/>
        <family val="2"/>
        <scheme val="minor"/>
      </rPr>
      <t>ENE-1 Energy Consumption (GHGE) Points Calculator</t>
    </r>
  </si>
  <si>
    <t>- Please see the 'Green Star SA - Existing Building Performance Energy Calculator Guide' for details on how to use this calculator</t>
  </si>
  <si>
    <t>- Below is a summary of the four possible compliance paths based on building type</t>
  </si>
  <si>
    <t xml:space="preserve">            ENE-1 Energy Consumption (GHGE) Points Calculator</t>
  </si>
  <si>
    <t xml:space="preserve">                 Sponsored by:</t>
  </si>
  <si>
    <t xml:space="preserve">                   Sponsored by:</t>
  </si>
  <si>
    <t>OFFICES INPUT SHEET</t>
  </si>
  <si>
    <t>SANS BENCHMARK INPUT SHEET</t>
  </si>
  <si>
    <t>- Please complete the grey cells below</t>
  </si>
  <si>
    <r>
      <t xml:space="preserve">- This sheet applies to building types with Energy Benchmarks under SANS 10400-XA 
</t>
    </r>
    <r>
      <rPr>
        <sz val="12"/>
        <color theme="6" tint="-0.499984740745262"/>
        <rFont val="Calibri"/>
        <family val="2"/>
        <scheme val="minor"/>
      </rPr>
      <t>i.e Entertainment &amp; Public Assembly, Theatrical &amp; Indoor Sport, Places of Instruction, Worship, Large Shop &amp; Hotel</t>
    </r>
  </si>
  <si>
    <t>'SIMILAR BUILDING' INPUT SHEET</t>
  </si>
  <si>
    <t>- This sheet applies to building types that do not have SANS 10400-XA Energy Benchmarks, but where energy baseline data for similar buildings exist.</t>
  </si>
  <si>
    <t>'HISTORICAL BASELINE' INPUT SHEET</t>
  </si>
  <si>
    <t>- This sheet applies to building types which are not covered by the previous 3 options for benchmarking.</t>
  </si>
  <si>
    <t>Reissue Date</t>
  </si>
  <si>
    <t>Changes</t>
  </si>
  <si>
    <t>Change Log:</t>
  </si>
  <si>
    <t>Errors in energy consumption input cells corrected.</t>
  </si>
  <si>
    <t>Compliance Path naming updated</t>
  </si>
  <si>
    <t>Compliance Route 3 = Energy consumption baseline from energy data from comparable buildings</t>
  </si>
  <si>
    <t>Compliance Path 2 Normalising edited</t>
  </si>
  <si>
    <t xml:space="preserve">Effective (normalised) Annual Consumption of Building </t>
  </si>
  <si>
    <t>Straight consumtion</t>
  </si>
  <si>
    <t>Occupancy (as per SANS 10400-XA)</t>
  </si>
  <si>
    <t>Class</t>
  </si>
  <si>
    <t>Hours/day</t>
  </si>
  <si>
    <t>Average Percentage Occupancy</t>
  </si>
  <si>
    <t>Typical Peak Day Operating Hours</t>
  </si>
  <si>
    <t>Occ %</t>
  </si>
  <si>
    <t>Operating Hours</t>
  </si>
  <si>
    <t>Operating Hours %</t>
  </si>
  <si>
    <t>`</t>
  </si>
  <si>
    <t>Compliance Path 1 no longer requires this calculator to be completed</t>
  </si>
  <si>
    <t>Point-scale adjusted to align with best practice achievement</t>
  </si>
  <si>
    <t>Baseline year</t>
  </si>
  <si>
    <t>Baseline Year:</t>
  </si>
  <si>
    <t>(Performance) 1</t>
  </si>
  <si>
    <t>(Past Baseline) 1</t>
  </si>
  <si>
    <t>Performance Period:</t>
  </si>
  <si>
    <t>Error in Compliance Path 2 scoring corrected</t>
  </si>
  <si>
    <t>Last Update: 03 Nov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</si>
</sst>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0.0"/>
    <numFmt numFmtId="166" formatCode="[$-1C09]dd\ mmmm\ yyyy;@"/>
    <numFmt numFmtId="167" formatCode="0.0%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.65"/>
      <color theme="1"/>
      <name val="Calibri"/>
      <family val="2"/>
    </font>
    <font>
      <u/>
      <sz val="12.65"/>
      <color theme="10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.35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5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00453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8" borderId="0" applyNumberFormat="0" applyBorder="0" applyAlignment="0" applyProtection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7" borderId="0" applyNumberFormat="0" applyBorder="0" applyAlignment="0" applyProtection="0"/>
    <xf numFmtId="0" fontId="30" fillId="7" borderId="17" applyNumberFormat="0" applyAlignment="0" applyProtection="0"/>
    <xf numFmtId="0" fontId="31" fillId="18" borderId="18" applyNumberFormat="0" applyAlignment="0" applyProtection="0"/>
    <xf numFmtId="0" fontId="32" fillId="0" borderId="0" applyNumberFormat="0" applyFill="0" applyBorder="0" applyAlignment="0" applyProtection="0"/>
    <xf numFmtId="0" fontId="33" fillId="19" borderId="0" applyNumberFormat="0" applyBorder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17" applyNumberFormat="0" applyAlignment="0" applyProtection="0"/>
    <xf numFmtId="0" fontId="38" fillId="0" borderId="22" applyNumberFormat="0" applyFill="0" applyAlignment="0" applyProtection="0"/>
    <xf numFmtId="0" fontId="39" fillId="20" borderId="0" applyNumberFormat="0" applyBorder="0" applyAlignment="0" applyProtection="0"/>
    <xf numFmtId="0" fontId="25" fillId="0" borderId="0"/>
    <xf numFmtId="0" fontId="24" fillId="21" borderId="23" applyNumberFormat="0" applyFont="0" applyAlignment="0" applyProtection="0"/>
    <xf numFmtId="0" fontId="40" fillId="7" borderId="24" applyNumberFormat="0" applyAlignment="0" applyProtection="0"/>
    <xf numFmtId="9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3" fillId="0" borderId="0"/>
    <xf numFmtId="0" fontId="3" fillId="0" borderId="0"/>
    <xf numFmtId="0" fontId="30" fillId="7" borderId="28" applyNumberFormat="0" applyAlignment="0" applyProtection="0"/>
    <xf numFmtId="0" fontId="37" fillId="8" borderId="28" applyNumberFormat="0" applyAlignment="0" applyProtection="0"/>
    <xf numFmtId="0" fontId="24" fillId="21" borderId="29" applyNumberFormat="0" applyFont="0" applyAlignment="0" applyProtection="0"/>
    <xf numFmtId="0" fontId="40" fillId="7" borderId="30" applyNumberFormat="0" applyAlignment="0" applyProtection="0"/>
    <xf numFmtId="0" fontId="42" fillId="0" borderId="31" applyNumberFormat="0" applyFill="0" applyAlignment="0" applyProtection="0"/>
  </cellStyleXfs>
  <cellXfs count="19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0" fillId="2" borderId="1" xfId="0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3" xfId="0" applyBorder="1"/>
    <xf numFmtId="0" fontId="0" fillId="0" borderId="0" xfId="0" applyBorder="1"/>
    <xf numFmtId="0" fontId="1" fillId="0" borderId="6" xfId="0" applyFont="1" applyBorder="1"/>
    <xf numFmtId="0" fontId="1" fillId="0" borderId="9" xfId="0" applyFont="1" applyBorder="1"/>
    <xf numFmtId="0" fontId="1" fillId="0" borderId="8" xfId="0" applyFont="1" applyBorder="1"/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6" xfId="0" applyFont="1" applyBorder="1" applyAlignment="1"/>
    <xf numFmtId="2" fontId="10" fillId="0" borderId="1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 wrapText="1"/>
    </xf>
    <xf numFmtId="1" fontId="0" fillId="0" borderId="0" xfId="0" applyNumberFormat="1"/>
    <xf numFmtId="1" fontId="10" fillId="0" borderId="13" xfId="0" applyNumberFormat="1" applyFont="1" applyBorder="1" applyAlignment="1">
      <alignment horizontal="center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14" fillId="0" borderId="0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8" fillId="0" borderId="8" xfId="2" applyBorder="1" applyAlignment="1" applyProtection="1"/>
    <xf numFmtId="0" fontId="2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 vertical="top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Protection="1">
      <protection hidden="1"/>
    </xf>
    <xf numFmtId="0" fontId="17" fillId="0" borderId="3" xfId="0" applyFont="1" applyBorder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16" fillId="0" borderId="0" xfId="0" applyFont="1" applyBorder="1" applyProtection="1">
      <protection hidden="1"/>
    </xf>
    <xf numFmtId="0" fontId="2" fillId="0" borderId="7" xfId="0" quotePrefix="1" applyFont="1" applyBorder="1" applyAlignment="1" applyProtection="1">
      <protection hidden="1"/>
    </xf>
    <xf numFmtId="0" fontId="2" fillId="0" borderId="8" xfId="0" applyFont="1" applyBorder="1" applyAlignment="1" applyProtection="1">
      <protection hidden="1"/>
    </xf>
    <xf numFmtId="0" fontId="0" fillId="0" borderId="6" xfId="0" applyBorder="1" applyProtection="1">
      <protection hidden="1"/>
    </xf>
    <xf numFmtId="0" fontId="1" fillId="0" borderId="5" xfId="0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8" fillId="0" borderId="0" xfId="2" applyBorder="1" applyAlignment="1" applyProtection="1">
      <protection hidden="1"/>
    </xf>
    <xf numFmtId="0" fontId="0" fillId="2" borderId="1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2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9" fontId="0" fillId="0" borderId="0" xfId="1" applyFont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hidden="1"/>
    </xf>
    <xf numFmtId="2" fontId="12" fillId="0" borderId="0" xfId="0" applyNumberFormat="1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2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5" xfId="0" applyFill="1" applyBorder="1" applyAlignment="1" applyProtection="1">
      <alignment horizontal="left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5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0" borderId="0" xfId="2" applyAlignment="1" applyProtection="1">
      <alignment horizontal="center"/>
      <protection hidden="1"/>
    </xf>
    <xf numFmtId="2" fontId="0" fillId="5" borderId="1" xfId="0" applyNumberFormat="1" applyFill="1" applyBorder="1" applyAlignment="1" applyProtection="1">
      <alignment horizontal="center"/>
      <protection hidden="1"/>
    </xf>
    <xf numFmtId="1" fontId="0" fillId="5" borderId="1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0" fillId="6" borderId="0" xfId="0" applyFill="1"/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hidden="1"/>
    </xf>
    <xf numFmtId="0" fontId="0" fillId="5" borderId="6" xfId="0" applyFill="1" applyBorder="1" applyProtection="1">
      <protection hidden="1"/>
    </xf>
    <xf numFmtId="165" fontId="22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" fontId="0" fillId="0" borderId="1" xfId="0" applyNumberFormat="1" applyBorder="1" applyProtection="1">
      <protection hidden="1"/>
    </xf>
    <xf numFmtId="0" fontId="8" fillId="0" borderId="5" xfId="2" applyBorder="1" applyAlignment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26" fillId="23" borderId="10" xfId="40" applyFont="1" applyFill="1" applyBorder="1" applyAlignment="1" applyProtection="1">
      <alignment horizontal="center" vertical="center" wrapText="1"/>
      <protection hidden="1"/>
    </xf>
    <xf numFmtId="9" fontId="0" fillId="2" borderId="1" xfId="1" applyFont="1" applyFill="1" applyBorder="1" applyAlignment="1" applyProtection="1">
      <alignment horizontal="center"/>
      <protection locked="0"/>
    </xf>
    <xf numFmtId="9" fontId="0" fillId="0" borderId="0" xfId="0" applyNumberFormat="1" applyProtection="1">
      <protection hidden="1"/>
    </xf>
    <xf numFmtId="1" fontId="0" fillId="2" borderId="1" xfId="1" applyNumberFormat="1" applyFont="1" applyFill="1" applyBorder="1" applyAlignment="1" applyProtection="1">
      <alignment horizontal="center"/>
      <protection locked="0"/>
    </xf>
    <xf numFmtId="9" fontId="0" fillId="0" borderId="0" xfId="1" applyFont="1" applyProtection="1">
      <protection hidden="1"/>
    </xf>
    <xf numFmtId="9" fontId="1" fillId="4" borderId="26" xfId="0" applyNumberFormat="1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10" fontId="1" fillId="4" borderId="39" xfId="0" applyNumberFormat="1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167" fontId="44" fillId="4" borderId="39" xfId="0" applyNumberFormat="1" applyFont="1" applyFill="1" applyBorder="1" applyAlignment="1">
      <alignment horizontal="center"/>
    </xf>
    <xf numFmtId="0" fontId="44" fillId="4" borderId="40" xfId="0" applyFont="1" applyFill="1" applyBorder="1" applyAlignment="1">
      <alignment horizontal="center"/>
    </xf>
    <xf numFmtId="10" fontId="44" fillId="4" borderId="39" xfId="0" applyNumberFormat="1" applyFont="1" applyFill="1" applyBorder="1" applyAlignment="1">
      <alignment horizontal="center"/>
    </xf>
    <xf numFmtId="9" fontId="1" fillId="4" borderId="32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10" fontId="1" fillId="4" borderId="32" xfId="0" applyNumberFormat="1" applyFont="1" applyFill="1" applyBorder="1" applyAlignment="1">
      <alignment horizontal="center"/>
    </xf>
    <xf numFmtId="167" fontId="44" fillId="4" borderId="32" xfId="0" applyNumberFormat="1" applyFont="1" applyFill="1" applyBorder="1" applyAlignment="1">
      <alignment horizontal="center"/>
    </xf>
    <xf numFmtId="0" fontId="44" fillId="4" borderId="33" xfId="0" applyFont="1" applyFill="1" applyBorder="1" applyAlignment="1">
      <alignment horizontal="center"/>
    </xf>
    <xf numFmtId="10" fontId="44" fillId="4" borderId="32" xfId="0" applyNumberFormat="1" applyFont="1" applyFill="1" applyBorder="1" applyAlignment="1">
      <alignment horizontal="center"/>
    </xf>
    <xf numFmtId="10" fontId="0" fillId="4" borderId="32" xfId="0" applyNumberFormat="1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/>
    </xf>
    <xf numFmtId="10" fontId="0" fillId="5" borderId="32" xfId="0" applyNumberFormat="1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7" fontId="1" fillId="0" borderId="32" xfId="0" applyNumberFormat="1" applyFont="1" applyBorder="1" applyAlignment="1">
      <alignment horizontal="center"/>
    </xf>
    <xf numFmtId="167" fontId="1" fillId="0" borderId="35" xfId="0" applyNumberFormat="1" applyFont="1" applyBorder="1" applyAlignment="1">
      <alignment horizontal="center"/>
    </xf>
    <xf numFmtId="9" fontId="1" fillId="0" borderId="27" xfId="0" applyNumberFormat="1" applyFont="1" applyBorder="1" applyAlignment="1">
      <alignment horizontal="center"/>
    </xf>
    <xf numFmtId="0" fontId="0" fillId="0" borderId="0" xfId="0" applyBorder="1" applyAlignment="1" applyProtection="1">
      <alignment horizontal="left"/>
      <protection hidden="1"/>
    </xf>
    <xf numFmtId="0" fontId="45" fillId="0" borderId="5" xfId="0" applyFont="1" applyBorder="1" applyAlignment="1" applyProtection="1">
      <alignment horizontal="left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0" xfId="0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45" fillId="5" borderId="5" xfId="0" applyFont="1" applyFill="1" applyBorder="1" applyAlignment="1" applyProtection="1">
      <alignment horizontal="left"/>
      <protection hidden="1"/>
    </xf>
    <xf numFmtId="9" fontId="46" fillId="0" borderId="0" xfId="1" applyFont="1" applyAlignment="1" applyProtection="1">
      <alignment horizontal="center"/>
      <protection hidden="1"/>
    </xf>
    <xf numFmtId="9" fontId="46" fillId="0" borderId="0" xfId="1" applyFont="1" applyBorder="1" applyAlignment="1" applyProtection="1">
      <alignment horizontal="center"/>
      <protection hidden="1"/>
    </xf>
    <xf numFmtId="1" fontId="0" fillId="0" borderId="6" xfId="0" applyNumberFormat="1" applyBorder="1" applyProtection="1">
      <protection hidden="1"/>
    </xf>
    <xf numFmtId="166" fontId="25" fillId="22" borderId="26" xfId="40" applyNumberFormat="1" applyFont="1" applyFill="1" applyBorder="1" applyAlignment="1" applyProtection="1">
      <alignment horizontal="left" vertical="top" wrapText="1"/>
      <protection hidden="1"/>
    </xf>
    <xf numFmtId="166" fontId="25" fillId="22" borderId="32" xfId="40" applyNumberFormat="1" applyFont="1" applyFill="1" applyBorder="1" applyAlignment="1" applyProtection="1">
      <alignment horizontal="left" vertical="top" wrapText="1"/>
      <protection hidden="1"/>
    </xf>
    <xf numFmtId="166" fontId="25" fillId="22" borderId="35" xfId="40" applyNumberFormat="1" applyFont="1" applyFill="1" applyBorder="1" applyAlignment="1" applyProtection="1">
      <alignment horizontal="left" vertical="top" wrapText="1"/>
      <protection hidden="1"/>
    </xf>
    <xf numFmtId="166" fontId="25" fillId="22" borderId="27" xfId="40" applyNumberFormat="1" applyFont="1" applyFill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26" fillId="23" borderId="36" xfId="3" applyFont="1" applyFill="1" applyBorder="1" applyAlignment="1" applyProtection="1">
      <alignment horizontal="left" vertical="center"/>
      <protection hidden="1"/>
    </xf>
    <xf numFmtId="0" fontId="26" fillId="23" borderId="0" xfId="3" applyFont="1" applyFill="1" applyBorder="1" applyAlignment="1" applyProtection="1">
      <alignment horizontal="left" vertical="center"/>
      <protection hidden="1"/>
    </xf>
    <xf numFmtId="0" fontId="25" fillId="22" borderId="37" xfId="3" applyFont="1" applyFill="1" applyBorder="1" applyAlignment="1" applyProtection="1">
      <alignment horizontal="left" vertical="top" wrapText="1"/>
      <protection hidden="1"/>
    </xf>
    <xf numFmtId="0" fontId="25" fillId="22" borderId="38" xfId="3" applyFont="1" applyFill="1" applyBorder="1" applyAlignment="1" applyProtection="1">
      <alignment horizontal="left" vertical="top" wrapText="1"/>
      <protection hidden="1"/>
    </xf>
    <xf numFmtId="0" fontId="25" fillId="22" borderId="34" xfId="3" applyFont="1" applyFill="1" applyBorder="1" applyAlignment="1" applyProtection="1">
      <alignment horizontal="left" wrapText="1"/>
      <protection hidden="1"/>
    </xf>
    <xf numFmtId="0" fontId="25" fillId="22" borderId="42" xfId="3" applyFont="1" applyFill="1" applyBorder="1" applyAlignment="1" applyProtection="1">
      <alignment horizontal="left" wrapText="1"/>
      <protection hidden="1"/>
    </xf>
    <xf numFmtId="0" fontId="0" fillId="0" borderId="0" xfId="0" applyAlignment="1">
      <alignment horizontal="center"/>
    </xf>
    <xf numFmtId="0" fontId="25" fillId="22" borderId="41" xfId="3" applyFont="1" applyFill="1" applyBorder="1" applyAlignment="1" applyProtection="1">
      <alignment horizontal="left" vertical="top" wrapText="1"/>
      <protection hidden="1"/>
    </xf>
    <xf numFmtId="0" fontId="25" fillId="22" borderId="33" xfId="3" applyFont="1" applyFill="1" applyBorder="1" applyAlignment="1" applyProtection="1">
      <alignment horizontal="left" vertical="top" wrapText="1"/>
      <protection hidden="1"/>
    </xf>
    <xf numFmtId="0" fontId="25" fillId="22" borderId="41" xfId="3" applyFont="1" applyFill="1" applyBorder="1" applyAlignment="1" applyProtection="1">
      <alignment horizontal="left" wrapText="1"/>
      <protection hidden="1"/>
    </xf>
    <xf numFmtId="0" fontId="25" fillId="22" borderId="33" xfId="3" applyFont="1" applyFill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1" fillId="0" borderId="6" xfId="0" applyFont="1" applyBorder="1" applyAlignment="1" applyProtection="1">
      <alignment horizontal="left" wrapText="1"/>
      <protection hidden="1"/>
    </xf>
    <xf numFmtId="0" fontId="2" fillId="0" borderId="0" xfId="0" quotePrefix="1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0" fillId="0" borderId="0" xfId="0" quotePrefix="1" applyFont="1" applyBorder="1" applyAlignment="1" applyProtection="1">
      <alignment horizontal="left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" fillId="0" borderId="7" xfId="0" quotePrefix="1" applyFont="1" applyBorder="1" applyAlignment="1" applyProtection="1">
      <alignment horizontal="left" vertical="top"/>
      <protection hidden="1"/>
    </xf>
    <xf numFmtId="0" fontId="2" fillId="0" borderId="8" xfId="0" applyFont="1" applyBorder="1" applyAlignment="1" applyProtection="1">
      <alignment horizontal="left" vertical="top"/>
      <protection hidden="1"/>
    </xf>
    <xf numFmtId="0" fontId="17" fillId="0" borderId="0" xfId="0" applyFont="1" applyBorder="1" applyAlignment="1" applyProtection="1">
      <alignment horizontal="center" wrapText="1"/>
      <protection hidden="1"/>
    </xf>
    <xf numFmtId="0" fontId="2" fillId="0" borderId="0" xfId="0" quotePrefix="1" applyFont="1" applyBorder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0" fontId="14" fillId="0" borderId="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" fontId="0" fillId="3" borderId="15" xfId="0" applyNumberFormat="1" applyFill="1" applyBorder="1" applyAlignment="1" applyProtection="1">
      <alignment horizontal="center" vertical="center"/>
      <protection hidden="1"/>
    </xf>
    <xf numFmtId="1" fontId="0" fillId="3" borderId="16" xfId="0" applyNumberFormat="1" applyFill="1" applyBorder="1" applyAlignment="1" applyProtection="1">
      <alignment horizontal="center" vertical="center"/>
      <protection hidden="1"/>
    </xf>
  </cellXfs>
  <cellStyles count="54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alculation 3" xfId="4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2" builtinId="8"/>
    <cellStyle name="Input 2" xfId="37"/>
    <cellStyle name="Input 3" xfId="50"/>
    <cellStyle name="Linked Cell 2" xfId="38"/>
    <cellStyle name="Neutral 2" xfId="39"/>
    <cellStyle name="Normal" xfId="0" builtinId="0"/>
    <cellStyle name="Normal 2" xfId="47"/>
    <cellStyle name="Normal 3" xfId="48"/>
    <cellStyle name="Normal 4" xfId="3"/>
    <cellStyle name="Normal_office interiors edit.xls" xfId="40"/>
    <cellStyle name="Note 2" xfId="41"/>
    <cellStyle name="Note 3" xfId="51"/>
    <cellStyle name="Output 2" xfId="42"/>
    <cellStyle name="Output 3" xfId="52"/>
    <cellStyle name="Percent" xfId="1" builtinId="5"/>
    <cellStyle name="Percent 2" xfId="43"/>
    <cellStyle name="Title 2" xfId="44"/>
    <cellStyle name="Total 2" xfId="45"/>
    <cellStyle name="Total 3" xfId="53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ffice bechmark tool'!A1"/><Relationship Id="rId7" Type="http://schemas.openxmlformats.org/officeDocument/2006/relationships/image" Target="../media/image7.jpeg"/><Relationship Id="rId2" Type="http://schemas.openxmlformats.org/officeDocument/2006/relationships/hyperlink" Target="http://www.gbcsa.org.za/other-tools/energy-water-benchmark/" TargetMode="External"/><Relationship Id="rId1" Type="http://schemas.openxmlformats.org/officeDocument/2006/relationships/image" Target="../media/image1.gif"/><Relationship Id="rId6" Type="http://schemas.openxmlformats.org/officeDocument/2006/relationships/hyperlink" Target="#'Option 2 Input sheet'!A1"/><Relationship Id="rId5" Type="http://schemas.openxmlformats.org/officeDocument/2006/relationships/hyperlink" Target="#'Option 1 Input sheet'!A1"/><Relationship Id="rId4" Type="http://schemas.openxmlformats.org/officeDocument/2006/relationships/hyperlink" Target="#'SANS Input shee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8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5</xdr:col>
      <xdr:colOff>419100</xdr:colOff>
      <xdr:row>4</xdr:row>
      <xdr:rowOff>76200</xdr:rowOff>
    </xdr:to>
    <xdr:pic>
      <xdr:nvPicPr>
        <xdr:cNvPr id="1025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61925"/>
          <a:ext cx="284797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381001</xdr:colOff>
      <xdr:row>12</xdr:row>
      <xdr:rowOff>83089</xdr:rowOff>
    </xdr:from>
    <xdr:to>
      <xdr:col>12</xdr:col>
      <xdr:colOff>342901</xdr:colOff>
      <xdr:row>21</xdr:row>
      <xdr:rowOff>66674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38601" y="1826164"/>
          <a:ext cx="3619500" cy="1698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381000</xdr:colOff>
      <xdr:row>26</xdr:row>
      <xdr:rowOff>111470</xdr:rowOff>
    </xdr:from>
    <xdr:to>
      <xdr:col>6</xdr:col>
      <xdr:colOff>400050</xdr:colOff>
      <xdr:row>34</xdr:row>
      <xdr:rowOff>161925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0" y="4521545"/>
          <a:ext cx="3067050" cy="1574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9525</xdr:colOff>
      <xdr:row>26</xdr:row>
      <xdr:rowOff>104775</xdr:rowOff>
    </xdr:from>
    <xdr:to>
      <xdr:col>12</xdr:col>
      <xdr:colOff>191303</xdr:colOff>
      <xdr:row>37</xdr:row>
      <xdr:rowOff>47624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76725" y="4514850"/>
          <a:ext cx="3229778" cy="2038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528923</xdr:colOff>
      <xdr:row>26</xdr:row>
      <xdr:rowOff>76199</xdr:rowOff>
    </xdr:from>
    <xdr:to>
      <xdr:col>17</xdr:col>
      <xdr:colOff>180975</xdr:colOff>
      <xdr:row>38</xdr:row>
      <xdr:rowOff>33946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44123" y="4486274"/>
          <a:ext cx="2700052" cy="22437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85725</xdr:colOff>
      <xdr:row>17</xdr:row>
      <xdr:rowOff>47625</xdr:rowOff>
    </xdr:from>
    <xdr:to>
      <xdr:col>9</xdr:col>
      <xdr:colOff>95251</xdr:colOff>
      <xdr:row>26</xdr:row>
      <xdr:rowOff>111470</xdr:rowOff>
    </xdr:to>
    <xdr:cxnSp macro="">
      <xdr:nvCxnSpPr>
        <xdr:cNvPr id="8" name="Straight Arrow Connector 7"/>
        <xdr:cNvCxnSpPr>
          <a:endCxn id="3074" idx="0"/>
        </xdr:cNvCxnSpPr>
      </xdr:nvCxnSpPr>
      <xdr:spPr>
        <a:xfrm flipH="1">
          <a:off x="2524125" y="2743200"/>
          <a:ext cx="3057526" cy="17783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405214</xdr:colOff>
      <xdr:row>15</xdr:row>
      <xdr:rowOff>142875</xdr:rowOff>
    </xdr:from>
    <xdr:to>
      <xdr:col>10</xdr:col>
      <xdr:colOff>104775</xdr:colOff>
      <xdr:row>26</xdr:row>
      <xdr:rowOff>104775</xdr:rowOff>
    </xdr:to>
    <xdr:cxnSp macro="">
      <xdr:nvCxnSpPr>
        <xdr:cNvPr id="10" name="Straight Arrow Connector 9"/>
        <xdr:cNvCxnSpPr>
          <a:endCxn id="3075" idx="0"/>
        </xdr:cNvCxnSpPr>
      </xdr:nvCxnSpPr>
      <xdr:spPr>
        <a:xfrm flipH="1">
          <a:off x="5891614" y="2457450"/>
          <a:ext cx="309161" cy="2057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104775</xdr:colOff>
      <xdr:row>15</xdr:row>
      <xdr:rowOff>85725</xdr:rowOff>
    </xdr:from>
    <xdr:to>
      <xdr:col>15</xdr:col>
      <xdr:colOff>50149</xdr:colOff>
      <xdr:row>26</xdr:row>
      <xdr:rowOff>76199</xdr:rowOff>
    </xdr:to>
    <xdr:cxnSp macro="">
      <xdr:nvCxnSpPr>
        <xdr:cNvPr id="12" name="Straight Arrow Connector 11"/>
        <xdr:cNvCxnSpPr>
          <a:endCxn id="3076" idx="0"/>
        </xdr:cNvCxnSpPr>
      </xdr:nvCxnSpPr>
      <xdr:spPr>
        <a:xfrm>
          <a:off x="6810375" y="2400300"/>
          <a:ext cx="2383774" cy="20859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37</xdr:row>
      <xdr:rowOff>9526</xdr:rowOff>
    </xdr:from>
    <xdr:to>
      <xdr:col>5</xdr:col>
      <xdr:colOff>19050</xdr:colOff>
      <xdr:row>40</xdr:row>
      <xdr:rowOff>85725</xdr:rowOff>
    </xdr:to>
    <xdr:sp macro="" textlink="">
      <xdr:nvSpPr>
        <xdr:cNvPr id="11" name="TextBox 10"/>
        <xdr:cNvSpPr txBox="1"/>
      </xdr:nvSpPr>
      <xdr:spPr>
        <a:xfrm>
          <a:off x="1981200" y="7086601"/>
          <a:ext cx="1085850" cy="647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/>
            <a:t>Input results in Office benchmark tool tab</a:t>
          </a:r>
        </a:p>
      </xdr:txBody>
    </xdr:sp>
    <xdr:clientData/>
  </xdr:twoCellAnchor>
  <xdr:twoCellAnchor>
    <xdr:from>
      <xdr:col>4</xdr:col>
      <xdr:colOff>85725</xdr:colOff>
      <xdr:row>34</xdr:row>
      <xdr:rowOff>161925</xdr:rowOff>
    </xdr:from>
    <xdr:to>
      <xdr:col>4</xdr:col>
      <xdr:colOff>85725</xdr:colOff>
      <xdr:row>37</xdr:row>
      <xdr:rowOff>9526</xdr:rowOff>
    </xdr:to>
    <xdr:cxnSp macro="">
      <xdr:nvCxnSpPr>
        <xdr:cNvPr id="14" name="Straight Arrow Connector 13"/>
        <xdr:cNvCxnSpPr>
          <a:stCxn id="3074" idx="2"/>
          <a:endCxn id="11" idx="0"/>
        </xdr:cNvCxnSpPr>
      </xdr:nvCxnSpPr>
      <xdr:spPr>
        <a:xfrm>
          <a:off x="2524125" y="6667500"/>
          <a:ext cx="0" cy="4191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152399</xdr:colOff>
      <xdr:row>16</xdr:row>
      <xdr:rowOff>170132</xdr:rowOff>
    </xdr:from>
    <xdr:to>
      <xdr:col>6</xdr:col>
      <xdr:colOff>381000</xdr:colOff>
      <xdr:row>38</xdr:row>
      <xdr:rowOff>142876</xdr:rowOff>
    </xdr:to>
    <xdr:cxnSp macro="">
      <xdr:nvCxnSpPr>
        <xdr:cNvPr id="17" name="Elbow Connector 16"/>
        <xdr:cNvCxnSpPr>
          <a:stCxn id="11" idx="1"/>
          <a:endCxn id="3073" idx="1"/>
        </xdr:cNvCxnSpPr>
      </xdr:nvCxnSpPr>
      <xdr:spPr>
        <a:xfrm rot="10800000" flipH="1">
          <a:off x="1981199" y="3246707"/>
          <a:ext cx="2057401" cy="4163744"/>
        </a:xfrm>
        <a:prstGeom prst="bentConnector3">
          <a:avLst>
            <a:gd name="adj1" fmla="val -6342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238124</xdr:colOff>
      <xdr:row>13</xdr:row>
      <xdr:rowOff>18867</xdr:rowOff>
    </xdr:from>
    <xdr:to>
      <xdr:col>23</xdr:col>
      <xdr:colOff>76199</xdr:colOff>
      <xdr:row>24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01324" y="2523942"/>
          <a:ext cx="3495675" cy="21242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361950</xdr:colOff>
      <xdr:row>17</xdr:row>
      <xdr:rowOff>114300</xdr:rowOff>
    </xdr:from>
    <xdr:to>
      <xdr:col>17</xdr:col>
      <xdr:colOff>85725</xdr:colOff>
      <xdr:row>18</xdr:row>
      <xdr:rowOff>171450</xdr:rowOff>
    </xdr:to>
    <xdr:cxnSp macro="">
      <xdr:nvCxnSpPr>
        <xdr:cNvPr id="16" name="Straight Arrow Connector 15"/>
        <xdr:cNvCxnSpPr/>
      </xdr:nvCxnSpPr>
      <xdr:spPr>
        <a:xfrm flipV="1">
          <a:off x="7677150" y="3381375"/>
          <a:ext cx="277177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1333109</xdr:colOff>
      <xdr:row>3</xdr:row>
      <xdr:rowOff>88106</xdr:rowOff>
    </xdr:to>
    <xdr:pic>
      <xdr:nvPicPr>
        <xdr:cNvPr id="5" name="Picture 4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109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409575</xdr:colOff>
      <xdr:row>4</xdr:row>
      <xdr:rowOff>133350</xdr:rowOff>
    </xdr:to>
    <xdr:pic>
      <xdr:nvPicPr>
        <xdr:cNvPr id="3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19075"/>
          <a:ext cx="2847975" cy="6953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294884</xdr:colOff>
      <xdr:row>2</xdr:row>
      <xdr:rowOff>66675</xdr:rowOff>
    </xdr:to>
    <xdr:pic>
      <xdr:nvPicPr>
        <xdr:cNvPr id="80" name="Picture 79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109" cy="7905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111125</xdr:colOff>
      <xdr:row>17</xdr:row>
      <xdr:rowOff>10273</xdr:rowOff>
    </xdr:from>
    <xdr:to>
      <xdr:col>16</xdr:col>
      <xdr:colOff>250825</xdr:colOff>
      <xdr:row>21</xdr:row>
      <xdr:rowOff>142875</xdr:rowOff>
    </xdr:to>
    <xdr:sp macro="" textlink="">
      <xdr:nvSpPr>
        <xdr:cNvPr id="39" name="Flowchart: Process 38"/>
        <xdr:cNvSpPr/>
      </xdr:nvSpPr>
      <xdr:spPr>
        <a:xfrm>
          <a:off x="1939925" y="3620248"/>
          <a:ext cx="8235950" cy="894602"/>
        </a:xfrm>
        <a:prstGeom prst="flowChartProcess">
          <a:avLst/>
        </a:prstGeom>
        <a:noFill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</a:p>
        <a:p>
          <a:pPr>
            <a:defRPr/>
          </a:pP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11113</xdr:colOff>
      <xdr:row>6</xdr:row>
      <xdr:rowOff>42862</xdr:rowOff>
    </xdr:from>
    <xdr:to>
      <xdr:col>8</xdr:col>
      <xdr:colOff>158750</xdr:colOff>
      <xdr:row>10</xdr:row>
      <xdr:rowOff>73025</xdr:rowOff>
    </xdr:to>
    <xdr:sp macro="" textlink="">
      <xdr:nvSpPr>
        <xdr:cNvPr id="40" name="Flowchart: Decision 39"/>
        <xdr:cNvSpPr/>
      </xdr:nvSpPr>
      <xdr:spPr>
        <a:xfrm>
          <a:off x="4278313" y="1185862"/>
          <a:ext cx="1366837" cy="792163"/>
        </a:xfrm>
        <a:prstGeom prst="flowChartDecision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Office?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542925</xdr:colOff>
      <xdr:row>6</xdr:row>
      <xdr:rowOff>144462</xdr:rowOff>
    </xdr:from>
    <xdr:to>
      <xdr:col>5</xdr:col>
      <xdr:colOff>404813</xdr:colOff>
      <xdr:row>9</xdr:row>
      <xdr:rowOff>76200</xdr:rowOff>
    </xdr:to>
    <xdr:sp macro="" textlink="">
      <xdr:nvSpPr>
        <xdr:cNvPr id="42" name="Flowchart: Process 41"/>
        <xdr:cNvSpPr/>
      </xdr:nvSpPr>
      <xdr:spPr>
        <a:xfrm>
          <a:off x="2981325" y="1287462"/>
          <a:ext cx="1081088" cy="503238"/>
        </a:xfrm>
        <a:prstGeom prst="flowChartProcess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>
              <a:solidFill>
                <a:schemeClr val="tx1"/>
              </a:solidFill>
            </a:rPr>
            <a:t>Baseline</a:t>
          </a:r>
          <a:endParaRPr lang="en-GB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350838</xdr:colOff>
      <xdr:row>6</xdr:row>
      <xdr:rowOff>71437</xdr:rowOff>
    </xdr:from>
    <xdr:to>
      <xdr:col>10</xdr:col>
      <xdr:colOff>571500</xdr:colOff>
      <xdr:row>10</xdr:row>
      <xdr:rowOff>30162</xdr:rowOff>
    </xdr:to>
    <xdr:sp macro="" textlink="">
      <xdr:nvSpPr>
        <xdr:cNvPr id="43" name="Flowchart: Decision 42"/>
        <xdr:cNvSpPr/>
      </xdr:nvSpPr>
      <xdr:spPr>
        <a:xfrm>
          <a:off x="5227638" y="1957387"/>
          <a:ext cx="1439862" cy="720725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SANS?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58738</xdr:colOff>
      <xdr:row>6</xdr:row>
      <xdr:rowOff>33337</xdr:rowOff>
    </xdr:from>
    <xdr:to>
      <xdr:col>13</xdr:col>
      <xdr:colOff>352425</xdr:colOff>
      <xdr:row>10</xdr:row>
      <xdr:rowOff>63500</xdr:rowOff>
    </xdr:to>
    <xdr:sp macro="" textlink="">
      <xdr:nvSpPr>
        <xdr:cNvPr id="44" name="Flowchart: Decision 43"/>
        <xdr:cNvSpPr/>
      </xdr:nvSpPr>
      <xdr:spPr>
        <a:xfrm>
          <a:off x="7373938" y="1176337"/>
          <a:ext cx="1512887" cy="792163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Similar?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577850</xdr:colOff>
      <xdr:row>6</xdr:row>
      <xdr:rowOff>0</xdr:rowOff>
    </xdr:from>
    <xdr:to>
      <xdr:col>16</xdr:col>
      <xdr:colOff>288925</xdr:colOff>
      <xdr:row>10</xdr:row>
      <xdr:rowOff>93662</xdr:rowOff>
    </xdr:to>
    <xdr:sp macro="" textlink="">
      <xdr:nvSpPr>
        <xdr:cNvPr id="45" name="Flowchart: Decision 44"/>
        <xdr:cNvSpPr/>
      </xdr:nvSpPr>
      <xdr:spPr>
        <a:xfrm>
          <a:off x="9112250" y="1143000"/>
          <a:ext cx="1539875" cy="855662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History?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153988</xdr:colOff>
      <xdr:row>12</xdr:row>
      <xdr:rowOff>152400</xdr:rowOff>
    </xdr:from>
    <xdr:to>
      <xdr:col>8</xdr:col>
      <xdr:colOff>15875</xdr:colOff>
      <xdr:row>15</xdr:row>
      <xdr:rowOff>85725</xdr:rowOff>
    </xdr:to>
    <xdr:sp macro="" textlink="">
      <xdr:nvSpPr>
        <xdr:cNvPr id="46" name="Flowchart: Process 45">
          <a:hlinkClick xmlns:r="http://schemas.openxmlformats.org/officeDocument/2006/relationships" r:id="rId2"/>
        </xdr:cNvPr>
        <xdr:cNvSpPr/>
      </xdr:nvSpPr>
      <xdr:spPr>
        <a:xfrm>
          <a:off x="4421188" y="2438400"/>
          <a:ext cx="1081087" cy="504825"/>
        </a:xfrm>
        <a:prstGeom prst="flowChartProcess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Benchmark tool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153988</xdr:colOff>
      <xdr:row>18</xdr:row>
      <xdr:rowOff>35673</xdr:rowOff>
    </xdr:from>
    <xdr:to>
      <xdr:col>8</xdr:col>
      <xdr:colOff>15875</xdr:colOff>
      <xdr:row>20</xdr:row>
      <xdr:rowOff>157910</xdr:rowOff>
    </xdr:to>
    <xdr:sp macro="" textlink="">
      <xdr:nvSpPr>
        <xdr:cNvPr id="47" name="Flowchart: Process 46">
          <a:hlinkClick xmlns:r="http://schemas.openxmlformats.org/officeDocument/2006/relationships" r:id="rId3"/>
        </xdr:cNvPr>
        <xdr:cNvSpPr/>
      </xdr:nvSpPr>
      <xdr:spPr>
        <a:xfrm>
          <a:off x="4389812" y="3498291"/>
          <a:ext cx="1072122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519113</xdr:colOff>
      <xdr:row>18</xdr:row>
      <xdr:rowOff>35673</xdr:rowOff>
    </xdr:from>
    <xdr:to>
      <xdr:col>10</xdr:col>
      <xdr:colOff>381000</xdr:colOff>
      <xdr:row>20</xdr:row>
      <xdr:rowOff>157910</xdr:rowOff>
    </xdr:to>
    <xdr:sp macro="" textlink="">
      <xdr:nvSpPr>
        <xdr:cNvPr id="48" name="Flowchart: Process 47">
          <a:hlinkClick xmlns:r="http://schemas.openxmlformats.org/officeDocument/2006/relationships" r:id="rId4"/>
        </xdr:cNvPr>
        <xdr:cNvSpPr/>
      </xdr:nvSpPr>
      <xdr:spPr>
        <a:xfrm>
          <a:off x="5965172" y="3498291"/>
          <a:ext cx="1072122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274638</xdr:colOff>
      <xdr:row>18</xdr:row>
      <xdr:rowOff>35673</xdr:rowOff>
    </xdr:from>
    <xdr:to>
      <xdr:col>13</xdr:col>
      <xdr:colOff>136525</xdr:colOff>
      <xdr:row>20</xdr:row>
      <xdr:rowOff>157910</xdr:rowOff>
    </xdr:to>
    <xdr:sp macro="" textlink="">
      <xdr:nvSpPr>
        <xdr:cNvPr id="49" name="Flowchart: Process 48">
          <a:hlinkClick xmlns:r="http://schemas.openxmlformats.org/officeDocument/2006/relationships" r:id="rId5"/>
        </xdr:cNvPr>
        <xdr:cNvSpPr/>
      </xdr:nvSpPr>
      <xdr:spPr>
        <a:xfrm>
          <a:off x="7536050" y="3498291"/>
          <a:ext cx="1072122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174625</xdr:colOff>
      <xdr:row>18</xdr:row>
      <xdr:rowOff>35673</xdr:rowOff>
    </xdr:from>
    <xdr:to>
      <xdr:col>16</xdr:col>
      <xdr:colOff>34925</xdr:colOff>
      <xdr:row>20</xdr:row>
      <xdr:rowOff>157910</xdr:rowOff>
    </xdr:to>
    <xdr:sp macro="" textlink="">
      <xdr:nvSpPr>
        <xdr:cNvPr id="50" name="Flowchart: Process 49">
          <a:hlinkClick xmlns:r="http://schemas.openxmlformats.org/officeDocument/2006/relationships" r:id="rId6"/>
        </xdr:cNvPr>
        <xdr:cNvSpPr/>
      </xdr:nvSpPr>
      <xdr:spPr>
        <a:xfrm>
          <a:off x="9251390" y="3498291"/>
          <a:ext cx="1070535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369888</xdr:colOff>
      <xdr:row>22</xdr:row>
      <xdr:rowOff>83298</xdr:rowOff>
    </xdr:from>
    <xdr:to>
      <xdr:col>7</xdr:col>
      <xdr:colOff>409575</xdr:colOff>
      <xdr:row>23</xdr:row>
      <xdr:rowOff>169023</xdr:rowOff>
    </xdr:to>
    <xdr:sp macro="" textlink="">
      <xdr:nvSpPr>
        <xdr:cNvPr id="51" name="TextBox 20"/>
        <xdr:cNvSpPr txBox="1">
          <a:spLocks noChangeArrowheads="1"/>
        </xdr:cNvSpPr>
      </xdr:nvSpPr>
      <xdr:spPr bwMode="auto">
        <a:xfrm>
          <a:off x="4198938" y="4645773"/>
          <a:ext cx="64928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5</xdr:col>
      <xdr:colOff>404813</xdr:colOff>
      <xdr:row>8</xdr:row>
      <xdr:rowOff>50800</xdr:rowOff>
    </xdr:from>
    <xdr:to>
      <xdr:col>6</xdr:col>
      <xdr:colOff>82550</xdr:colOff>
      <xdr:row>8</xdr:row>
      <xdr:rowOff>52387</xdr:rowOff>
    </xdr:to>
    <xdr:cxnSp macro="">
      <xdr:nvCxnSpPr>
        <xdr:cNvPr id="53" name="Straight Arrow Connector 52"/>
        <xdr:cNvCxnSpPr/>
      </xdr:nvCxnSpPr>
      <xdr:spPr>
        <a:xfrm>
          <a:off x="4062413" y="1574800"/>
          <a:ext cx="287337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158750</xdr:colOff>
      <xdr:row>8</xdr:row>
      <xdr:rowOff>50800</xdr:rowOff>
    </xdr:from>
    <xdr:to>
      <xdr:col>8</xdr:col>
      <xdr:colOff>447675</xdr:colOff>
      <xdr:row>8</xdr:row>
      <xdr:rowOff>52387</xdr:rowOff>
    </xdr:to>
    <xdr:cxnSp macro="">
      <xdr:nvCxnSpPr>
        <xdr:cNvPr id="54" name="Straight Arrow Connector 53"/>
        <xdr:cNvCxnSpPr/>
      </xdr:nvCxnSpPr>
      <xdr:spPr>
        <a:xfrm>
          <a:off x="5645150" y="1574800"/>
          <a:ext cx="288925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8</xdr:row>
      <xdr:rowOff>50800</xdr:rowOff>
    </xdr:from>
    <xdr:to>
      <xdr:col>11</xdr:col>
      <xdr:colOff>203200</xdr:colOff>
      <xdr:row>8</xdr:row>
      <xdr:rowOff>52387</xdr:rowOff>
    </xdr:to>
    <xdr:cxnSp macro="">
      <xdr:nvCxnSpPr>
        <xdr:cNvPr id="55" name="Straight Arrow Connector 54"/>
        <xdr:cNvCxnSpPr/>
      </xdr:nvCxnSpPr>
      <xdr:spPr>
        <a:xfrm>
          <a:off x="7229475" y="1574800"/>
          <a:ext cx="288925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8</xdr:row>
      <xdr:rowOff>50800</xdr:rowOff>
    </xdr:from>
    <xdr:to>
      <xdr:col>14</xdr:col>
      <xdr:colOff>30163</xdr:colOff>
      <xdr:row>8</xdr:row>
      <xdr:rowOff>52387</xdr:rowOff>
    </xdr:to>
    <xdr:cxnSp macro="">
      <xdr:nvCxnSpPr>
        <xdr:cNvPr id="56" name="Straight Arrow Connector 55"/>
        <xdr:cNvCxnSpPr/>
      </xdr:nvCxnSpPr>
      <xdr:spPr>
        <a:xfrm>
          <a:off x="8886825" y="1574800"/>
          <a:ext cx="287338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84932</xdr:colOff>
      <xdr:row>10</xdr:row>
      <xdr:rowOff>73025</xdr:rowOff>
    </xdr:from>
    <xdr:to>
      <xdr:col>7</xdr:col>
      <xdr:colOff>84932</xdr:colOff>
      <xdr:row>12</xdr:row>
      <xdr:rowOff>152400</xdr:rowOff>
    </xdr:to>
    <xdr:cxnSp macro="">
      <xdr:nvCxnSpPr>
        <xdr:cNvPr id="57" name="Straight Arrow Connector 56"/>
        <xdr:cNvCxnSpPr>
          <a:stCxn id="40" idx="2"/>
          <a:endCxn id="46" idx="0"/>
        </xdr:cNvCxnSpPr>
      </xdr:nvCxnSpPr>
      <xdr:spPr>
        <a:xfrm>
          <a:off x="4961732" y="1978025"/>
          <a:ext cx="0" cy="4603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84932</xdr:colOff>
      <xdr:row>15</xdr:row>
      <xdr:rowOff>85725</xdr:rowOff>
    </xdr:from>
    <xdr:to>
      <xdr:col>7</xdr:col>
      <xdr:colOff>84932</xdr:colOff>
      <xdr:row>18</xdr:row>
      <xdr:rowOff>35673</xdr:rowOff>
    </xdr:to>
    <xdr:cxnSp macro="">
      <xdr:nvCxnSpPr>
        <xdr:cNvPr id="58" name="Straight Arrow Connector 57"/>
        <xdr:cNvCxnSpPr>
          <a:stCxn id="46" idx="2"/>
          <a:endCxn id="47" idx="0"/>
        </xdr:cNvCxnSpPr>
      </xdr:nvCxnSpPr>
      <xdr:spPr>
        <a:xfrm>
          <a:off x="4925873" y="2976843"/>
          <a:ext cx="0" cy="52144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450057</xdr:colOff>
      <xdr:row>10</xdr:row>
      <xdr:rowOff>30162</xdr:rowOff>
    </xdr:from>
    <xdr:to>
      <xdr:col>9</xdr:col>
      <xdr:colOff>461170</xdr:colOff>
      <xdr:row>18</xdr:row>
      <xdr:rowOff>35673</xdr:rowOff>
    </xdr:to>
    <xdr:cxnSp macro="">
      <xdr:nvCxnSpPr>
        <xdr:cNvPr id="59" name="Straight Arrow Connector 58"/>
        <xdr:cNvCxnSpPr>
          <a:stCxn id="43" idx="2"/>
          <a:endCxn id="48" idx="0"/>
        </xdr:cNvCxnSpPr>
      </xdr:nvCxnSpPr>
      <xdr:spPr>
        <a:xfrm flipH="1">
          <a:off x="6501233" y="1968780"/>
          <a:ext cx="11113" cy="152951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205582</xdr:colOff>
      <xdr:row>10</xdr:row>
      <xdr:rowOff>63500</xdr:rowOff>
    </xdr:from>
    <xdr:to>
      <xdr:col>12</xdr:col>
      <xdr:colOff>205582</xdr:colOff>
      <xdr:row>18</xdr:row>
      <xdr:rowOff>35673</xdr:rowOff>
    </xdr:to>
    <xdr:cxnSp macro="">
      <xdr:nvCxnSpPr>
        <xdr:cNvPr id="60" name="Straight Arrow Connector 59"/>
        <xdr:cNvCxnSpPr>
          <a:stCxn id="44" idx="2"/>
          <a:endCxn id="49" idx="0"/>
        </xdr:cNvCxnSpPr>
      </xdr:nvCxnSpPr>
      <xdr:spPr>
        <a:xfrm>
          <a:off x="8072111" y="2002118"/>
          <a:ext cx="0" cy="149617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104776</xdr:colOff>
      <xdr:row>10</xdr:row>
      <xdr:rowOff>93662</xdr:rowOff>
    </xdr:from>
    <xdr:to>
      <xdr:col>15</xdr:col>
      <xdr:colOff>130829</xdr:colOff>
      <xdr:row>18</xdr:row>
      <xdr:rowOff>35673</xdr:rowOff>
    </xdr:to>
    <xdr:cxnSp macro="">
      <xdr:nvCxnSpPr>
        <xdr:cNvPr id="61" name="Straight Arrow Connector 60"/>
        <xdr:cNvCxnSpPr>
          <a:stCxn id="45" idx="2"/>
          <a:endCxn id="50" idx="0"/>
        </xdr:cNvCxnSpPr>
      </xdr:nvCxnSpPr>
      <xdr:spPr>
        <a:xfrm flipH="1">
          <a:off x="9786658" y="2032280"/>
          <a:ext cx="26053" cy="146601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128588</xdr:colOff>
      <xdr:row>22</xdr:row>
      <xdr:rowOff>91235</xdr:rowOff>
    </xdr:from>
    <xdr:to>
      <xdr:col>10</xdr:col>
      <xdr:colOff>166688</xdr:colOff>
      <xdr:row>23</xdr:row>
      <xdr:rowOff>178548</xdr:rowOff>
    </xdr:to>
    <xdr:sp macro="" textlink="">
      <xdr:nvSpPr>
        <xdr:cNvPr id="63" name="TextBox 48"/>
        <xdr:cNvSpPr txBox="1">
          <a:spLocks noChangeArrowheads="1"/>
        </xdr:cNvSpPr>
      </xdr:nvSpPr>
      <xdr:spPr bwMode="auto">
        <a:xfrm>
          <a:off x="5786438" y="4653710"/>
          <a:ext cx="647700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11</xdr:col>
      <xdr:colOff>488950</xdr:colOff>
      <xdr:row>22</xdr:row>
      <xdr:rowOff>91235</xdr:rowOff>
    </xdr:from>
    <xdr:to>
      <xdr:col>12</xdr:col>
      <xdr:colOff>528638</xdr:colOff>
      <xdr:row>23</xdr:row>
      <xdr:rowOff>178548</xdr:rowOff>
    </xdr:to>
    <xdr:sp macro="" textlink="">
      <xdr:nvSpPr>
        <xdr:cNvPr id="65" name="TextBox 50"/>
        <xdr:cNvSpPr txBox="1">
          <a:spLocks noChangeArrowheads="1"/>
        </xdr:cNvSpPr>
      </xdr:nvSpPr>
      <xdr:spPr bwMode="auto">
        <a:xfrm>
          <a:off x="7366000" y="4653710"/>
          <a:ext cx="649288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14</xdr:col>
      <xdr:colOff>388938</xdr:colOff>
      <xdr:row>22</xdr:row>
      <xdr:rowOff>81710</xdr:rowOff>
    </xdr:from>
    <xdr:to>
      <xdr:col>15</xdr:col>
      <xdr:colOff>427038</xdr:colOff>
      <xdr:row>23</xdr:row>
      <xdr:rowOff>169023</xdr:rowOff>
    </xdr:to>
    <xdr:sp macro="" textlink="">
      <xdr:nvSpPr>
        <xdr:cNvPr id="67" name="TextBox 52"/>
        <xdr:cNvSpPr txBox="1">
          <a:spLocks noChangeArrowheads="1"/>
        </xdr:cNvSpPr>
      </xdr:nvSpPr>
      <xdr:spPr bwMode="auto">
        <a:xfrm>
          <a:off x="9094788" y="4644185"/>
          <a:ext cx="647700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15</xdr:col>
      <xdr:colOff>104775</xdr:colOff>
      <xdr:row>20</xdr:row>
      <xdr:rowOff>157910</xdr:rowOff>
    </xdr:from>
    <xdr:to>
      <xdr:col>15</xdr:col>
      <xdr:colOff>104775</xdr:colOff>
      <xdr:row>22</xdr:row>
      <xdr:rowOff>142875</xdr:rowOff>
    </xdr:to>
    <xdr:cxnSp macro="">
      <xdr:nvCxnSpPr>
        <xdr:cNvPr id="68" name="Straight Arrow Connector 67"/>
        <xdr:cNvCxnSpPr>
          <a:stCxn id="50" idx="2"/>
        </xdr:cNvCxnSpPr>
      </xdr:nvCxnSpPr>
      <xdr:spPr>
        <a:xfrm>
          <a:off x="9420225" y="4339385"/>
          <a:ext cx="0" cy="36596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141288</xdr:colOff>
      <xdr:row>11</xdr:row>
      <xdr:rowOff>55562</xdr:rowOff>
    </xdr:from>
    <xdr:to>
      <xdr:col>15</xdr:col>
      <xdr:colOff>428625</xdr:colOff>
      <xdr:row>12</xdr:row>
      <xdr:rowOff>141287</xdr:rowOff>
    </xdr:to>
    <xdr:sp macro="" textlink="">
      <xdr:nvSpPr>
        <xdr:cNvPr id="69" name="TextBox 54"/>
        <xdr:cNvSpPr txBox="1">
          <a:spLocks noChangeArrowheads="1"/>
        </xdr:cNvSpPr>
      </xdr:nvSpPr>
      <xdr:spPr bwMode="auto">
        <a:xfrm>
          <a:off x="9894888" y="2151062"/>
          <a:ext cx="28733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10</xdr:col>
      <xdr:colOff>452438</xdr:colOff>
      <xdr:row>6</xdr:row>
      <xdr:rowOff>144462</xdr:rowOff>
    </xdr:from>
    <xdr:to>
      <xdr:col>11</xdr:col>
      <xdr:colOff>130175</xdr:colOff>
      <xdr:row>8</xdr:row>
      <xdr:rowOff>39687</xdr:rowOff>
    </xdr:to>
    <xdr:sp macro="" textlink="">
      <xdr:nvSpPr>
        <xdr:cNvPr id="70" name="TextBox 55"/>
        <xdr:cNvSpPr txBox="1">
          <a:spLocks noChangeArrowheads="1"/>
        </xdr:cNvSpPr>
      </xdr:nvSpPr>
      <xdr:spPr bwMode="auto">
        <a:xfrm>
          <a:off x="7158038" y="1287462"/>
          <a:ext cx="28733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N</a:t>
          </a:r>
          <a:endParaRPr lang="en-GB" sz="1200"/>
        </a:p>
      </xdr:txBody>
    </xdr:sp>
    <xdr:clientData/>
  </xdr:twoCellAnchor>
  <xdr:twoCellAnchor>
    <xdr:from>
      <xdr:col>7</xdr:col>
      <xdr:colOff>49213</xdr:colOff>
      <xdr:row>10</xdr:row>
      <xdr:rowOff>173037</xdr:rowOff>
    </xdr:from>
    <xdr:to>
      <xdr:col>7</xdr:col>
      <xdr:colOff>336550</xdr:colOff>
      <xdr:row>12</xdr:row>
      <xdr:rowOff>69850</xdr:rowOff>
    </xdr:to>
    <xdr:sp macro="" textlink="">
      <xdr:nvSpPr>
        <xdr:cNvPr id="71" name="TextBox 56"/>
        <xdr:cNvSpPr txBox="1">
          <a:spLocks noChangeArrowheads="1"/>
        </xdr:cNvSpPr>
      </xdr:nvSpPr>
      <xdr:spPr bwMode="auto">
        <a:xfrm>
          <a:off x="4926013" y="2078037"/>
          <a:ext cx="287337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9</xdr:col>
      <xdr:colOff>414338</xdr:colOff>
      <xdr:row>11</xdr:row>
      <xdr:rowOff>55562</xdr:rowOff>
    </xdr:from>
    <xdr:to>
      <xdr:col>10</xdr:col>
      <xdr:colOff>92075</xdr:colOff>
      <xdr:row>12</xdr:row>
      <xdr:rowOff>141287</xdr:rowOff>
    </xdr:to>
    <xdr:sp macro="" textlink="">
      <xdr:nvSpPr>
        <xdr:cNvPr id="72" name="TextBox 57"/>
        <xdr:cNvSpPr txBox="1">
          <a:spLocks noChangeArrowheads="1"/>
        </xdr:cNvSpPr>
      </xdr:nvSpPr>
      <xdr:spPr bwMode="auto">
        <a:xfrm>
          <a:off x="6510338" y="2151062"/>
          <a:ext cx="28733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12</xdr:col>
      <xdr:colOff>169863</xdr:colOff>
      <xdr:row>11</xdr:row>
      <xdr:rowOff>55562</xdr:rowOff>
    </xdr:from>
    <xdr:to>
      <xdr:col>12</xdr:col>
      <xdr:colOff>457200</xdr:colOff>
      <xdr:row>12</xdr:row>
      <xdr:rowOff>141287</xdr:rowOff>
    </xdr:to>
    <xdr:sp macro="" textlink="">
      <xdr:nvSpPr>
        <xdr:cNvPr id="73" name="TextBox 58"/>
        <xdr:cNvSpPr txBox="1">
          <a:spLocks noChangeArrowheads="1"/>
        </xdr:cNvSpPr>
      </xdr:nvSpPr>
      <xdr:spPr bwMode="auto">
        <a:xfrm>
          <a:off x="8094663" y="2151062"/>
          <a:ext cx="28733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8</xdr:col>
      <xdr:colOff>87313</xdr:colOff>
      <xdr:row>6</xdr:row>
      <xdr:rowOff>144462</xdr:rowOff>
    </xdr:from>
    <xdr:to>
      <xdr:col>8</xdr:col>
      <xdr:colOff>376238</xdr:colOff>
      <xdr:row>8</xdr:row>
      <xdr:rowOff>39687</xdr:rowOff>
    </xdr:to>
    <xdr:sp macro="" textlink="">
      <xdr:nvSpPr>
        <xdr:cNvPr id="74" name="TextBox 59"/>
        <xdr:cNvSpPr txBox="1">
          <a:spLocks noChangeArrowheads="1"/>
        </xdr:cNvSpPr>
      </xdr:nvSpPr>
      <xdr:spPr bwMode="auto">
        <a:xfrm>
          <a:off x="5573713" y="1287462"/>
          <a:ext cx="288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N</a:t>
          </a:r>
          <a:endParaRPr lang="en-GB" sz="1200"/>
        </a:p>
      </xdr:txBody>
    </xdr:sp>
    <xdr:clientData/>
  </xdr:twoCellAnchor>
  <xdr:twoCellAnchor>
    <xdr:from>
      <xdr:col>13</xdr:col>
      <xdr:colOff>352425</xdr:colOff>
      <xdr:row>6</xdr:row>
      <xdr:rowOff>144462</xdr:rowOff>
    </xdr:from>
    <xdr:to>
      <xdr:col>14</xdr:col>
      <xdr:colOff>30163</xdr:colOff>
      <xdr:row>8</xdr:row>
      <xdr:rowOff>39687</xdr:rowOff>
    </xdr:to>
    <xdr:sp macro="" textlink="">
      <xdr:nvSpPr>
        <xdr:cNvPr id="75" name="TextBox 60"/>
        <xdr:cNvSpPr txBox="1">
          <a:spLocks noChangeArrowheads="1"/>
        </xdr:cNvSpPr>
      </xdr:nvSpPr>
      <xdr:spPr bwMode="auto">
        <a:xfrm>
          <a:off x="8886825" y="1287462"/>
          <a:ext cx="287338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N</a:t>
          </a:r>
          <a:endParaRPr lang="en-GB" sz="1200"/>
        </a:p>
      </xdr:txBody>
    </xdr:sp>
    <xdr:clientData/>
  </xdr:twoCellAnchor>
  <xdr:twoCellAnchor editAs="oneCell">
    <xdr:from>
      <xdr:col>17</xdr:col>
      <xdr:colOff>381000</xdr:colOff>
      <xdr:row>0</xdr:row>
      <xdr:rowOff>53444</xdr:rowOff>
    </xdr:from>
    <xdr:to>
      <xdr:col>20</xdr:col>
      <xdr:colOff>161925</xdr:colOff>
      <xdr:row>2</xdr:row>
      <xdr:rowOff>144749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53444"/>
          <a:ext cx="1609725" cy="815205"/>
        </a:xfrm>
        <a:prstGeom prst="rect">
          <a:avLst/>
        </a:prstGeom>
      </xdr:spPr>
    </xdr:pic>
    <xdr:clientData/>
  </xdr:twoCellAnchor>
  <xdr:twoCellAnchor>
    <xdr:from>
      <xdr:col>12</xdr:col>
      <xdr:colOff>200025</xdr:colOff>
      <xdr:row>20</xdr:row>
      <xdr:rowOff>161925</xdr:rowOff>
    </xdr:from>
    <xdr:to>
      <xdr:col>12</xdr:col>
      <xdr:colOff>200025</xdr:colOff>
      <xdr:row>22</xdr:row>
      <xdr:rowOff>146890</xdr:rowOff>
    </xdr:to>
    <xdr:cxnSp macro="">
      <xdr:nvCxnSpPr>
        <xdr:cNvPr id="83" name="Straight Arrow Connector 82"/>
        <xdr:cNvCxnSpPr/>
      </xdr:nvCxnSpPr>
      <xdr:spPr>
        <a:xfrm>
          <a:off x="7686675" y="4343400"/>
          <a:ext cx="0" cy="36596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20</xdr:row>
      <xdr:rowOff>161925</xdr:rowOff>
    </xdr:from>
    <xdr:to>
      <xdr:col>9</xdr:col>
      <xdr:colOff>447675</xdr:colOff>
      <xdr:row>22</xdr:row>
      <xdr:rowOff>146890</xdr:rowOff>
    </xdr:to>
    <xdr:cxnSp macro="">
      <xdr:nvCxnSpPr>
        <xdr:cNvPr id="85" name="Straight Arrow Connector 84"/>
        <xdr:cNvCxnSpPr/>
      </xdr:nvCxnSpPr>
      <xdr:spPr>
        <a:xfrm>
          <a:off x="6105525" y="4343400"/>
          <a:ext cx="0" cy="36596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20</xdr:row>
      <xdr:rowOff>171450</xdr:rowOff>
    </xdr:from>
    <xdr:to>
      <xdr:col>7</xdr:col>
      <xdr:colOff>85725</xdr:colOff>
      <xdr:row>22</xdr:row>
      <xdr:rowOff>156415</xdr:rowOff>
    </xdr:to>
    <xdr:cxnSp macro="">
      <xdr:nvCxnSpPr>
        <xdr:cNvPr id="86" name="Straight Arrow Connector 85"/>
        <xdr:cNvCxnSpPr/>
      </xdr:nvCxnSpPr>
      <xdr:spPr>
        <a:xfrm>
          <a:off x="4524375" y="4352925"/>
          <a:ext cx="0" cy="36596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1428359</xdr:colOff>
      <xdr:row>2</xdr:row>
      <xdr:rowOff>171450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3238109" cy="790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1409700</xdr:colOff>
      <xdr:row>26</xdr:row>
      <xdr:rowOff>95250</xdr:rowOff>
    </xdr:from>
    <xdr:to>
      <xdr:col>7</xdr:col>
      <xdr:colOff>200025</xdr:colOff>
      <xdr:row>34</xdr:row>
      <xdr:rowOff>123825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" y="4695825"/>
          <a:ext cx="6534150" cy="155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314325</xdr:colOff>
      <xdr:row>0</xdr:row>
      <xdr:rowOff>62969</xdr:rowOff>
    </xdr:from>
    <xdr:to>
      <xdr:col>13</xdr:col>
      <xdr:colOff>95250</xdr:colOff>
      <xdr:row>3</xdr:row>
      <xdr:rowOff>30449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62969"/>
          <a:ext cx="1609725" cy="8152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147746</xdr:rowOff>
    </xdr:from>
    <xdr:to>
      <xdr:col>13</xdr:col>
      <xdr:colOff>97414</xdr:colOff>
      <xdr:row>17</xdr:row>
      <xdr:rowOff>62249</xdr:rowOff>
    </xdr:to>
    <xdr:sp macro="" textlink="">
      <xdr:nvSpPr>
        <xdr:cNvPr id="4" name="TextBox 3"/>
        <xdr:cNvSpPr txBox="1"/>
      </xdr:nvSpPr>
      <xdr:spPr>
        <a:xfrm rot="20806772">
          <a:off x="0" y="2376596"/>
          <a:ext cx="12394189" cy="12480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2400" b="1"/>
            <a:t>NO LONGER REQUIRED</a:t>
          </a:r>
        </a:p>
        <a:p>
          <a:r>
            <a:rPr lang="en-ZA" sz="2400" b="0"/>
            <a:t>Please see</a:t>
          </a:r>
          <a:r>
            <a:rPr lang="en-ZA" sz="2400" b="0" baseline="0"/>
            <a:t> latest Energy &amp; Water Benchmarking Tool where Ene-1 Score is calculated and shown</a:t>
          </a:r>
          <a:endParaRPr lang="en-ZA" sz="2400" b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228600</xdr:colOff>
      <xdr:row>3</xdr:row>
      <xdr:rowOff>152400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57150"/>
          <a:ext cx="2847975" cy="6953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11187</xdr:colOff>
      <xdr:row>0</xdr:row>
      <xdr:rowOff>44822</xdr:rowOff>
    </xdr:from>
    <xdr:to>
      <xdr:col>1</xdr:col>
      <xdr:colOff>1075355</xdr:colOff>
      <xdr:row>3</xdr:row>
      <xdr:rowOff>174250</xdr:rowOff>
    </xdr:to>
    <xdr:pic>
      <xdr:nvPicPr>
        <xdr:cNvPr id="3" name="Picture 2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87" y="44822"/>
          <a:ext cx="3238109" cy="7905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542357</xdr:colOff>
      <xdr:row>0</xdr:row>
      <xdr:rowOff>69691</xdr:rowOff>
    </xdr:from>
    <xdr:to>
      <xdr:col>9</xdr:col>
      <xdr:colOff>11758</xdr:colOff>
      <xdr:row>4</xdr:row>
      <xdr:rowOff>33249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945" y="69691"/>
          <a:ext cx="1609725" cy="8152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7</xdr:row>
      <xdr:rowOff>0</xdr:rowOff>
    </xdr:from>
    <xdr:to>
      <xdr:col>10</xdr:col>
      <xdr:colOff>9525</xdr:colOff>
      <xdr:row>37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314450"/>
          <a:ext cx="5724525" cy="581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190109</xdr:colOff>
      <xdr:row>3</xdr:row>
      <xdr:rowOff>95250</xdr:rowOff>
    </xdr:to>
    <xdr:pic>
      <xdr:nvPicPr>
        <xdr:cNvPr id="10" name="Picture 9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3238109" cy="7905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1422009</xdr:colOff>
      <xdr:row>3</xdr:row>
      <xdr:rowOff>142875</xdr:rowOff>
    </xdr:to>
    <xdr:pic>
      <xdr:nvPicPr>
        <xdr:cNvPr id="5" name="Picture 4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3238109" cy="7905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546858</xdr:colOff>
      <xdr:row>0</xdr:row>
      <xdr:rowOff>62969</xdr:rowOff>
    </xdr:from>
    <xdr:to>
      <xdr:col>9</xdr:col>
      <xdr:colOff>10283</xdr:colOff>
      <xdr:row>4</xdr:row>
      <xdr:rowOff>6107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7658" y="62969"/>
          <a:ext cx="1609725" cy="8152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44822</xdr:rowOff>
    </xdr:from>
    <xdr:to>
      <xdr:col>1</xdr:col>
      <xdr:colOff>1422756</xdr:colOff>
      <xdr:row>3</xdr:row>
      <xdr:rowOff>140632</xdr:rowOff>
    </xdr:to>
    <xdr:pic>
      <xdr:nvPicPr>
        <xdr:cNvPr id="5" name="Picture 4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822"/>
          <a:ext cx="3238109" cy="7905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553582</xdr:colOff>
      <xdr:row>0</xdr:row>
      <xdr:rowOff>69691</xdr:rowOff>
    </xdr:from>
    <xdr:to>
      <xdr:col>9</xdr:col>
      <xdr:colOff>22984</xdr:colOff>
      <xdr:row>3</xdr:row>
      <xdr:rowOff>190131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7200" y="69691"/>
          <a:ext cx="1609725" cy="815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gbcsa.org.za/other-tools/energy-water-benchmark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R8"/>
  <sheetViews>
    <sheetView showGridLines="0" workbookViewId="0">
      <selection activeCell="U31" sqref="U31"/>
    </sheetView>
  </sheetViews>
  <sheetFormatPr defaultColWidth="8.85546875" defaultRowHeight="15" x14ac:dyDescent="0.25"/>
  <sheetData>
    <row r="2" spans="1:18" ht="15.75" x14ac:dyDescent="0.25">
      <c r="G2" s="1" t="s">
        <v>0</v>
      </c>
    </row>
    <row r="3" spans="1:18" ht="15.75" x14ac:dyDescent="0.25">
      <c r="G3" s="1" t="s">
        <v>1</v>
      </c>
    </row>
    <row r="6" spans="1:18" ht="15.75" x14ac:dyDescent="0.25">
      <c r="A6" s="155" t="s">
        <v>90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</row>
    <row r="8" spans="1:18" x14ac:dyDescent="0.25">
      <c r="A8" t="s">
        <v>118</v>
      </c>
    </row>
  </sheetData>
  <mergeCells count="1">
    <mergeCell ref="A6:R6"/>
  </mergeCells>
  <pageMargins left="0.7" right="0.7" top="0.75" bottom="0.75" header="0.3" footer="0.3"/>
  <pageSetup paperSize="9" scale="7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31"/>
  <sheetViews>
    <sheetView showGridLines="0" zoomScale="80" zoomScaleNormal="80" zoomScalePageLayoutView="80" workbookViewId="0">
      <selection activeCell="A76" sqref="A76"/>
    </sheetView>
  </sheetViews>
  <sheetFormatPr defaultColWidth="8.85546875" defaultRowHeight="15" x14ac:dyDescent="0.25"/>
  <cols>
    <col min="1" max="1" width="28.5703125" style="43" customWidth="1"/>
    <col min="2" max="2" width="34.28515625" style="43" customWidth="1"/>
    <col min="3" max="7" width="8.85546875" style="43"/>
    <col min="8" max="8" width="18.42578125" style="43" customWidth="1"/>
    <col min="9" max="16384" width="8.85546875" style="43"/>
  </cols>
  <sheetData>
    <row r="1" spans="1:1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5"/>
    </row>
    <row r="2" spans="1:15" ht="24" customHeight="1" x14ac:dyDescent="0.25">
      <c r="A2" s="47"/>
      <c r="B2" s="45"/>
      <c r="C2" s="177" t="s">
        <v>140</v>
      </c>
      <c r="D2" s="177"/>
      <c r="E2" s="177"/>
      <c r="F2" s="177"/>
      <c r="G2" s="177"/>
      <c r="H2" s="177"/>
      <c r="I2" s="177"/>
      <c r="J2" s="177"/>
      <c r="K2" s="177"/>
      <c r="L2" s="45"/>
    </row>
    <row r="3" spans="1:15" ht="15.75" customHeight="1" x14ac:dyDescent="0.25">
      <c r="A3" s="47"/>
      <c r="B3" s="45"/>
      <c r="C3" s="177"/>
      <c r="D3" s="177"/>
      <c r="E3" s="177"/>
      <c r="F3" s="177"/>
      <c r="G3" s="177"/>
      <c r="H3" s="177"/>
      <c r="I3" s="177"/>
      <c r="J3" s="177"/>
      <c r="K3" s="177"/>
      <c r="L3" s="45"/>
    </row>
    <row r="4" spans="1:15" x14ac:dyDescent="0.25">
      <c r="A4" s="47"/>
      <c r="B4" s="45"/>
      <c r="C4" s="45"/>
      <c r="D4" s="45"/>
      <c r="E4" s="45"/>
      <c r="F4" s="45"/>
      <c r="G4" s="65"/>
      <c r="H4" s="45"/>
      <c r="I4" s="45"/>
      <c r="J4" s="45"/>
      <c r="K4" s="45"/>
      <c r="L4" s="45"/>
    </row>
    <row r="5" spans="1:15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5" x14ac:dyDescent="0.25">
      <c r="A6" s="181" t="s">
        <v>106</v>
      </c>
      <c r="B6" s="182"/>
      <c r="C6" s="182"/>
      <c r="D6" s="182"/>
      <c r="E6" s="182"/>
      <c r="F6" s="182"/>
      <c r="G6" s="182"/>
      <c r="H6" s="182"/>
      <c r="I6" s="182"/>
      <c r="J6" s="182"/>
      <c r="K6" s="57"/>
      <c r="L6" s="45"/>
    </row>
    <row r="7" spans="1:15" x14ac:dyDescent="0.25">
      <c r="A7" s="47"/>
      <c r="B7" s="45"/>
      <c r="C7" s="45"/>
      <c r="D7" s="45"/>
      <c r="E7" s="45"/>
      <c r="F7" s="45"/>
      <c r="G7" s="45"/>
      <c r="H7" s="45"/>
      <c r="I7" s="45"/>
      <c r="J7" s="45"/>
      <c r="K7" s="51"/>
    </row>
    <row r="8" spans="1:15" x14ac:dyDescent="0.25">
      <c r="A8" s="52" t="s">
        <v>110</v>
      </c>
      <c r="B8" s="82"/>
      <c r="C8" s="45"/>
      <c r="D8" s="45"/>
      <c r="E8" s="45"/>
      <c r="F8" s="45"/>
      <c r="G8" s="45"/>
      <c r="H8" s="45"/>
      <c r="I8" s="45"/>
      <c r="J8" s="45"/>
      <c r="K8" s="51"/>
    </row>
    <row r="9" spans="1:15" x14ac:dyDescent="0.25">
      <c r="A9" s="47"/>
      <c r="B9" s="45"/>
      <c r="C9" s="45"/>
      <c r="D9" s="45"/>
      <c r="E9" s="45"/>
      <c r="F9" s="45"/>
      <c r="G9" s="45"/>
      <c r="H9" s="45"/>
      <c r="I9" s="45"/>
      <c r="J9" s="45"/>
      <c r="K9" s="51"/>
    </row>
    <row r="10" spans="1:15" x14ac:dyDescent="0.25">
      <c r="A10" s="52" t="s">
        <v>2</v>
      </c>
      <c r="B10" s="53"/>
      <c r="C10" s="45"/>
      <c r="D10" s="54"/>
      <c r="E10" s="45"/>
      <c r="F10" s="45"/>
      <c r="G10" s="45"/>
      <c r="H10" s="45"/>
      <c r="I10" s="45"/>
      <c r="J10" s="45"/>
      <c r="K10" s="51"/>
      <c r="O10"/>
    </row>
    <row r="11" spans="1:15" x14ac:dyDescent="0.25">
      <c r="A11" s="52"/>
      <c r="B11" s="53"/>
      <c r="C11" s="45"/>
      <c r="D11" s="45"/>
      <c r="E11" s="45"/>
      <c r="F11" s="45"/>
      <c r="G11" s="45"/>
      <c r="H11" s="45"/>
      <c r="I11" s="45"/>
      <c r="J11" s="45"/>
      <c r="K11" s="51"/>
      <c r="O11"/>
    </row>
    <row r="12" spans="1:15" x14ac:dyDescent="0.25">
      <c r="A12" s="47" t="s">
        <v>3</v>
      </c>
      <c r="B12" s="60" t="str">
        <f>IF($B$8="GBCSA Office benchmarking tool",'Compliance Route 1 (Offices)'!B11,IF($B$8="SANS Benchmarking ",'Compliance Route 2 (SANS Bench)'!B11,IF($B$8="Comparable Buildings",'Compliance Route 3 (Comparable)'!B12,IF($B$8="Historical data from own building",'Compliance Route 4 (Historical)'!B12," "))))</f>
        <v xml:space="preserve"> </v>
      </c>
      <c r="C12" s="45"/>
      <c r="D12" s="45"/>
      <c r="E12" s="45"/>
      <c r="F12" s="45"/>
      <c r="G12" s="45"/>
      <c r="H12" s="108"/>
      <c r="I12" s="45"/>
      <c r="J12" s="45"/>
      <c r="K12" s="51"/>
      <c r="O12"/>
    </row>
    <row r="13" spans="1:15" x14ac:dyDescent="0.25">
      <c r="A13" s="47"/>
      <c r="B13" s="60" t="str">
        <f>IF($B$8="GBCSA Office benchmarking tool",'Compliance Route 1 (Offices)'!B12,IF($B$8="SANS Benchmarking ",'Compliance Route 2 (SANS Bench)'!B12,IF($B$8="Comparable Buildings",'Compliance Route 3 (Comparable)'!B13,IF($B$8="Historical data from own building",'Compliance Route 4 (Historical)'!B13," "))))</f>
        <v xml:space="preserve"> </v>
      </c>
      <c r="C13" s="45"/>
      <c r="D13" s="45"/>
      <c r="E13" s="45"/>
      <c r="F13" s="45"/>
      <c r="G13" s="45"/>
      <c r="H13" s="108"/>
      <c r="I13" s="45"/>
      <c r="J13" s="45"/>
      <c r="K13" s="51"/>
      <c r="O13"/>
    </row>
    <row r="14" spans="1:15" x14ac:dyDescent="0.25">
      <c r="A14" s="47"/>
      <c r="B14" s="60" t="str">
        <f>IF($B$8="GBCSA Office benchmarking tool",'Compliance Route 1 (Offices)'!B13,IF($B$8="SANS Benchmarking ",'Compliance Route 2 (SANS Bench)'!B13,IF($B$8="Comparable Buildings",'Compliance Route 3 (Comparable)'!B14,IF($B$8="Historical data from own building",'Compliance Route 4 (Historical)'!B14," "))))</f>
        <v xml:space="preserve"> </v>
      </c>
      <c r="C14" s="45"/>
      <c r="D14" s="45"/>
      <c r="E14" s="45"/>
      <c r="F14" s="45"/>
      <c r="G14" s="45"/>
      <c r="H14" s="108"/>
      <c r="I14" s="45"/>
      <c r="J14" s="45"/>
      <c r="K14" s="51"/>
      <c r="N14"/>
    </row>
    <row r="15" spans="1:15" x14ac:dyDescent="0.25">
      <c r="A15" s="47" t="s">
        <v>4</v>
      </c>
      <c r="B15" s="60" t="str">
        <f>IF($B$8="GBCSA Office benchmarking tool",'Compliance Route 1 (Offices)'!B14,IF($B$8="SANS Benchmarking ",'Compliance Route 2 (SANS Bench)'!B14,IF($B$8="Comparable Buildings",'Compliance Route 3 (Comparable)'!B15,IF($B$8="Historical data from own building",'Compliance Route 4 (Historical)'!B15," "))))</f>
        <v xml:space="preserve"> </v>
      </c>
      <c r="C15" s="45"/>
      <c r="D15" s="45"/>
      <c r="E15" s="45"/>
      <c r="F15" s="45"/>
      <c r="G15" s="45"/>
      <c r="H15" s="53"/>
      <c r="I15" s="45"/>
      <c r="J15" s="45"/>
      <c r="K15" s="51"/>
      <c r="N15"/>
    </row>
    <row r="16" spans="1:15" x14ac:dyDescent="0.25">
      <c r="A16" s="47" t="s">
        <v>5</v>
      </c>
      <c r="B16" s="60" t="str">
        <f>IF($B$8="GBCSA Office benchmarking tool",'Compliance Route 1 (Offices)'!B15,IF($B$8="SANS Benchmarking ",'Compliance Route 2 (SANS Bench)'!B15,IF($B$8="Comparable Buildings",'Compliance Route 3 (Comparable)'!B16,IF($B$8="Historical data from own building",'Compliance Route 4 (Historical)'!B16," "))))</f>
        <v xml:space="preserve"> </v>
      </c>
      <c r="C16" s="45"/>
      <c r="D16" s="54"/>
      <c r="E16" s="45"/>
      <c r="F16" s="45"/>
      <c r="G16" s="45"/>
      <c r="H16" s="53"/>
      <c r="I16" s="45"/>
      <c r="J16" s="45"/>
      <c r="K16" s="51"/>
      <c r="N16"/>
    </row>
    <row r="17" spans="1:14" x14ac:dyDescent="0.25">
      <c r="A17" s="47" t="s">
        <v>6</v>
      </c>
      <c r="B17" s="60" t="str">
        <f>IF($B$8="GBCSA Office benchmarking tool",'Compliance Route 1 (Offices)'!B16,IF($B$8="SANS Benchmarking ",'Compliance Route 2 (SANS Bench)'!B16,IF($B$8="Comparable Buildings",'Compliance Route 3 (Comparable)'!B17,IF($B$8="Historical data from own building",'Compliance Route 4 (Historical)'!B17," "))))</f>
        <v xml:space="preserve"> </v>
      </c>
      <c r="C17" s="45"/>
      <c r="D17" s="45"/>
      <c r="E17" s="45"/>
      <c r="F17" s="45"/>
      <c r="G17" s="45"/>
      <c r="H17" s="108"/>
      <c r="I17" s="45"/>
      <c r="J17" s="45"/>
      <c r="K17" s="51"/>
      <c r="N17"/>
    </row>
    <row r="18" spans="1:14" x14ac:dyDescent="0.25">
      <c r="A18" s="47" t="s">
        <v>7</v>
      </c>
      <c r="B18" s="60" t="str">
        <f>IF($B$8="GBCSA Office benchmarking tool",'Compliance Route 1 (Offices)'!B17,IF($B$8="SANS Benchmarking ",'Compliance Route 2 (SANS Bench)'!B17,IF($B$8="Comparable Buildings",'Compliance Route 3 (Comparable)'!B18,IF($B$8="Historical data from own building",'Compliance Route 4 (Historical)'!B18," "))))</f>
        <v xml:space="preserve"> </v>
      </c>
      <c r="C18" s="45"/>
      <c r="D18" s="45"/>
      <c r="E18" s="45"/>
      <c r="F18" s="45"/>
      <c r="G18" s="45"/>
      <c r="H18" s="108"/>
      <c r="I18" s="45"/>
      <c r="J18" s="45"/>
      <c r="K18" s="51"/>
    </row>
    <row r="19" spans="1:14" x14ac:dyDescent="0.25">
      <c r="A19" s="47"/>
      <c r="B19" s="45"/>
      <c r="C19" s="45"/>
      <c r="D19" s="45"/>
      <c r="E19" s="45"/>
      <c r="F19" s="45"/>
      <c r="G19" s="45"/>
      <c r="H19" s="53"/>
      <c r="I19" s="45"/>
      <c r="J19" s="45"/>
      <c r="K19" s="51"/>
    </row>
    <row r="20" spans="1:14" x14ac:dyDescent="0.25">
      <c r="A20" s="47"/>
      <c r="B20" s="45"/>
      <c r="C20" s="45"/>
      <c r="D20" s="45"/>
      <c r="E20" s="45"/>
      <c r="F20" s="45"/>
      <c r="G20" s="45"/>
      <c r="H20" s="108"/>
      <c r="I20" s="45"/>
      <c r="J20" s="45"/>
      <c r="K20" s="51"/>
    </row>
    <row r="21" spans="1:14" x14ac:dyDescent="0.25">
      <c r="A21" s="52" t="s">
        <v>8</v>
      </c>
      <c r="B21" s="45"/>
      <c r="C21" s="45"/>
      <c r="D21" s="45"/>
      <c r="E21" s="45"/>
      <c r="F21" s="45"/>
      <c r="G21" s="45"/>
      <c r="H21" s="108"/>
      <c r="I21" s="45"/>
      <c r="J21" s="45"/>
      <c r="K21" s="51"/>
    </row>
    <row r="22" spans="1:14" x14ac:dyDescent="0.25">
      <c r="A22" s="52"/>
      <c r="B22" s="45"/>
      <c r="C22" s="45"/>
      <c r="D22" s="45"/>
      <c r="E22" s="45"/>
      <c r="F22" s="45"/>
      <c r="G22" s="45"/>
      <c r="H22" s="45"/>
      <c r="I22" s="45"/>
      <c r="J22" s="45"/>
      <c r="K22" s="51"/>
    </row>
    <row r="23" spans="1:14" x14ac:dyDescent="0.25">
      <c r="A23" s="47" t="s">
        <v>70</v>
      </c>
      <c r="B23" s="81"/>
      <c r="C23" s="45"/>
      <c r="D23" s="169" t="s">
        <v>107</v>
      </c>
      <c r="E23" s="169"/>
      <c r="F23" s="169"/>
      <c r="G23" s="169"/>
      <c r="H23" s="188" t="str">
        <f>IF(B8&gt;0,VLOOKUP(B8,Misc!A105:B108,2,FALSE), "  ")</f>
        <v xml:space="preserve">  </v>
      </c>
      <c r="I23" s="45"/>
      <c r="J23" s="45"/>
      <c r="K23" s="51"/>
    </row>
    <row r="24" spans="1:14" ht="17.25" x14ac:dyDescent="0.3">
      <c r="A24" s="47" t="s">
        <v>49</v>
      </c>
      <c r="B24" s="60" t="str">
        <f>IF($B$8="GBCSA Office benchmarking tool",'Compliance Route 1 (Offices)'!B22,IF($B$8="SANS Benchmarking ",'Compliance Route 2 (SANS Bench)'!B23,IF($B$8="Comparable Buildings",'Compliance Route 3 (Comparable)'!B27,IF($B$8="Historical data from own building",'Compliance Route 4 (Historical)'!B27," "))))</f>
        <v xml:space="preserve"> </v>
      </c>
      <c r="C24" s="45"/>
      <c r="D24" s="45"/>
      <c r="E24" s="45"/>
      <c r="F24" s="45"/>
      <c r="G24" s="45"/>
      <c r="H24" s="189"/>
      <c r="I24" s="45"/>
      <c r="J24" s="45"/>
      <c r="K24" s="51"/>
    </row>
    <row r="25" spans="1:14" x14ac:dyDescent="0.25">
      <c r="A25" s="47"/>
      <c r="B25" s="109"/>
      <c r="C25" s="45"/>
      <c r="D25" s="45"/>
      <c r="E25" s="45"/>
      <c r="F25" s="45"/>
      <c r="G25" s="45"/>
      <c r="H25" s="45"/>
      <c r="I25" s="45"/>
      <c r="J25" s="45"/>
      <c r="K25" s="51"/>
    </row>
    <row r="26" spans="1:14" x14ac:dyDescent="0.25">
      <c r="A26" s="73"/>
      <c r="B26" s="109"/>
      <c r="C26" s="45"/>
      <c r="D26" s="45"/>
      <c r="E26" s="45"/>
      <c r="F26" s="45"/>
      <c r="G26" s="45"/>
      <c r="H26" s="45"/>
      <c r="I26" s="45"/>
      <c r="J26" s="45"/>
      <c r="K26" s="51"/>
    </row>
    <row r="27" spans="1:14" x14ac:dyDescent="0.25">
      <c r="A27" s="47"/>
      <c r="B27" s="45"/>
      <c r="C27" s="45"/>
      <c r="D27" s="45"/>
      <c r="E27" s="45"/>
      <c r="F27" s="45"/>
      <c r="G27" s="45"/>
      <c r="H27" s="45"/>
      <c r="I27" s="45"/>
      <c r="J27" s="45"/>
      <c r="K27" s="51"/>
    </row>
    <row r="28" spans="1:14" x14ac:dyDescent="0.25">
      <c r="A28" s="47"/>
      <c r="B28" s="45"/>
      <c r="C28" s="45"/>
      <c r="D28" s="45"/>
      <c r="E28" s="45"/>
      <c r="F28" s="45"/>
      <c r="G28" s="45"/>
      <c r="H28" s="45"/>
      <c r="I28" s="45"/>
      <c r="J28" s="45"/>
      <c r="K28" s="51"/>
    </row>
    <row r="29" spans="1:14" x14ac:dyDescent="0.25">
      <c r="A29" s="47"/>
      <c r="B29" s="45"/>
      <c r="C29" s="45"/>
      <c r="D29" s="45"/>
      <c r="E29" s="45"/>
      <c r="F29" s="45"/>
      <c r="G29" s="45"/>
      <c r="H29" s="45"/>
      <c r="I29" s="45"/>
      <c r="J29" s="45"/>
      <c r="K29" s="51"/>
    </row>
    <row r="30" spans="1:14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8"/>
    </row>
    <row r="31" spans="1:14" ht="17.25" x14ac:dyDescent="0.3">
      <c r="H31" s="80" t="s">
        <v>133</v>
      </c>
    </row>
  </sheetData>
  <sheetProtection password="AD9B" sheet="1" objects="1" scenarios="1"/>
  <mergeCells count="4">
    <mergeCell ref="D23:G23"/>
    <mergeCell ref="H23:H24"/>
    <mergeCell ref="A6:J6"/>
    <mergeCell ref="C2:K3"/>
  </mergeCells>
  <hyperlinks>
    <hyperlink ref="H31" location="'Compliance path'!A1" display="Back to Compliance path tab "/>
  </hyperlinks>
  <pageMargins left="0.7" right="0.7" top="0.75" bottom="0.75" header="0.3" footer="0.3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Misc!B31:B33</xm:f>
          </x14:formula1>
          <xm:sqref>B23</xm:sqref>
        </x14:dataValidation>
        <x14:dataValidation type="list" allowBlank="1" showInputMessage="1" showErrorMessage="1">
          <x14:formula1>
            <xm:f>Misc!A104:A108</xm:f>
          </x14:formula1>
          <xm:sqref>B8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S108"/>
  <sheetViews>
    <sheetView showGridLines="0" topLeftCell="A94" workbookViewId="0">
      <selection activeCell="B105" sqref="B105"/>
    </sheetView>
  </sheetViews>
  <sheetFormatPr defaultColWidth="8.85546875" defaultRowHeight="15" x14ac:dyDescent="0.25"/>
  <cols>
    <col min="1" max="1" width="41.7109375" customWidth="1"/>
    <col min="2" max="2" width="14.85546875" customWidth="1"/>
    <col min="3" max="3" width="14.42578125" customWidth="1"/>
    <col min="4" max="4" width="9" customWidth="1"/>
    <col min="5" max="5" width="14.42578125" customWidth="1"/>
    <col min="12" max="12" width="35.85546875" customWidth="1"/>
    <col min="13" max="13" width="16.28515625" customWidth="1"/>
  </cols>
  <sheetData>
    <row r="2" spans="1:19" x14ac:dyDescent="0.25">
      <c r="A2" s="6" t="s">
        <v>17</v>
      </c>
      <c r="B2" t="s">
        <v>29</v>
      </c>
      <c r="C2" t="s">
        <v>46</v>
      </c>
      <c r="E2" t="s">
        <v>18</v>
      </c>
      <c r="F2" t="s">
        <v>130</v>
      </c>
    </row>
    <row r="3" spans="1:19" x14ac:dyDescent="0.25">
      <c r="A3" s="6"/>
      <c r="B3" s="9" t="s">
        <v>48</v>
      </c>
    </row>
    <row r="4" spans="1:19" x14ac:dyDescent="0.25">
      <c r="A4" t="s">
        <v>21</v>
      </c>
      <c r="B4">
        <v>1.2</v>
      </c>
      <c r="E4" t="s">
        <v>44</v>
      </c>
      <c r="F4">
        <v>1</v>
      </c>
    </row>
    <row r="5" spans="1:19" x14ac:dyDescent="0.25">
      <c r="A5" t="s">
        <v>22</v>
      </c>
      <c r="B5">
        <v>0.27</v>
      </c>
      <c r="E5" t="s">
        <v>129</v>
      </c>
      <c r="F5">
        <v>11.69</v>
      </c>
    </row>
    <row r="6" spans="1:19" x14ac:dyDescent="0.25">
      <c r="A6" t="s">
        <v>23</v>
      </c>
      <c r="B6" s="98">
        <v>0.27</v>
      </c>
      <c r="E6" t="s">
        <v>129</v>
      </c>
      <c r="F6">
        <v>11.69</v>
      </c>
    </row>
    <row r="7" spans="1:19" x14ac:dyDescent="0.25">
      <c r="A7" t="s">
        <v>24</v>
      </c>
      <c r="B7">
        <v>0.23</v>
      </c>
      <c r="E7" t="s">
        <v>128</v>
      </c>
      <c r="F7">
        <v>277.77777777777999</v>
      </c>
    </row>
    <row r="8" spans="1:19" x14ac:dyDescent="0.25">
      <c r="A8" t="s">
        <v>25</v>
      </c>
      <c r="B8" s="9">
        <v>1</v>
      </c>
      <c r="E8" t="s">
        <v>128</v>
      </c>
      <c r="F8">
        <v>277.77777777777999</v>
      </c>
    </row>
    <row r="9" spans="1:19" x14ac:dyDescent="0.25">
      <c r="A9" t="s">
        <v>26</v>
      </c>
      <c r="B9">
        <v>0.03</v>
      </c>
      <c r="E9" t="s">
        <v>128</v>
      </c>
      <c r="F9">
        <v>277.77777777777999</v>
      </c>
    </row>
    <row r="10" spans="1:19" x14ac:dyDescent="0.25">
      <c r="A10" t="s">
        <v>27</v>
      </c>
      <c r="B10">
        <v>0.35</v>
      </c>
      <c r="E10" t="s">
        <v>127</v>
      </c>
      <c r="F10">
        <v>1162.22222222</v>
      </c>
    </row>
    <row r="11" spans="1:19" x14ac:dyDescent="0.25">
      <c r="A11" t="s">
        <v>28</v>
      </c>
      <c r="B11">
        <v>0.35</v>
      </c>
      <c r="E11" t="s">
        <v>127</v>
      </c>
      <c r="F11">
        <v>1162.22222222</v>
      </c>
    </row>
    <row r="14" spans="1:19" x14ac:dyDescent="0.25">
      <c r="A14" s="6" t="s">
        <v>123</v>
      </c>
      <c r="L14" s="6" t="s">
        <v>124</v>
      </c>
    </row>
    <row r="15" spans="1:19" x14ac:dyDescent="0.25">
      <c r="A15" s="6"/>
      <c r="B15" s="14"/>
      <c r="C15" s="15">
        <v>1</v>
      </c>
      <c r="D15" s="15"/>
      <c r="E15" s="15">
        <v>2</v>
      </c>
      <c r="F15" s="15">
        <v>3</v>
      </c>
      <c r="G15" s="15">
        <v>4</v>
      </c>
      <c r="H15" s="15">
        <v>5</v>
      </c>
      <c r="I15" s="15">
        <v>6</v>
      </c>
      <c r="L15" s="6"/>
      <c r="M15" s="14"/>
      <c r="N15" s="15">
        <v>1</v>
      </c>
      <c r="O15" s="15">
        <v>2</v>
      </c>
      <c r="P15" s="15">
        <v>3</v>
      </c>
      <c r="Q15" s="15">
        <v>4</v>
      </c>
      <c r="R15" s="15">
        <v>5</v>
      </c>
      <c r="S15" s="15">
        <v>6</v>
      </c>
    </row>
    <row r="16" spans="1:19" x14ac:dyDescent="0.25">
      <c r="A16" t="s">
        <v>32</v>
      </c>
      <c r="B16" s="13" t="s">
        <v>52</v>
      </c>
      <c r="C16">
        <v>420</v>
      </c>
      <c r="E16">
        <v>400</v>
      </c>
      <c r="F16">
        <v>440</v>
      </c>
      <c r="G16">
        <v>390</v>
      </c>
      <c r="H16">
        <v>400</v>
      </c>
      <c r="I16">
        <v>420</v>
      </c>
      <c r="L16" t="s">
        <v>32</v>
      </c>
      <c r="M16" s="13" t="s">
        <v>52</v>
      </c>
      <c r="N16">
        <v>85</v>
      </c>
      <c r="O16">
        <v>80</v>
      </c>
      <c r="P16">
        <v>90</v>
      </c>
      <c r="Q16">
        <v>80</v>
      </c>
      <c r="R16">
        <v>80</v>
      </c>
      <c r="S16">
        <v>85</v>
      </c>
    </row>
    <row r="17" spans="1:19" x14ac:dyDescent="0.25">
      <c r="A17" t="s">
        <v>33</v>
      </c>
      <c r="B17" s="13" t="s">
        <v>53</v>
      </c>
      <c r="C17">
        <v>420</v>
      </c>
      <c r="E17">
        <v>400</v>
      </c>
      <c r="F17">
        <v>440</v>
      </c>
      <c r="G17">
        <v>390</v>
      </c>
      <c r="H17">
        <v>400</v>
      </c>
      <c r="I17">
        <v>420</v>
      </c>
      <c r="L17" t="s">
        <v>33</v>
      </c>
      <c r="M17" s="13" t="s">
        <v>53</v>
      </c>
      <c r="N17">
        <v>85</v>
      </c>
      <c r="O17">
        <v>80</v>
      </c>
      <c r="P17">
        <v>90</v>
      </c>
      <c r="Q17">
        <v>80</v>
      </c>
      <c r="R17">
        <v>80</v>
      </c>
      <c r="S17">
        <v>85</v>
      </c>
    </row>
    <row r="18" spans="1:19" x14ac:dyDescent="0.25">
      <c r="A18" t="s">
        <v>34</v>
      </c>
      <c r="B18" s="13" t="s">
        <v>54</v>
      </c>
      <c r="C18">
        <v>420</v>
      </c>
      <c r="E18">
        <v>400</v>
      </c>
      <c r="F18">
        <v>440</v>
      </c>
      <c r="G18">
        <v>390</v>
      </c>
      <c r="H18">
        <v>400</v>
      </c>
      <c r="I18">
        <v>420</v>
      </c>
      <c r="L18" t="s">
        <v>34</v>
      </c>
      <c r="M18" s="13" t="s">
        <v>54</v>
      </c>
      <c r="N18">
        <v>80</v>
      </c>
      <c r="O18">
        <v>75</v>
      </c>
      <c r="P18">
        <v>85</v>
      </c>
      <c r="Q18">
        <v>75</v>
      </c>
      <c r="R18">
        <v>75</v>
      </c>
      <c r="S18">
        <v>80</v>
      </c>
    </row>
    <row r="19" spans="1:19" x14ac:dyDescent="0.25">
      <c r="A19" t="s">
        <v>35</v>
      </c>
      <c r="B19" s="13" t="s">
        <v>55</v>
      </c>
      <c r="C19">
        <v>120</v>
      </c>
      <c r="E19">
        <v>115</v>
      </c>
      <c r="F19">
        <v>125</v>
      </c>
      <c r="G19">
        <v>110</v>
      </c>
      <c r="H19">
        <v>115</v>
      </c>
      <c r="I19">
        <v>120</v>
      </c>
      <c r="L19" t="s">
        <v>35</v>
      </c>
      <c r="M19" s="13" t="s">
        <v>55</v>
      </c>
      <c r="N19">
        <v>80</v>
      </c>
      <c r="O19">
        <v>75</v>
      </c>
      <c r="P19">
        <v>85</v>
      </c>
      <c r="Q19">
        <v>75</v>
      </c>
      <c r="R19">
        <v>75</v>
      </c>
      <c r="S19">
        <v>80</v>
      </c>
    </row>
    <row r="20" spans="1:19" x14ac:dyDescent="0.25">
      <c r="A20" t="s">
        <v>36</v>
      </c>
      <c r="B20" s="13" t="s">
        <v>56</v>
      </c>
      <c r="C20">
        <v>240</v>
      </c>
      <c r="E20">
        <v>245</v>
      </c>
      <c r="F20">
        <v>260</v>
      </c>
      <c r="G20">
        <v>240</v>
      </c>
      <c r="H20">
        <v>260</v>
      </c>
      <c r="I20">
        <v>255</v>
      </c>
      <c r="L20" t="s">
        <v>36</v>
      </c>
      <c r="M20" s="13" t="s">
        <v>56</v>
      </c>
      <c r="N20">
        <v>90</v>
      </c>
      <c r="O20">
        <v>85</v>
      </c>
      <c r="P20">
        <v>95</v>
      </c>
      <c r="Q20">
        <v>85</v>
      </c>
      <c r="R20">
        <v>85</v>
      </c>
      <c r="S20">
        <v>90</v>
      </c>
    </row>
    <row r="21" spans="1:19" x14ac:dyDescent="0.25">
      <c r="A21" t="s">
        <v>37</v>
      </c>
      <c r="B21" s="13" t="s">
        <v>57</v>
      </c>
      <c r="C21">
        <v>200</v>
      </c>
      <c r="E21">
        <v>190</v>
      </c>
      <c r="F21">
        <v>210</v>
      </c>
      <c r="G21">
        <v>185</v>
      </c>
      <c r="H21">
        <v>190</v>
      </c>
      <c r="I21">
        <v>200</v>
      </c>
      <c r="L21" t="s">
        <v>37</v>
      </c>
      <c r="M21" s="13" t="s">
        <v>57</v>
      </c>
      <c r="N21">
        <v>80</v>
      </c>
      <c r="O21">
        <v>75</v>
      </c>
      <c r="P21">
        <v>85</v>
      </c>
      <c r="Q21">
        <v>75</v>
      </c>
      <c r="R21">
        <v>75</v>
      </c>
      <c r="S21">
        <v>80</v>
      </c>
    </row>
    <row r="22" spans="1:19" x14ac:dyDescent="0.25">
      <c r="A22" t="s">
        <v>38</v>
      </c>
      <c r="B22" s="13" t="s">
        <v>58</v>
      </c>
      <c r="C22">
        <v>650</v>
      </c>
      <c r="E22">
        <v>600</v>
      </c>
      <c r="F22">
        <v>585</v>
      </c>
      <c r="G22">
        <v>600</v>
      </c>
      <c r="H22">
        <v>620</v>
      </c>
      <c r="I22">
        <v>630</v>
      </c>
      <c r="L22" t="s">
        <v>38</v>
      </c>
      <c r="M22" s="13" t="s">
        <v>58</v>
      </c>
      <c r="N22">
        <v>90</v>
      </c>
      <c r="O22">
        <v>85</v>
      </c>
      <c r="P22">
        <v>95</v>
      </c>
      <c r="Q22">
        <v>85</v>
      </c>
      <c r="R22">
        <v>85</v>
      </c>
      <c r="S22">
        <v>90</v>
      </c>
    </row>
    <row r="24" spans="1:19" x14ac:dyDescent="0.25">
      <c r="A24" t="s">
        <v>59</v>
      </c>
      <c r="L24" s="12"/>
      <c r="M24" s="30"/>
      <c r="N24" s="31"/>
      <c r="O24" s="12"/>
      <c r="P24" s="12"/>
      <c r="Q24" s="12"/>
    </row>
    <row r="25" spans="1:19" x14ac:dyDescent="0.25">
      <c r="B25">
        <v>1</v>
      </c>
      <c r="L25" s="25"/>
      <c r="M25" s="26"/>
      <c r="N25" s="26"/>
      <c r="O25" s="26"/>
      <c r="P25" s="26"/>
      <c r="Q25" s="26"/>
    </row>
    <row r="26" spans="1:19" x14ac:dyDescent="0.25">
      <c r="B26">
        <v>2</v>
      </c>
      <c r="L26" s="27"/>
      <c r="M26" s="32"/>
      <c r="N26" s="28"/>
      <c r="O26" s="28"/>
      <c r="P26" s="28"/>
      <c r="Q26" s="28"/>
    </row>
    <row r="27" spans="1:19" x14ac:dyDescent="0.25">
      <c r="B27">
        <v>3</v>
      </c>
      <c r="L27" s="27"/>
      <c r="M27" s="32"/>
      <c r="N27" s="28"/>
      <c r="O27" s="183"/>
      <c r="P27" s="183"/>
      <c r="Q27" s="183"/>
    </row>
    <row r="28" spans="1:19" x14ac:dyDescent="0.25">
      <c r="B28">
        <v>4</v>
      </c>
      <c r="L28" s="27"/>
      <c r="M28" s="32"/>
      <c r="N28" s="28"/>
      <c r="O28" s="183"/>
      <c r="P28" s="183"/>
      <c r="Q28" s="183"/>
    </row>
    <row r="29" spans="1:19" x14ac:dyDescent="0.25">
      <c r="B29">
        <v>5</v>
      </c>
      <c r="L29" s="29"/>
      <c r="M29" s="5"/>
      <c r="N29" s="5"/>
    </row>
    <row r="30" spans="1:19" x14ac:dyDescent="0.25">
      <c r="B30">
        <v>6</v>
      </c>
      <c r="L30" s="29"/>
    </row>
    <row r="31" spans="1:19" x14ac:dyDescent="0.25">
      <c r="A31" s="6" t="s">
        <v>70</v>
      </c>
      <c r="L31" s="29"/>
    </row>
    <row r="32" spans="1:19" ht="39" x14ac:dyDescent="0.25">
      <c r="B32" s="17" t="s">
        <v>68</v>
      </c>
      <c r="L32" s="29"/>
    </row>
    <row r="33" spans="1:14" ht="39" x14ac:dyDescent="0.25">
      <c r="B33" s="17" t="s">
        <v>69</v>
      </c>
      <c r="L33" s="29"/>
    </row>
    <row r="35" spans="1:14" ht="15.75" thickBot="1" x14ac:dyDescent="0.3">
      <c r="A35" t="s">
        <v>65</v>
      </c>
      <c r="F35" s="2" t="s">
        <v>126</v>
      </c>
    </row>
    <row r="36" spans="1:14" ht="15.75" thickBot="1" x14ac:dyDescent="0.3">
      <c r="A36" s="184" t="s">
        <v>66</v>
      </c>
      <c r="B36" s="186" t="s">
        <v>67</v>
      </c>
      <c r="C36" s="187"/>
      <c r="D36" s="17"/>
    </row>
    <row r="37" spans="1:14" ht="65.25" thickBot="1" x14ac:dyDescent="0.3">
      <c r="A37" s="185"/>
      <c r="B37" s="16" t="s">
        <v>68</v>
      </c>
      <c r="C37" s="16" t="s">
        <v>69</v>
      </c>
      <c r="D37" s="17"/>
      <c r="E37" s="37" t="s">
        <v>66</v>
      </c>
      <c r="F37" s="16" t="s">
        <v>68</v>
      </c>
      <c r="G37" s="16" t="s">
        <v>69</v>
      </c>
    </row>
    <row r="38" spans="1:14" x14ac:dyDescent="0.25">
      <c r="A38" s="116">
        <v>0</v>
      </c>
      <c r="B38" s="117">
        <v>2</v>
      </c>
      <c r="C38" s="117">
        <v>2</v>
      </c>
      <c r="D38" s="17"/>
      <c r="E38" s="33">
        <v>0</v>
      </c>
      <c r="F38" s="34">
        <v>0.5</v>
      </c>
      <c r="G38" s="34">
        <v>0</v>
      </c>
      <c r="J38">
        <f>0.25*A38</f>
        <v>0</v>
      </c>
      <c r="L38" s="23">
        <f>((J38-$J$38)*(20-0))/($J$58-$J$38)</f>
        <v>0</v>
      </c>
      <c r="N38" s="23">
        <f>0+((J38-$J$38)*(25-0))/($J$58-$J$38)</f>
        <v>0</v>
      </c>
    </row>
    <row r="39" spans="1:14" x14ac:dyDescent="0.25">
      <c r="A39" s="118">
        <v>1.2500000000000001E-2</v>
      </c>
      <c r="B39" s="119">
        <v>2.5</v>
      </c>
      <c r="C39" s="119">
        <v>2.5</v>
      </c>
      <c r="D39" s="17"/>
      <c r="E39" s="33">
        <v>5</v>
      </c>
      <c r="F39" s="34">
        <v>1</v>
      </c>
      <c r="G39" s="34">
        <v>0.5</v>
      </c>
      <c r="J39">
        <f t="shared" ref="J39:J57" si="0">0.25*A39</f>
        <v>3.1250000000000002E-3</v>
      </c>
      <c r="L39" s="23">
        <f t="shared" ref="L39:L48" si="1">((J39-$J$38)*(20-0))/($J$58-$J$38)</f>
        <v>0.7142857142857143</v>
      </c>
      <c r="N39" s="23">
        <f t="shared" ref="N39:N58" si="2">0+((J39-$J$38)*(25-0))/($J$58-$J$38)</f>
        <v>0.8928571428571429</v>
      </c>
    </row>
    <row r="40" spans="1:14" x14ac:dyDescent="0.25">
      <c r="A40" s="120">
        <v>2.5000000000000001E-2</v>
      </c>
      <c r="B40" s="121">
        <v>3</v>
      </c>
      <c r="C40" s="121">
        <v>3</v>
      </c>
      <c r="D40" s="17"/>
      <c r="E40" s="33">
        <v>10</v>
      </c>
      <c r="F40" s="34">
        <v>1.5</v>
      </c>
      <c r="G40" s="34">
        <v>1</v>
      </c>
      <c r="J40">
        <f t="shared" si="0"/>
        <v>6.2500000000000003E-3</v>
      </c>
      <c r="L40" s="23">
        <f t="shared" si="1"/>
        <v>1.4285714285714286</v>
      </c>
      <c r="N40" s="23">
        <f t="shared" si="2"/>
        <v>1.7857142857142858</v>
      </c>
    </row>
    <row r="41" spans="1:14" x14ac:dyDescent="0.25">
      <c r="A41" s="122">
        <v>3.7499999999999999E-2</v>
      </c>
      <c r="B41" s="121">
        <v>3.5</v>
      </c>
      <c r="C41" s="121">
        <v>3.5</v>
      </c>
      <c r="D41" s="17"/>
      <c r="E41" s="33">
        <v>15</v>
      </c>
      <c r="F41" s="34">
        <v>1.5</v>
      </c>
      <c r="G41" s="34">
        <v>1</v>
      </c>
      <c r="J41">
        <f t="shared" si="0"/>
        <v>9.3749999999999997E-3</v>
      </c>
      <c r="L41" s="23">
        <f t="shared" si="1"/>
        <v>2.1428571428571428</v>
      </c>
      <c r="N41" s="23">
        <f t="shared" si="2"/>
        <v>2.6785714285714288</v>
      </c>
    </row>
    <row r="42" spans="1:14" x14ac:dyDescent="0.25">
      <c r="A42" s="123">
        <v>0.05</v>
      </c>
      <c r="B42" s="124">
        <v>4</v>
      </c>
      <c r="C42" s="124">
        <v>4</v>
      </c>
      <c r="D42" s="17"/>
      <c r="E42" s="33">
        <v>20</v>
      </c>
      <c r="F42" s="34">
        <v>2</v>
      </c>
      <c r="G42" s="34">
        <v>2</v>
      </c>
      <c r="J42">
        <f t="shared" si="0"/>
        <v>1.2500000000000001E-2</v>
      </c>
      <c r="L42" s="23">
        <f t="shared" si="1"/>
        <v>2.8571428571428572</v>
      </c>
      <c r="N42" s="23">
        <f t="shared" si="2"/>
        <v>3.5714285714285716</v>
      </c>
    </row>
    <row r="43" spans="1:14" x14ac:dyDescent="0.25">
      <c r="A43" s="125">
        <v>6.25E-2</v>
      </c>
      <c r="B43" s="124">
        <v>4.5</v>
      </c>
      <c r="C43" s="124">
        <v>4.5</v>
      </c>
      <c r="D43" s="35"/>
      <c r="E43" s="33">
        <v>25</v>
      </c>
      <c r="F43" s="34">
        <v>2</v>
      </c>
      <c r="G43" s="34">
        <v>2</v>
      </c>
      <c r="J43">
        <f t="shared" si="0"/>
        <v>1.5625E-2</v>
      </c>
      <c r="L43" s="23">
        <f t="shared" si="1"/>
        <v>3.5714285714285716</v>
      </c>
      <c r="N43" s="23">
        <f t="shared" si="2"/>
        <v>4.4642857142857144</v>
      </c>
    </row>
    <row r="44" spans="1:14" x14ac:dyDescent="0.25">
      <c r="A44" s="126">
        <v>7.4999999999999997E-2</v>
      </c>
      <c r="B44" s="127">
        <v>5</v>
      </c>
      <c r="C44" s="127">
        <v>5</v>
      </c>
      <c r="D44" s="35"/>
      <c r="E44" s="33">
        <v>30</v>
      </c>
      <c r="F44" s="34">
        <v>2</v>
      </c>
      <c r="G44" s="34">
        <v>2</v>
      </c>
      <c r="J44">
        <f t="shared" si="0"/>
        <v>1.8749999999999999E-2</v>
      </c>
      <c r="L44" s="23">
        <f t="shared" si="1"/>
        <v>4.2857142857142856</v>
      </c>
      <c r="N44" s="23">
        <f t="shared" si="2"/>
        <v>5.3571428571428577</v>
      </c>
    </row>
    <row r="45" spans="1:14" x14ac:dyDescent="0.25">
      <c r="A45" s="128">
        <v>8.7499999999999994E-2</v>
      </c>
      <c r="B45" s="127">
        <v>5.5</v>
      </c>
      <c r="C45" s="127">
        <v>5.5</v>
      </c>
      <c r="D45" s="35"/>
      <c r="E45" s="33">
        <v>35</v>
      </c>
      <c r="F45" s="34">
        <v>2</v>
      </c>
      <c r="G45" s="34">
        <v>2</v>
      </c>
      <c r="J45">
        <f t="shared" si="0"/>
        <v>2.1874999999999999E-2</v>
      </c>
      <c r="L45" s="23">
        <f t="shared" si="1"/>
        <v>5</v>
      </c>
      <c r="N45" s="23">
        <f t="shared" si="2"/>
        <v>6.25</v>
      </c>
    </row>
    <row r="46" spans="1:14" x14ac:dyDescent="0.25">
      <c r="A46" s="123">
        <v>0.1</v>
      </c>
      <c r="B46" s="124">
        <v>6</v>
      </c>
      <c r="C46" s="124">
        <v>6</v>
      </c>
      <c r="D46" s="35"/>
      <c r="E46" s="33">
        <v>40</v>
      </c>
      <c r="F46" s="34">
        <v>2</v>
      </c>
      <c r="G46" s="34">
        <v>2</v>
      </c>
      <c r="J46">
        <f t="shared" si="0"/>
        <v>2.5000000000000001E-2</v>
      </c>
      <c r="L46" s="23">
        <f t="shared" si="1"/>
        <v>5.7142857142857144</v>
      </c>
      <c r="N46" s="23">
        <f t="shared" si="2"/>
        <v>7.1428571428571432</v>
      </c>
    </row>
    <row r="47" spans="1:14" x14ac:dyDescent="0.25">
      <c r="A47" s="129">
        <v>0.1125</v>
      </c>
      <c r="B47" s="130">
        <v>6.5</v>
      </c>
      <c r="C47" s="130">
        <v>6.5</v>
      </c>
      <c r="D47" s="35"/>
      <c r="E47" s="33">
        <v>45</v>
      </c>
      <c r="F47" s="34">
        <v>2</v>
      </c>
      <c r="G47" s="34">
        <v>2</v>
      </c>
      <c r="J47">
        <f t="shared" si="0"/>
        <v>2.8125000000000001E-2</v>
      </c>
      <c r="L47" s="23">
        <f t="shared" si="1"/>
        <v>6.4285714285714288</v>
      </c>
      <c r="N47" s="23">
        <f t="shared" si="2"/>
        <v>8.0357142857142865</v>
      </c>
    </row>
    <row r="48" spans="1:14" x14ac:dyDescent="0.25">
      <c r="A48" s="126">
        <v>0.125</v>
      </c>
      <c r="B48" s="127">
        <v>7</v>
      </c>
      <c r="C48" s="127">
        <v>7</v>
      </c>
      <c r="D48" s="35"/>
      <c r="E48" s="33">
        <v>50</v>
      </c>
      <c r="F48" s="34">
        <v>2</v>
      </c>
      <c r="G48" s="34">
        <v>2</v>
      </c>
      <c r="J48">
        <f t="shared" si="0"/>
        <v>3.125E-2</v>
      </c>
      <c r="L48" s="23">
        <f t="shared" si="1"/>
        <v>7.1428571428571432</v>
      </c>
      <c r="N48" s="23">
        <f t="shared" si="2"/>
        <v>8.9285714285714288</v>
      </c>
    </row>
    <row r="49" spans="1:14" x14ac:dyDescent="0.25">
      <c r="A49" s="128">
        <v>0.13750000000000001</v>
      </c>
      <c r="B49" s="127">
        <v>7.5</v>
      </c>
      <c r="C49" s="127">
        <v>7.5</v>
      </c>
      <c r="D49" s="35"/>
      <c r="E49" s="33">
        <v>55</v>
      </c>
      <c r="F49" s="34">
        <v>2</v>
      </c>
      <c r="G49" s="34">
        <v>2</v>
      </c>
      <c r="J49">
        <f t="shared" si="0"/>
        <v>3.4375000000000003E-2</v>
      </c>
      <c r="L49" s="23">
        <f t="shared" ref="L49:L57" si="3">((J49-$J$38)*(25-0))/($J$58-$J$38)</f>
        <v>9.821428571428573</v>
      </c>
      <c r="N49" s="23">
        <f t="shared" si="2"/>
        <v>9.821428571428573</v>
      </c>
    </row>
    <row r="50" spans="1:14" x14ac:dyDescent="0.25">
      <c r="A50" s="123">
        <v>0.15</v>
      </c>
      <c r="B50" s="124">
        <v>8</v>
      </c>
      <c r="C50" s="124">
        <v>8</v>
      </c>
      <c r="D50" s="35"/>
      <c r="E50" s="33">
        <v>60</v>
      </c>
      <c r="F50" s="34">
        <v>2</v>
      </c>
      <c r="G50" s="34">
        <v>2</v>
      </c>
      <c r="J50">
        <f t="shared" si="0"/>
        <v>3.7499999999999999E-2</v>
      </c>
      <c r="L50" s="23">
        <f t="shared" si="3"/>
        <v>10.714285714285715</v>
      </c>
      <c r="N50" s="23">
        <f t="shared" si="2"/>
        <v>10.714285714285715</v>
      </c>
    </row>
    <row r="51" spans="1:14" x14ac:dyDescent="0.25">
      <c r="A51" s="131">
        <v>0.125</v>
      </c>
      <c r="B51" s="132">
        <v>8.5</v>
      </c>
      <c r="C51" s="132">
        <v>8.5</v>
      </c>
      <c r="D51" s="35"/>
      <c r="E51" s="33">
        <v>65</v>
      </c>
      <c r="F51" s="34">
        <v>2</v>
      </c>
      <c r="G51" s="34">
        <v>2</v>
      </c>
      <c r="J51">
        <f t="shared" si="0"/>
        <v>3.125E-2</v>
      </c>
      <c r="L51" s="23">
        <f t="shared" si="3"/>
        <v>8.9285714285714288</v>
      </c>
      <c r="N51" s="23">
        <f t="shared" si="2"/>
        <v>8.9285714285714288</v>
      </c>
    </row>
    <row r="52" spans="1:14" x14ac:dyDescent="0.25">
      <c r="A52" s="133">
        <v>0.2</v>
      </c>
      <c r="B52" s="134">
        <v>9</v>
      </c>
      <c r="C52" s="134">
        <v>9</v>
      </c>
      <c r="D52" s="35"/>
      <c r="E52" s="33">
        <v>70</v>
      </c>
      <c r="F52" s="34">
        <v>2</v>
      </c>
      <c r="G52" s="34">
        <v>2</v>
      </c>
      <c r="J52">
        <f t="shared" si="0"/>
        <v>0.05</v>
      </c>
      <c r="L52" s="23">
        <f t="shared" si="3"/>
        <v>14.285714285714286</v>
      </c>
      <c r="N52" s="23">
        <f t="shared" si="2"/>
        <v>14.285714285714286</v>
      </c>
    </row>
    <row r="53" spans="1:14" x14ac:dyDescent="0.25">
      <c r="A53" s="135">
        <v>0.22500000000000001</v>
      </c>
      <c r="B53" s="134">
        <v>9.5</v>
      </c>
      <c r="C53" s="134">
        <v>9.5</v>
      </c>
      <c r="D53" s="35"/>
      <c r="E53" s="33">
        <v>75</v>
      </c>
      <c r="F53" s="34">
        <v>2</v>
      </c>
      <c r="G53" s="34">
        <v>2</v>
      </c>
      <c r="J53">
        <f t="shared" si="0"/>
        <v>5.6250000000000001E-2</v>
      </c>
      <c r="L53" s="23">
        <f t="shared" si="3"/>
        <v>16.071428571428573</v>
      </c>
      <c r="N53" s="23">
        <f t="shared" si="2"/>
        <v>16.071428571428573</v>
      </c>
    </row>
    <row r="54" spans="1:14" x14ac:dyDescent="0.25">
      <c r="A54" s="133">
        <v>0.25</v>
      </c>
      <c r="B54" s="134">
        <v>10</v>
      </c>
      <c r="C54" s="134">
        <v>10</v>
      </c>
      <c r="D54" s="35"/>
      <c r="E54" s="33">
        <v>80</v>
      </c>
      <c r="F54" s="34">
        <v>2</v>
      </c>
      <c r="G54" s="34">
        <v>2</v>
      </c>
      <c r="J54">
        <f t="shared" si="0"/>
        <v>6.25E-2</v>
      </c>
      <c r="L54" s="23">
        <f t="shared" si="3"/>
        <v>17.857142857142858</v>
      </c>
      <c r="N54" s="23">
        <f t="shared" si="2"/>
        <v>17.857142857142858</v>
      </c>
    </row>
    <row r="55" spans="1:14" x14ac:dyDescent="0.25">
      <c r="A55" s="135">
        <v>0.27500000000000002</v>
      </c>
      <c r="B55" s="134">
        <v>10.5</v>
      </c>
      <c r="C55" s="134">
        <v>10.5</v>
      </c>
      <c r="D55" s="35"/>
      <c r="E55" s="33">
        <v>85</v>
      </c>
      <c r="F55" s="34">
        <v>2</v>
      </c>
      <c r="G55" s="34">
        <v>2</v>
      </c>
      <c r="J55">
        <f t="shared" si="0"/>
        <v>6.8750000000000006E-2</v>
      </c>
      <c r="L55" s="23">
        <f t="shared" si="3"/>
        <v>19.642857142857146</v>
      </c>
      <c r="N55" s="23">
        <f t="shared" si="2"/>
        <v>19.642857142857146</v>
      </c>
    </row>
    <row r="56" spans="1:14" x14ac:dyDescent="0.25">
      <c r="A56" s="133">
        <v>0.3</v>
      </c>
      <c r="B56" s="134">
        <v>11</v>
      </c>
      <c r="C56" s="134">
        <v>11</v>
      </c>
      <c r="D56" s="35"/>
      <c r="E56" s="33">
        <v>90</v>
      </c>
      <c r="F56" s="34">
        <v>2</v>
      </c>
      <c r="G56" s="34">
        <v>2</v>
      </c>
      <c r="J56">
        <f t="shared" si="0"/>
        <v>7.4999999999999997E-2</v>
      </c>
      <c r="L56" s="23">
        <f t="shared" si="3"/>
        <v>21.428571428571431</v>
      </c>
      <c r="N56" s="23">
        <f t="shared" si="2"/>
        <v>21.428571428571431</v>
      </c>
    </row>
    <row r="57" spans="1:14" x14ac:dyDescent="0.25">
      <c r="A57" s="135">
        <v>0.32500000000000001</v>
      </c>
      <c r="B57" s="134">
        <v>11.5</v>
      </c>
      <c r="C57" s="134">
        <v>11.5</v>
      </c>
      <c r="D57" s="35"/>
      <c r="E57" s="33">
        <v>95</v>
      </c>
      <c r="F57" s="34">
        <v>2</v>
      </c>
      <c r="G57" s="34">
        <v>2</v>
      </c>
      <c r="J57">
        <f t="shared" si="0"/>
        <v>8.1250000000000003E-2</v>
      </c>
      <c r="L57" s="23">
        <f t="shared" si="3"/>
        <v>23.214285714285715</v>
      </c>
      <c r="N57" s="23">
        <f t="shared" si="2"/>
        <v>23.214285714285715</v>
      </c>
    </row>
    <row r="58" spans="1:14" x14ac:dyDescent="0.25">
      <c r="A58" s="133">
        <v>0.35</v>
      </c>
      <c r="B58" s="134">
        <v>12</v>
      </c>
      <c r="C58" s="134">
        <v>12</v>
      </c>
      <c r="D58" s="35"/>
      <c r="E58" s="33">
        <v>100</v>
      </c>
      <c r="F58" s="34">
        <v>2</v>
      </c>
      <c r="G58" s="34">
        <v>2</v>
      </c>
      <c r="J58">
        <f>0.25*A58</f>
        <v>8.7499999999999994E-2</v>
      </c>
      <c r="L58" s="23">
        <f>((J58-$J$38)*(25-0))/($J$58-$J$38)</f>
        <v>25</v>
      </c>
      <c r="N58" s="23">
        <f t="shared" si="2"/>
        <v>25</v>
      </c>
    </row>
    <row r="59" spans="1:14" x14ac:dyDescent="0.25">
      <c r="A59" s="135">
        <v>0.375</v>
      </c>
      <c r="B59" s="134">
        <v>12.5</v>
      </c>
      <c r="C59" s="134">
        <v>12.5</v>
      </c>
    </row>
    <row r="60" spans="1:14" x14ac:dyDescent="0.25">
      <c r="A60" s="133">
        <v>0.4</v>
      </c>
      <c r="B60" s="134">
        <v>13</v>
      </c>
      <c r="C60" s="134">
        <v>13</v>
      </c>
    </row>
    <row r="61" spans="1:14" x14ac:dyDescent="0.25">
      <c r="A61" s="135">
        <v>0.42499999999999999</v>
      </c>
      <c r="B61" s="134">
        <v>13.5</v>
      </c>
      <c r="C61" s="134">
        <v>13.5</v>
      </c>
    </row>
    <row r="62" spans="1:14" ht="15.75" x14ac:dyDescent="0.25">
      <c r="A62" s="133">
        <v>0.45</v>
      </c>
      <c r="B62" s="134">
        <v>14</v>
      </c>
      <c r="C62" s="134">
        <v>14</v>
      </c>
      <c r="D62" s="18"/>
      <c r="E62" s="18"/>
      <c r="F62" s="18"/>
      <c r="G62" s="18"/>
      <c r="H62" s="18"/>
      <c r="I62" s="19"/>
    </row>
    <row r="63" spans="1:14" x14ac:dyDescent="0.25">
      <c r="A63" s="135">
        <v>0.47499999999999998</v>
      </c>
      <c r="B63" s="134">
        <v>14.5</v>
      </c>
      <c r="C63" s="134">
        <v>14.5</v>
      </c>
    </row>
    <row r="64" spans="1:14" x14ac:dyDescent="0.25">
      <c r="A64" s="133">
        <v>0.5</v>
      </c>
      <c r="B64" s="134">
        <v>15</v>
      </c>
      <c r="C64" s="134">
        <v>15</v>
      </c>
      <c r="D64" s="17"/>
    </row>
    <row r="65" spans="1:14" x14ac:dyDescent="0.25">
      <c r="A65" s="135">
        <v>0.52500000000000002</v>
      </c>
      <c r="B65" s="134">
        <v>15.5</v>
      </c>
      <c r="C65" s="134">
        <v>15.5</v>
      </c>
      <c r="D65" s="17"/>
    </row>
    <row r="66" spans="1:14" x14ac:dyDescent="0.25">
      <c r="A66" s="133">
        <v>0.55000000000000004</v>
      </c>
      <c r="B66" s="134">
        <v>16</v>
      </c>
      <c r="C66" s="134">
        <v>16</v>
      </c>
      <c r="D66" s="36"/>
      <c r="J66">
        <f>0.25*A66</f>
        <v>0.13750000000000001</v>
      </c>
      <c r="L66" s="23">
        <f>0+((J66-$J$66)*(22-0))/($J$86-$J$66)</f>
        <v>0</v>
      </c>
      <c r="N66" s="23">
        <f>0+((J66-$J$66)*(20-0))/($J$86-$J$66)</f>
        <v>0</v>
      </c>
    </row>
    <row r="67" spans="1:14" x14ac:dyDescent="0.25">
      <c r="A67" s="135">
        <v>0.57499999999999996</v>
      </c>
      <c r="B67" s="134">
        <v>16.5</v>
      </c>
      <c r="C67" s="134">
        <v>16.5</v>
      </c>
      <c r="D67" s="36"/>
      <c r="J67">
        <f t="shared" ref="J67:J85" si="4">0.25*A67</f>
        <v>0.14374999999999999</v>
      </c>
      <c r="L67" s="23">
        <f t="shared" ref="L67:L86" si="5">0+((J67-$J$66)*(22-0))/($J$86-$J$66)</f>
        <v>-0.99999999999999634</v>
      </c>
      <c r="N67" s="23">
        <f t="shared" ref="N67:N75" si="6">0+((J67-$J$66)*(20-0))/($J$86-$J$66)</f>
        <v>-0.90909090909090584</v>
      </c>
    </row>
    <row r="68" spans="1:14" x14ac:dyDescent="0.25">
      <c r="A68" s="133">
        <v>0.6</v>
      </c>
      <c r="B68" s="134">
        <v>17</v>
      </c>
      <c r="C68" s="134">
        <v>17</v>
      </c>
      <c r="D68" s="36"/>
      <c r="J68">
        <f t="shared" si="4"/>
        <v>0.15</v>
      </c>
      <c r="L68" s="23">
        <f t="shared" si="5"/>
        <v>-1.9999999999999971</v>
      </c>
      <c r="N68" s="23">
        <f t="shared" si="6"/>
        <v>-1.8181818181818157</v>
      </c>
    </row>
    <row r="69" spans="1:14" x14ac:dyDescent="0.25">
      <c r="A69" s="135">
        <v>0.625</v>
      </c>
      <c r="B69" s="134">
        <v>17.5</v>
      </c>
      <c r="C69" s="134">
        <v>17.5</v>
      </c>
      <c r="D69" s="36"/>
      <c r="J69">
        <f t="shared" si="4"/>
        <v>0.15625</v>
      </c>
      <c r="L69" s="23">
        <f t="shared" si="5"/>
        <v>-2.9999999999999978</v>
      </c>
      <c r="N69" s="23">
        <f t="shared" si="6"/>
        <v>-2.7272727272727253</v>
      </c>
    </row>
    <row r="70" spans="1:14" x14ac:dyDescent="0.25">
      <c r="A70" s="133">
        <v>0.65</v>
      </c>
      <c r="B70" s="134">
        <v>18</v>
      </c>
      <c r="C70" s="134">
        <v>18</v>
      </c>
      <c r="D70" s="36"/>
      <c r="J70">
        <f t="shared" si="4"/>
        <v>0.16250000000000001</v>
      </c>
      <c r="L70" s="23">
        <f t="shared" si="5"/>
        <v>-3.9999999999999982</v>
      </c>
      <c r="N70" s="23">
        <f t="shared" si="6"/>
        <v>-3.6363636363636354</v>
      </c>
    </row>
    <row r="71" spans="1:14" x14ac:dyDescent="0.25">
      <c r="A71" s="135">
        <v>0.67500000000000004</v>
      </c>
      <c r="B71" s="134">
        <v>18.5</v>
      </c>
      <c r="C71" s="134">
        <v>18.5</v>
      </c>
      <c r="D71" s="36"/>
      <c r="J71">
        <f t="shared" si="4"/>
        <v>0.16875000000000001</v>
      </c>
      <c r="L71" s="23">
        <f t="shared" si="5"/>
        <v>-5</v>
      </c>
      <c r="N71" s="23">
        <f t="shared" si="6"/>
        <v>-4.545454545454545</v>
      </c>
    </row>
    <row r="72" spans="1:14" x14ac:dyDescent="0.25">
      <c r="A72" s="133">
        <v>0.7</v>
      </c>
      <c r="B72" s="134">
        <v>19</v>
      </c>
      <c r="C72" s="134">
        <v>19</v>
      </c>
      <c r="D72" s="36"/>
      <c r="J72">
        <f t="shared" si="4"/>
        <v>0.17499999999999999</v>
      </c>
      <c r="L72" s="23">
        <f t="shared" si="5"/>
        <v>-5.9999999999999956</v>
      </c>
      <c r="N72" s="23">
        <f t="shared" si="6"/>
        <v>-5.4545454545454506</v>
      </c>
    </row>
    <row r="73" spans="1:14" x14ac:dyDescent="0.25">
      <c r="A73" s="135">
        <v>0.72499999999999998</v>
      </c>
      <c r="B73" s="134">
        <v>19.5</v>
      </c>
      <c r="C73" s="134">
        <v>19.5</v>
      </c>
      <c r="D73" s="36"/>
      <c r="J73">
        <f t="shared" si="4"/>
        <v>0.18124999999999999</v>
      </c>
      <c r="L73" s="23">
        <f t="shared" si="5"/>
        <v>-6.9999999999999973</v>
      </c>
      <c r="N73" s="23">
        <f t="shared" si="6"/>
        <v>-6.3636363636363606</v>
      </c>
    </row>
    <row r="74" spans="1:14" x14ac:dyDescent="0.25">
      <c r="A74" s="133">
        <v>0.75</v>
      </c>
      <c r="B74" s="134">
        <v>20</v>
      </c>
      <c r="C74" s="134">
        <v>20</v>
      </c>
      <c r="D74" s="36"/>
      <c r="J74">
        <f t="shared" si="4"/>
        <v>0.1875</v>
      </c>
      <c r="L74" s="23">
        <f t="shared" si="5"/>
        <v>-7.9999999999999964</v>
      </c>
      <c r="N74" s="23">
        <f t="shared" si="6"/>
        <v>-7.2727272727272707</v>
      </c>
    </row>
    <row r="75" spans="1:14" x14ac:dyDescent="0.25">
      <c r="A75" s="135">
        <v>0.77500000000000002</v>
      </c>
      <c r="B75" s="134">
        <v>20.5</v>
      </c>
      <c r="C75" s="134">
        <v>20.5</v>
      </c>
      <c r="D75" s="36"/>
      <c r="J75">
        <f t="shared" si="4"/>
        <v>0.19375000000000001</v>
      </c>
      <c r="L75" s="23">
        <f t="shared" si="5"/>
        <v>-8.9999999999999982</v>
      </c>
      <c r="N75" s="23">
        <f t="shared" si="6"/>
        <v>-8.1818181818181817</v>
      </c>
    </row>
    <row r="76" spans="1:14" x14ac:dyDescent="0.25">
      <c r="A76" s="133">
        <v>0.8</v>
      </c>
      <c r="B76" s="134">
        <v>21</v>
      </c>
      <c r="C76" s="134">
        <v>21</v>
      </c>
      <c r="D76" s="36"/>
      <c r="J76">
        <f t="shared" si="4"/>
        <v>0.2</v>
      </c>
      <c r="L76" s="23">
        <f t="shared" si="5"/>
        <v>-10</v>
      </c>
      <c r="N76" s="23">
        <f>0+((J76-$J$66)*(20-0))/($J$86-$J$66)</f>
        <v>-9.0909090909090899</v>
      </c>
    </row>
    <row r="77" spans="1:14" x14ac:dyDescent="0.25">
      <c r="A77" s="135">
        <v>0.82499999999999996</v>
      </c>
      <c r="B77" s="134">
        <v>21.5</v>
      </c>
      <c r="C77" s="134">
        <v>21.5</v>
      </c>
      <c r="D77" s="36"/>
      <c r="J77">
        <f t="shared" si="4"/>
        <v>0.20624999999999999</v>
      </c>
      <c r="L77" s="23">
        <f t="shared" si="5"/>
        <v>-10.999999999999996</v>
      </c>
      <c r="N77" s="23">
        <f t="shared" ref="N77:N86" si="7">0+((J77-$J$66)*(20-0))/($J$86-$J$66)</f>
        <v>-9.9999999999999964</v>
      </c>
    </row>
    <row r="78" spans="1:14" x14ac:dyDescent="0.25">
      <c r="A78" s="133">
        <v>0.85</v>
      </c>
      <c r="B78" s="134">
        <v>22</v>
      </c>
      <c r="C78" s="134">
        <v>22</v>
      </c>
      <c r="D78" s="36"/>
      <c r="J78">
        <f t="shared" si="4"/>
        <v>0.21249999999999999</v>
      </c>
      <c r="L78" s="23">
        <f t="shared" si="5"/>
        <v>-11.999999999999996</v>
      </c>
      <c r="N78" s="23">
        <f t="shared" si="7"/>
        <v>-10.909090909090905</v>
      </c>
    </row>
    <row r="79" spans="1:14" x14ac:dyDescent="0.25">
      <c r="A79" s="135">
        <v>0.875</v>
      </c>
      <c r="B79" s="134">
        <v>22.5</v>
      </c>
      <c r="C79" s="134">
        <v>22.5</v>
      </c>
      <c r="D79" s="36"/>
      <c r="J79">
        <f t="shared" si="4"/>
        <v>0.21875</v>
      </c>
      <c r="L79" s="23">
        <f t="shared" si="5"/>
        <v>-12.999999999999996</v>
      </c>
      <c r="N79" s="23">
        <f t="shared" si="7"/>
        <v>-11.818181818181815</v>
      </c>
    </row>
    <row r="80" spans="1:14" x14ac:dyDescent="0.25">
      <c r="A80" s="133">
        <v>0.9</v>
      </c>
      <c r="B80" s="134">
        <v>23</v>
      </c>
      <c r="C80" s="134">
        <v>23</v>
      </c>
      <c r="D80" s="36"/>
      <c r="J80">
        <f t="shared" si="4"/>
        <v>0.22500000000000001</v>
      </c>
      <c r="L80" s="23">
        <f t="shared" si="5"/>
        <v>-13.999999999999998</v>
      </c>
      <c r="N80" s="23">
        <f t="shared" si="7"/>
        <v>-12.727272727272727</v>
      </c>
    </row>
    <row r="81" spans="1:14" x14ac:dyDescent="0.25">
      <c r="A81" s="135">
        <v>0.92500000000000004</v>
      </c>
      <c r="B81" s="134">
        <v>23.5</v>
      </c>
      <c r="C81" s="134">
        <v>23.5</v>
      </c>
      <c r="D81" s="36"/>
      <c r="J81">
        <f t="shared" si="4"/>
        <v>0.23125000000000001</v>
      </c>
      <c r="L81" s="23">
        <f t="shared" si="5"/>
        <v>-14.999999999999998</v>
      </c>
      <c r="N81" s="23">
        <f t="shared" si="7"/>
        <v>-13.636363636363635</v>
      </c>
    </row>
    <row r="82" spans="1:14" x14ac:dyDescent="0.25">
      <c r="A82" s="133">
        <v>0.95</v>
      </c>
      <c r="B82" s="134">
        <v>24</v>
      </c>
      <c r="C82" s="134">
        <v>24</v>
      </c>
      <c r="D82" s="36"/>
      <c r="J82">
        <f t="shared" si="4"/>
        <v>0.23749999999999999</v>
      </c>
      <c r="L82" s="23">
        <f t="shared" si="5"/>
        <v>-15.999999999999993</v>
      </c>
      <c r="N82" s="23">
        <f t="shared" si="7"/>
        <v>-14.545454545454541</v>
      </c>
    </row>
    <row r="83" spans="1:14" x14ac:dyDescent="0.25">
      <c r="A83" s="136">
        <v>0.97499999999999998</v>
      </c>
      <c r="B83" s="134">
        <v>24.5</v>
      </c>
      <c r="C83" s="134">
        <v>24.5</v>
      </c>
      <c r="D83" s="36"/>
      <c r="J83">
        <f t="shared" si="4"/>
        <v>0.24374999999999999</v>
      </c>
      <c r="L83" s="23">
        <f t="shared" si="5"/>
        <v>-16.999999999999996</v>
      </c>
      <c r="N83" s="23">
        <f t="shared" si="7"/>
        <v>-15.45454545454545</v>
      </c>
    </row>
    <row r="84" spans="1:14" ht="15.75" thickBot="1" x14ac:dyDescent="0.3">
      <c r="A84" s="137">
        <v>1</v>
      </c>
      <c r="B84" s="134">
        <v>25</v>
      </c>
      <c r="C84" s="134">
        <v>25</v>
      </c>
      <c r="D84" s="36"/>
      <c r="J84">
        <f t="shared" si="4"/>
        <v>0.25</v>
      </c>
      <c r="L84" s="23">
        <f t="shared" si="5"/>
        <v>-17.999999999999996</v>
      </c>
      <c r="N84" s="23">
        <f t="shared" si="7"/>
        <v>-16.363636363636363</v>
      </c>
    </row>
    <row r="85" spans="1:14" ht="15.75" thickBot="1" x14ac:dyDescent="0.3">
      <c r="A85" s="20"/>
      <c r="B85" s="24"/>
      <c r="C85" s="24"/>
      <c r="D85" s="36"/>
      <c r="J85">
        <f t="shared" si="4"/>
        <v>0</v>
      </c>
      <c r="L85" s="23">
        <f t="shared" si="5"/>
        <v>22</v>
      </c>
      <c r="N85" s="23">
        <f t="shared" si="7"/>
        <v>20</v>
      </c>
    </row>
    <row r="86" spans="1:14" ht="15.75" thickBot="1" x14ac:dyDescent="0.3">
      <c r="A86" s="20"/>
      <c r="B86" s="24"/>
      <c r="C86" s="24"/>
      <c r="D86" s="36"/>
      <c r="J86">
        <f>0.25*A86</f>
        <v>0</v>
      </c>
      <c r="L86" s="23">
        <f t="shared" si="5"/>
        <v>22</v>
      </c>
      <c r="N86" s="23">
        <f t="shared" si="7"/>
        <v>20</v>
      </c>
    </row>
    <row r="87" spans="1:14" x14ac:dyDescent="0.25">
      <c r="A87" s="22"/>
      <c r="B87" s="17"/>
      <c r="C87" s="17"/>
      <c r="D87" s="17"/>
    </row>
    <row r="88" spans="1:14" x14ac:dyDescent="0.25">
      <c r="A88" t="s">
        <v>104</v>
      </c>
    </row>
    <row r="89" spans="1:14" x14ac:dyDescent="0.25">
      <c r="C89" t="s">
        <v>109</v>
      </c>
    </row>
    <row r="91" spans="1:14" x14ac:dyDescent="0.25">
      <c r="B91">
        <v>1</v>
      </c>
      <c r="C91">
        <v>0</v>
      </c>
      <c r="H91">
        <f t="shared" ref="H91:H100" si="8">0.25*B91</f>
        <v>0.25</v>
      </c>
      <c r="J91" s="23">
        <f>1+((H91-$H$91)*(25-1))/($H$100-$H$91)</f>
        <v>1</v>
      </c>
      <c r="L91" s="23"/>
    </row>
    <row r="92" spans="1:14" x14ac:dyDescent="0.25">
      <c r="B92">
        <v>2</v>
      </c>
      <c r="C92">
        <v>0</v>
      </c>
      <c r="H92">
        <f t="shared" si="8"/>
        <v>0.5</v>
      </c>
      <c r="J92" s="23">
        <f t="shared" ref="J92:J100" si="9">1+((H92-$H$91)*(25-1))/($H$100-$H$91)</f>
        <v>3.6666666666666665</v>
      </c>
      <c r="L92" s="23"/>
    </row>
    <row r="93" spans="1:14" x14ac:dyDescent="0.25">
      <c r="B93">
        <v>3</v>
      </c>
      <c r="C93">
        <v>0</v>
      </c>
      <c r="H93">
        <f t="shared" si="8"/>
        <v>0.75</v>
      </c>
      <c r="J93" s="23">
        <f t="shared" si="9"/>
        <v>6.333333333333333</v>
      </c>
      <c r="L93" s="23"/>
    </row>
    <row r="94" spans="1:14" x14ac:dyDescent="0.25">
      <c r="B94">
        <v>4</v>
      </c>
      <c r="C94">
        <v>0</v>
      </c>
      <c r="H94">
        <f t="shared" si="8"/>
        <v>1</v>
      </c>
      <c r="J94" s="23">
        <f t="shared" si="9"/>
        <v>9</v>
      </c>
      <c r="L94" s="23"/>
    </row>
    <row r="95" spans="1:14" x14ac:dyDescent="0.25">
      <c r="B95">
        <v>5</v>
      </c>
      <c r="C95">
        <v>2</v>
      </c>
      <c r="H95">
        <f t="shared" si="8"/>
        <v>1.25</v>
      </c>
      <c r="J95" s="23">
        <f t="shared" si="9"/>
        <v>11.666666666666666</v>
      </c>
      <c r="L95" s="23"/>
    </row>
    <row r="96" spans="1:14" x14ac:dyDescent="0.25">
      <c r="B96">
        <v>6</v>
      </c>
      <c r="C96">
        <v>5</v>
      </c>
      <c r="H96">
        <f t="shared" si="8"/>
        <v>1.5</v>
      </c>
      <c r="J96" s="23">
        <f t="shared" si="9"/>
        <v>14.333333333333334</v>
      </c>
      <c r="L96" s="23"/>
    </row>
    <row r="97" spans="1:12" x14ac:dyDescent="0.25">
      <c r="B97">
        <v>7</v>
      </c>
      <c r="C97">
        <v>10</v>
      </c>
      <c r="H97">
        <f t="shared" si="8"/>
        <v>1.75</v>
      </c>
      <c r="J97" s="23">
        <f t="shared" si="9"/>
        <v>17</v>
      </c>
      <c r="L97" s="23"/>
    </row>
    <row r="98" spans="1:12" x14ac:dyDescent="0.25">
      <c r="B98">
        <v>8</v>
      </c>
      <c r="C98">
        <v>15</v>
      </c>
      <c r="H98">
        <f t="shared" si="8"/>
        <v>2</v>
      </c>
      <c r="J98" s="23">
        <f t="shared" si="9"/>
        <v>19.666666666666668</v>
      </c>
      <c r="L98" s="23"/>
    </row>
    <row r="99" spans="1:12" x14ac:dyDescent="0.25">
      <c r="B99">
        <v>9</v>
      </c>
      <c r="C99">
        <v>20</v>
      </c>
      <c r="H99">
        <f t="shared" si="8"/>
        <v>2.25</v>
      </c>
      <c r="J99" s="23">
        <f t="shared" si="9"/>
        <v>22.333333333333332</v>
      </c>
      <c r="L99" s="23"/>
    </row>
    <row r="100" spans="1:12" x14ac:dyDescent="0.25">
      <c r="B100">
        <v>10</v>
      </c>
      <c r="C100">
        <v>25</v>
      </c>
      <c r="H100">
        <f t="shared" si="8"/>
        <v>2.5</v>
      </c>
      <c r="J100" s="23">
        <f t="shared" si="9"/>
        <v>25</v>
      </c>
      <c r="L100" s="23"/>
    </row>
    <row r="103" spans="1:12" x14ac:dyDescent="0.25">
      <c r="A103" s="6" t="s">
        <v>111</v>
      </c>
      <c r="B103" t="s">
        <v>116</v>
      </c>
    </row>
    <row r="104" spans="1:12" x14ac:dyDescent="0.25">
      <c r="A104" s="6"/>
    </row>
    <row r="105" spans="1:12" x14ac:dyDescent="0.25">
      <c r="A105" t="s">
        <v>112</v>
      </c>
      <c r="B105" s="5" t="e">
        <f>'Compliance Route 1 (Offices)'!H23</f>
        <v>#N/A</v>
      </c>
    </row>
    <row r="106" spans="1:12" x14ac:dyDescent="0.25">
      <c r="A106" t="s">
        <v>113</v>
      </c>
      <c r="B106" s="5" t="e">
        <f>'Compliance Route 2 (SANS Bench)'!I23</f>
        <v>#N/A</v>
      </c>
    </row>
    <row r="107" spans="1:12" x14ac:dyDescent="0.25">
      <c r="A107" t="s">
        <v>114</v>
      </c>
      <c r="B107" s="5" t="e">
        <f>'Compliance Route 3 (Comparable)'!I24</f>
        <v>#DIV/0!</v>
      </c>
    </row>
    <row r="108" spans="1:12" x14ac:dyDescent="0.25">
      <c r="A108" t="s">
        <v>115</v>
      </c>
      <c r="B108" s="5">
        <f>'Compliance Route 4 (Historical)'!I24</f>
        <v>0</v>
      </c>
    </row>
  </sheetData>
  <mergeCells count="5">
    <mergeCell ref="O27:O28"/>
    <mergeCell ref="P27:P28"/>
    <mergeCell ref="Q27:Q28"/>
    <mergeCell ref="A36:A37"/>
    <mergeCell ref="B36:C3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21"/>
  <sheetViews>
    <sheetView showGridLines="0" workbookViewId="0">
      <selection activeCell="B24" sqref="B24"/>
    </sheetView>
  </sheetViews>
  <sheetFormatPr defaultColWidth="8.85546875" defaultRowHeight="15" x14ac:dyDescent="0.25"/>
  <cols>
    <col min="1" max="1" width="27" customWidth="1"/>
    <col min="2" max="2" width="27.85546875" customWidth="1"/>
    <col min="4" max="4" width="19.7109375" customWidth="1"/>
  </cols>
  <sheetData>
    <row r="2" spans="1:7" ht="15.75" x14ac:dyDescent="0.25">
      <c r="G2" s="1" t="s">
        <v>0</v>
      </c>
    </row>
    <row r="3" spans="1:7" ht="15.75" x14ac:dyDescent="0.25">
      <c r="G3" s="1" t="s">
        <v>1</v>
      </c>
    </row>
    <row r="7" spans="1:7" x14ac:dyDescent="0.25">
      <c r="A7" s="2" t="s">
        <v>2</v>
      </c>
      <c r="B7" s="3"/>
      <c r="D7" s="2" t="s">
        <v>11</v>
      </c>
    </row>
    <row r="8" spans="1:7" x14ac:dyDescent="0.25">
      <c r="A8" s="2"/>
      <c r="B8" s="3"/>
    </row>
    <row r="9" spans="1:7" x14ac:dyDescent="0.25">
      <c r="A9" t="s">
        <v>3</v>
      </c>
      <c r="B9" s="4"/>
      <c r="D9" t="s">
        <v>12</v>
      </c>
    </row>
    <row r="10" spans="1:7" x14ac:dyDescent="0.25">
      <c r="B10" s="4"/>
    </row>
    <row r="11" spans="1:7" x14ac:dyDescent="0.25">
      <c r="B11" s="4"/>
    </row>
    <row r="12" spans="1:7" x14ac:dyDescent="0.25">
      <c r="A12" t="s">
        <v>4</v>
      </c>
      <c r="B12" s="4"/>
    </row>
    <row r="13" spans="1:7" x14ac:dyDescent="0.25">
      <c r="A13" t="s">
        <v>5</v>
      </c>
      <c r="B13" s="4"/>
    </row>
    <row r="14" spans="1:7" x14ac:dyDescent="0.25">
      <c r="A14" t="s">
        <v>6</v>
      </c>
      <c r="B14" s="4"/>
    </row>
    <row r="15" spans="1:7" x14ac:dyDescent="0.25">
      <c r="A15" t="s">
        <v>7</v>
      </c>
      <c r="B15" s="4"/>
    </row>
    <row r="18" spans="1:2" x14ac:dyDescent="0.25">
      <c r="A18" s="2" t="s">
        <v>8</v>
      </c>
    </row>
    <row r="20" spans="1:2" x14ac:dyDescent="0.25">
      <c r="A20" t="s">
        <v>10</v>
      </c>
      <c r="B20" s="4"/>
    </row>
    <row r="21" spans="1:2" x14ac:dyDescent="0.25">
      <c r="A21" t="s">
        <v>9</v>
      </c>
      <c r="B21" s="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U36"/>
  <sheetViews>
    <sheetView showGridLines="0" tabSelected="1" workbookViewId="0">
      <selection activeCell="A37" sqref="A37"/>
    </sheetView>
  </sheetViews>
  <sheetFormatPr defaultColWidth="8.85546875" defaultRowHeight="15" x14ac:dyDescent="0.25"/>
  <cols>
    <col min="4" max="4" width="16.42578125" bestFit="1" customWidth="1"/>
    <col min="15" max="15" width="9.140625" customWidth="1"/>
  </cols>
  <sheetData>
    <row r="1" spans="1:21" ht="41.25" customHeight="1" x14ac:dyDescent="0.25">
      <c r="F1" s="1"/>
      <c r="G1" s="157" t="s">
        <v>140</v>
      </c>
      <c r="H1" s="157"/>
      <c r="I1" s="157"/>
      <c r="J1" s="157"/>
      <c r="K1" s="157"/>
      <c r="L1" s="157"/>
      <c r="M1" s="157"/>
      <c r="N1" s="157"/>
      <c r="O1" s="157"/>
      <c r="Q1" s="2" t="s">
        <v>139</v>
      </c>
    </row>
    <row r="2" spans="1:21" ht="15.75" customHeight="1" x14ac:dyDescent="0.25">
      <c r="F2" s="1"/>
      <c r="G2" s="157"/>
      <c r="H2" s="157"/>
      <c r="I2" s="157"/>
      <c r="J2" s="157"/>
      <c r="K2" s="157"/>
      <c r="L2" s="157"/>
      <c r="M2" s="157"/>
      <c r="N2" s="157"/>
      <c r="O2" s="157"/>
    </row>
    <row r="4" spans="1:21" ht="15.75" x14ac:dyDescent="0.25">
      <c r="A4" s="39" t="s">
        <v>141</v>
      </c>
      <c r="B4" s="21"/>
      <c r="C4" s="21"/>
      <c r="D4" s="21"/>
      <c r="E4" s="21"/>
      <c r="F4" s="21"/>
      <c r="G4" s="21"/>
      <c r="H4" s="21"/>
      <c r="I4" s="2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1" ht="22.5" customHeight="1" x14ac:dyDescent="0.25">
      <c r="A5" s="40" t="s">
        <v>142</v>
      </c>
      <c r="R5" t="s">
        <v>180</v>
      </c>
    </row>
    <row r="6" spans="1:21" ht="8.2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25">
      <c r="J7" s="164"/>
      <c r="K7" s="164"/>
      <c r="M7" s="164"/>
      <c r="O7" s="164"/>
      <c r="P7" s="164"/>
    </row>
    <row r="8" spans="1:21" x14ac:dyDescent="0.25">
      <c r="J8" s="164"/>
      <c r="K8" s="164"/>
      <c r="M8" s="164"/>
      <c r="O8" s="164"/>
      <c r="P8" s="164"/>
    </row>
    <row r="9" spans="1:21" x14ac:dyDescent="0.25">
      <c r="J9" s="164"/>
      <c r="K9" s="164"/>
      <c r="M9" s="164"/>
      <c r="O9" s="164"/>
      <c r="P9" s="164"/>
    </row>
    <row r="10" spans="1:21" x14ac:dyDescent="0.25">
      <c r="J10" s="164"/>
      <c r="K10" s="164"/>
      <c r="M10" s="164"/>
      <c r="O10" s="164"/>
      <c r="P10" s="164"/>
    </row>
    <row r="11" spans="1:21" x14ac:dyDescent="0.25">
      <c r="M11" s="164"/>
      <c r="O11" s="164"/>
      <c r="P11" s="164"/>
    </row>
    <row r="16" spans="1:21" ht="15.75" x14ac:dyDescent="0.25">
      <c r="A16" s="39" t="s">
        <v>117</v>
      </c>
    </row>
    <row r="27" spans="4:17" ht="23.25" customHeight="1" thickBot="1" x14ac:dyDescent="0.3">
      <c r="D27" s="110" t="s">
        <v>156</v>
      </c>
    </row>
    <row r="28" spans="4:17" ht="15.75" thickBot="1" x14ac:dyDescent="0.3">
      <c r="D28" s="111" t="s">
        <v>154</v>
      </c>
      <c r="E28" s="158" t="s">
        <v>155</v>
      </c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</row>
    <row r="29" spans="4:17" x14ac:dyDescent="0.25">
      <c r="D29" s="151">
        <v>41597</v>
      </c>
      <c r="E29" s="160" t="s">
        <v>157</v>
      </c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1"/>
    </row>
    <row r="30" spans="4:17" x14ac:dyDescent="0.25">
      <c r="D30" s="152">
        <v>41671</v>
      </c>
      <c r="E30" s="165" t="s">
        <v>158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</row>
    <row r="31" spans="4:17" x14ac:dyDescent="0.25">
      <c r="D31" s="152">
        <v>41709</v>
      </c>
      <c r="E31" s="167" t="s">
        <v>160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8"/>
    </row>
    <row r="32" spans="4:17" x14ac:dyDescent="0.25">
      <c r="D32" s="152">
        <v>41816</v>
      </c>
      <c r="E32" s="167" t="s">
        <v>172</v>
      </c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</row>
    <row r="33" spans="4:17" x14ac:dyDescent="0.25">
      <c r="D33" s="153">
        <v>41942</v>
      </c>
      <c r="E33" s="167" t="s">
        <v>173</v>
      </c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8"/>
    </row>
    <row r="34" spans="4:17" ht="15.75" thickBot="1" x14ac:dyDescent="0.3">
      <c r="D34" s="154">
        <v>41946</v>
      </c>
      <c r="E34" s="162" t="s">
        <v>179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</row>
    <row r="36" spans="4:17" x14ac:dyDescent="0.25">
      <c r="G36" t="s">
        <v>171</v>
      </c>
    </row>
  </sheetData>
  <sheetProtection password="AD9B" sheet="1" objects="1" scenarios="1"/>
  <mergeCells count="11">
    <mergeCell ref="G1:O2"/>
    <mergeCell ref="E28:Q28"/>
    <mergeCell ref="E29:Q29"/>
    <mergeCell ref="E34:Q34"/>
    <mergeCell ref="J7:K10"/>
    <mergeCell ref="M7:M11"/>
    <mergeCell ref="O7:P11"/>
    <mergeCell ref="E30:Q30"/>
    <mergeCell ref="E31:Q31"/>
    <mergeCell ref="E32:Q32"/>
    <mergeCell ref="E33:Q33"/>
  </mergeCells>
  <pageMargins left="0.7" right="0.7" top="0.75" bottom="0.75" header="0.3" footer="0.3"/>
  <pageSetup paperSize="9"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0"/>
  <sheetViews>
    <sheetView showGridLines="0" workbookViewId="0">
      <selection activeCell="G18" sqref="G18"/>
    </sheetView>
  </sheetViews>
  <sheetFormatPr defaultColWidth="8.85546875" defaultRowHeight="15" x14ac:dyDescent="0.25"/>
  <cols>
    <col min="1" max="1" width="27.28515625" style="43" customWidth="1"/>
    <col min="2" max="2" width="26.140625" style="43" customWidth="1"/>
    <col min="3" max="3" width="8.85546875" style="43"/>
    <col min="4" max="4" width="25.7109375" style="43" customWidth="1"/>
    <col min="5" max="5" width="8.85546875" style="43"/>
    <col min="6" max="6" width="7.42578125" style="43" customWidth="1"/>
    <col min="7" max="7" width="11.28515625" style="43" customWidth="1"/>
    <col min="8" max="8" width="16" style="43" customWidth="1"/>
    <col min="9" max="9" width="17.42578125" style="43" customWidth="1"/>
    <col min="10" max="16384" width="8.85546875" style="43"/>
  </cols>
  <sheetData>
    <row r="1" spans="1:10" ht="36" customHeight="1" x14ac:dyDescent="0.35">
      <c r="A1" s="41"/>
      <c r="B1" s="42"/>
      <c r="D1" s="44" t="s">
        <v>138</v>
      </c>
      <c r="E1" s="42"/>
      <c r="F1" s="42"/>
      <c r="G1" s="42"/>
      <c r="H1" s="42"/>
      <c r="I1" s="45"/>
      <c r="J1" s="46" t="s">
        <v>139</v>
      </c>
    </row>
    <row r="2" spans="1:10" ht="15.75" customHeight="1" x14ac:dyDescent="0.3">
      <c r="A2" s="47"/>
      <c r="B2" s="45"/>
      <c r="D2" s="48" t="s">
        <v>143</v>
      </c>
      <c r="E2" s="45"/>
      <c r="F2" s="45"/>
      <c r="G2" s="45"/>
      <c r="H2" s="45"/>
      <c r="I2" s="45"/>
    </row>
    <row r="3" spans="1:10" ht="15" customHeight="1" x14ac:dyDescent="0.25">
      <c r="A3" s="47"/>
      <c r="B3" s="45"/>
      <c r="C3" s="45"/>
      <c r="D3" s="45"/>
      <c r="E3" s="45"/>
      <c r="F3" s="45"/>
      <c r="G3" s="45"/>
      <c r="H3" s="45"/>
      <c r="I3" s="45"/>
    </row>
    <row r="4" spans="1:10" x14ac:dyDescent="0.25">
      <c r="A4" s="47"/>
      <c r="B4" s="45"/>
      <c r="C4" s="45"/>
      <c r="D4" s="45"/>
      <c r="E4" s="45"/>
      <c r="F4" s="45"/>
      <c r="G4" s="45"/>
      <c r="H4" s="45"/>
      <c r="I4" s="45"/>
    </row>
    <row r="5" spans="1:10" ht="15.75" x14ac:dyDescent="0.25">
      <c r="A5" s="173" t="s">
        <v>146</v>
      </c>
      <c r="B5" s="174"/>
      <c r="C5" s="174"/>
      <c r="D5" s="174"/>
      <c r="E5" s="174"/>
      <c r="F5" s="174"/>
      <c r="G5" s="174"/>
      <c r="H5" s="174"/>
      <c r="I5" s="174"/>
    </row>
    <row r="6" spans="1:10" ht="15.75" x14ac:dyDescent="0.25">
      <c r="A6" s="171" t="s">
        <v>137</v>
      </c>
      <c r="B6" s="172"/>
      <c r="C6" s="172"/>
      <c r="D6" s="172"/>
      <c r="E6" s="172"/>
      <c r="F6" s="172"/>
      <c r="G6" s="172"/>
      <c r="H6" s="172"/>
      <c r="I6" s="172"/>
    </row>
    <row r="7" spans="1:10" ht="17.25" x14ac:dyDescent="0.3">
      <c r="A7" s="49" t="s">
        <v>136</v>
      </c>
      <c r="B7" s="50"/>
      <c r="C7" s="50"/>
      <c r="D7" s="50"/>
      <c r="E7" s="50"/>
      <c r="F7" s="50"/>
      <c r="G7" s="38" t="s">
        <v>135</v>
      </c>
      <c r="H7" s="50"/>
      <c r="I7" s="50"/>
      <c r="J7" s="45"/>
    </row>
    <row r="8" spans="1:10" x14ac:dyDescent="0.25">
      <c r="A8" s="47"/>
      <c r="B8" s="45"/>
      <c r="C8" s="45"/>
      <c r="D8" s="45"/>
      <c r="E8" s="45"/>
      <c r="F8" s="45"/>
      <c r="G8" s="45"/>
      <c r="H8" s="45"/>
      <c r="I8" s="51"/>
    </row>
    <row r="9" spans="1:10" x14ac:dyDescent="0.25">
      <c r="A9" s="52" t="s">
        <v>2</v>
      </c>
      <c r="B9" s="53"/>
      <c r="C9" s="45"/>
      <c r="D9" s="54" t="s">
        <v>92</v>
      </c>
      <c r="E9" s="45"/>
      <c r="F9" s="45"/>
      <c r="G9" s="45"/>
      <c r="H9" s="45"/>
      <c r="I9" s="51"/>
    </row>
    <row r="10" spans="1:10" x14ac:dyDescent="0.25">
      <c r="A10" s="52"/>
      <c r="B10" s="53"/>
      <c r="C10" s="45"/>
      <c r="D10" s="45"/>
      <c r="E10" s="45"/>
      <c r="F10" s="45"/>
      <c r="G10" s="45"/>
      <c r="H10" s="45"/>
      <c r="I10" s="51"/>
    </row>
    <row r="11" spans="1:10" x14ac:dyDescent="0.25">
      <c r="A11" s="47" t="s">
        <v>3</v>
      </c>
      <c r="B11" s="60"/>
      <c r="C11" s="45"/>
      <c r="D11" s="45" t="s">
        <v>93</v>
      </c>
      <c r="E11" s="45"/>
      <c r="F11" s="45"/>
      <c r="G11" s="45"/>
      <c r="H11" s="60"/>
      <c r="I11" s="51" t="s">
        <v>100</v>
      </c>
    </row>
    <row r="12" spans="1:10" x14ac:dyDescent="0.25">
      <c r="A12" s="47"/>
      <c r="B12" s="60"/>
      <c r="C12" s="45"/>
      <c r="D12" s="45" t="s">
        <v>94</v>
      </c>
      <c r="E12" s="45"/>
      <c r="F12" s="45"/>
      <c r="G12" s="45"/>
      <c r="H12" s="60"/>
      <c r="I12" s="51" t="s">
        <v>100</v>
      </c>
    </row>
    <row r="13" spans="1:10" x14ac:dyDescent="0.25">
      <c r="A13" s="47"/>
      <c r="B13" s="60"/>
      <c r="C13" s="45"/>
      <c r="D13" s="45" t="s">
        <v>95</v>
      </c>
      <c r="E13" s="45"/>
      <c r="F13" s="45"/>
      <c r="G13" s="45"/>
      <c r="H13" s="60"/>
      <c r="I13" s="51" t="s">
        <v>101</v>
      </c>
    </row>
    <row r="14" spans="1:10" x14ac:dyDescent="0.25">
      <c r="A14" s="47" t="s">
        <v>4</v>
      </c>
      <c r="B14" s="60"/>
      <c r="C14" s="45"/>
      <c r="D14" s="45"/>
      <c r="E14" s="45"/>
      <c r="F14" s="45"/>
      <c r="G14" s="45"/>
      <c r="H14" s="45"/>
      <c r="I14" s="51"/>
    </row>
    <row r="15" spans="1:10" x14ac:dyDescent="0.25">
      <c r="A15" s="47" t="s">
        <v>5</v>
      </c>
      <c r="B15" s="60"/>
      <c r="C15" s="45"/>
      <c r="D15" s="54" t="s">
        <v>96</v>
      </c>
      <c r="E15" s="45"/>
      <c r="F15" s="45"/>
      <c r="G15" s="45"/>
      <c r="H15" s="45"/>
      <c r="I15" s="51"/>
    </row>
    <row r="16" spans="1:10" x14ac:dyDescent="0.25">
      <c r="A16" s="47" t="s">
        <v>6</v>
      </c>
      <c r="B16" s="60"/>
      <c r="C16" s="45"/>
      <c r="D16" s="45" t="s">
        <v>97</v>
      </c>
      <c r="E16" s="45"/>
      <c r="F16" s="45"/>
      <c r="G16" s="45"/>
      <c r="H16" s="60"/>
      <c r="I16" s="51" t="s">
        <v>102</v>
      </c>
    </row>
    <row r="17" spans="1:9" x14ac:dyDescent="0.25">
      <c r="A17" s="47" t="s">
        <v>7</v>
      </c>
      <c r="B17" s="60"/>
      <c r="C17" s="45"/>
      <c r="D17" s="45" t="s">
        <v>98</v>
      </c>
      <c r="E17" s="45"/>
      <c r="F17" s="45"/>
      <c r="G17" s="45"/>
      <c r="H17" s="60"/>
      <c r="I17" s="51" t="s">
        <v>102</v>
      </c>
    </row>
    <row r="18" spans="1:9" x14ac:dyDescent="0.25">
      <c r="A18" s="47"/>
      <c r="B18" s="45"/>
      <c r="C18" s="45"/>
      <c r="D18" s="45"/>
      <c r="E18" s="45"/>
      <c r="F18" s="45"/>
      <c r="G18" s="45"/>
      <c r="H18" s="45"/>
      <c r="I18" s="51"/>
    </row>
    <row r="19" spans="1:9" x14ac:dyDescent="0.25">
      <c r="A19" s="47"/>
      <c r="B19" s="45"/>
      <c r="C19" s="45"/>
      <c r="D19" s="45" t="s">
        <v>95</v>
      </c>
      <c r="E19" s="45"/>
      <c r="F19" s="45"/>
      <c r="G19" s="45"/>
      <c r="H19" s="60"/>
      <c r="I19" s="51" t="s">
        <v>103</v>
      </c>
    </row>
    <row r="20" spans="1:9" x14ac:dyDescent="0.25">
      <c r="A20" s="52" t="s">
        <v>8</v>
      </c>
      <c r="B20" s="45"/>
      <c r="C20" s="45"/>
      <c r="D20" s="45" t="s">
        <v>99</v>
      </c>
      <c r="E20" s="45"/>
      <c r="F20" s="45"/>
      <c r="G20" s="45"/>
      <c r="H20" s="60"/>
      <c r="I20" s="51" t="s">
        <v>103</v>
      </c>
    </row>
    <row r="21" spans="1:9" x14ac:dyDescent="0.25">
      <c r="A21" s="47"/>
      <c r="B21" s="45"/>
      <c r="C21" s="45"/>
      <c r="D21" s="45"/>
      <c r="E21" s="45"/>
      <c r="F21" s="45"/>
      <c r="G21" s="45"/>
      <c r="H21" s="45"/>
      <c r="I21" s="51"/>
    </row>
    <row r="22" spans="1:9" x14ac:dyDescent="0.25">
      <c r="A22" s="47" t="s">
        <v>10</v>
      </c>
      <c r="B22" s="60"/>
      <c r="C22" s="45"/>
      <c r="D22" s="169" t="s">
        <v>91</v>
      </c>
      <c r="E22" s="169"/>
      <c r="F22" s="169"/>
      <c r="G22" s="170"/>
      <c r="H22" s="60"/>
      <c r="I22" s="51"/>
    </row>
    <row r="23" spans="1:9" x14ac:dyDescent="0.25">
      <c r="A23" s="47" t="s">
        <v>9</v>
      </c>
      <c r="B23" s="60"/>
      <c r="C23" s="45"/>
      <c r="D23" s="45" t="s">
        <v>108</v>
      </c>
      <c r="E23" s="45"/>
      <c r="F23" s="45"/>
      <c r="G23" s="45"/>
      <c r="H23" s="55" t="e">
        <f>VLOOKUP(H22,Misc!B90:C100,2,FALSE)</f>
        <v>#N/A</v>
      </c>
      <c r="I23" s="51"/>
    </row>
    <row r="24" spans="1:9" x14ac:dyDescent="0.25">
      <c r="A24" s="47"/>
      <c r="B24" s="45"/>
      <c r="C24" s="45"/>
      <c r="D24" s="45"/>
      <c r="E24" s="45"/>
      <c r="F24" s="45"/>
      <c r="G24" s="45"/>
      <c r="H24" s="45"/>
      <c r="I24" s="51"/>
    </row>
    <row r="25" spans="1:9" x14ac:dyDescent="0.25">
      <c r="A25" s="47"/>
      <c r="B25" s="45"/>
      <c r="C25" s="45"/>
      <c r="D25" s="45"/>
      <c r="E25" s="45"/>
      <c r="F25" s="45"/>
      <c r="G25" s="45"/>
      <c r="H25" s="45"/>
      <c r="I25" s="51"/>
    </row>
    <row r="26" spans="1:9" x14ac:dyDescent="0.25">
      <c r="A26" s="47"/>
      <c r="B26" s="45"/>
      <c r="C26" s="45"/>
      <c r="D26" s="45"/>
      <c r="E26" s="45"/>
      <c r="F26" s="45"/>
      <c r="G26" s="45"/>
      <c r="H26" s="45"/>
      <c r="I26" s="51"/>
    </row>
    <row r="27" spans="1:9" x14ac:dyDescent="0.25">
      <c r="A27" s="47"/>
      <c r="B27" s="45"/>
      <c r="C27" s="45"/>
      <c r="D27" s="45"/>
      <c r="E27" s="45"/>
      <c r="F27" s="45"/>
      <c r="G27" s="45"/>
      <c r="H27" s="45"/>
      <c r="I27" s="51"/>
    </row>
    <row r="28" spans="1:9" x14ac:dyDescent="0.25">
      <c r="A28" s="47"/>
      <c r="B28" s="45"/>
      <c r="C28" s="45"/>
      <c r="D28" s="45"/>
      <c r="E28" s="45"/>
      <c r="F28" s="45"/>
      <c r="G28" s="45"/>
      <c r="H28" s="45"/>
      <c r="I28" s="51"/>
    </row>
    <row r="29" spans="1:9" x14ac:dyDescent="0.25">
      <c r="A29" s="47"/>
      <c r="B29" s="45"/>
      <c r="C29" s="45"/>
      <c r="D29" s="45"/>
      <c r="E29" s="45"/>
      <c r="F29" s="45"/>
      <c r="G29" s="45"/>
      <c r="H29" s="45"/>
      <c r="I29" s="51"/>
    </row>
    <row r="30" spans="1:9" x14ac:dyDescent="0.25">
      <c r="A30" s="47"/>
      <c r="B30" s="45"/>
      <c r="C30" s="45"/>
      <c r="D30" s="45"/>
      <c r="E30" s="45"/>
      <c r="F30" s="45"/>
      <c r="G30" s="45"/>
      <c r="H30" s="45"/>
      <c r="I30" s="51"/>
    </row>
    <row r="31" spans="1:9" x14ac:dyDescent="0.25">
      <c r="A31" s="47"/>
      <c r="B31" s="45"/>
      <c r="C31" s="45"/>
      <c r="D31" s="45"/>
      <c r="E31" s="45"/>
      <c r="F31" s="45"/>
      <c r="G31" s="45"/>
      <c r="H31" s="45"/>
      <c r="I31" s="51"/>
    </row>
    <row r="32" spans="1:9" x14ac:dyDescent="0.25">
      <c r="A32" s="47"/>
      <c r="B32" s="45"/>
      <c r="C32" s="45"/>
      <c r="D32" s="45"/>
      <c r="E32" s="45"/>
      <c r="F32" s="45"/>
      <c r="G32" s="45"/>
      <c r="H32" s="45"/>
      <c r="I32" s="51"/>
    </row>
    <row r="33" spans="1:9" x14ac:dyDescent="0.25">
      <c r="A33" s="47"/>
      <c r="B33" s="45"/>
      <c r="C33" s="45"/>
      <c r="D33" s="45"/>
      <c r="E33" s="45"/>
      <c r="F33" s="45"/>
      <c r="G33" s="45"/>
      <c r="H33" s="45"/>
      <c r="I33" s="51"/>
    </row>
    <row r="34" spans="1:9" x14ac:dyDescent="0.25">
      <c r="A34" s="47"/>
      <c r="B34" s="45"/>
      <c r="C34" s="45"/>
      <c r="D34" s="45"/>
      <c r="E34" s="45"/>
      <c r="F34" s="45"/>
      <c r="G34" s="45"/>
      <c r="H34" s="45"/>
      <c r="I34" s="51"/>
    </row>
    <row r="35" spans="1:9" x14ac:dyDescent="0.25">
      <c r="A35" s="47"/>
      <c r="B35" s="45"/>
      <c r="C35" s="45"/>
      <c r="D35" s="45"/>
      <c r="E35" s="45"/>
      <c r="F35" s="45"/>
      <c r="G35" s="45"/>
      <c r="H35" s="45"/>
      <c r="I35" s="51"/>
    </row>
    <row r="36" spans="1:9" x14ac:dyDescent="0.25">
      <c r="A36" s="47"/>
      <c r="B36" s="45"/>
      <c r="C36" s="45"/>
      <c r="D36" s="45"/>
      <c r="E36" s="45"/>
      <c r="F36" s="45"/>
      <c r="G36" s="45"/>
      <c r="H36" s="45"/>
      <c r="I36" s="51"/>
    </row>
    <row r="37" spans="1:9" x14ac:dyDescent="0.25">
      <c r="A37" s="56"/>
      <c r="B37" s="57"/>
      <c r="C37" s="57"/>
      <c r="D37" s="57"/>
      <c r="E37" s="57"/>
      <c r="F37" s="57"/>
      <c r="G37" s="57"/>
      <c r="H37" s="57"/>
      <c r="I37" s="58"/>
    </row>
    <row r="38" spans="1:9" ht="17.25" x14ac:dyDescent="0.3">
      <c r="A38" s="45"/>
      <c r="B38" s="45"/>
      <c r="C38" s="45"/>
      <c r="D38" s="45"/>
      <c r="E38" s="45"/>
      <c r="F38" s="45"/>
      <c r="G38" s="59" t="s">
        <v>133</v>
      </c>
      <c r="H38" s="45"/>
      <c r="I38" s="45"/>
    </row>
    <row r="39" spans="1:9" x14ac:dyDescent="0.25">
      <c r="A39" s="45"/>
      <c r="B39" s="45"/>
      <c r="C39" s="45"/>
      <c r="D39" s="45"/>
      <c r="E39" s="45"/>
      <c r="F39" s="45"/>
      <c r="G39" s="45"/>
      <c r="H39" s="45"/>
      <c r="I39" s="45"/>
    </row>
    <row r="40" spans="1:9" x14ac:dyDescent="0.25">
      <c r="A40" s="45"/>
      <c r="B40" s="45"/>
      <c r="C40" s="45"/>
      <c r="D40" s="45"/>
      <c r="E40" s="45"/>
      <c r="F40" s="45"/>
      <c r="G40" s="45"/>
      <c r="H40" s="45"/>
      <c r="I40" s="45"/>
    </row>
  </sheetData>
  <sheetProtection password="AD9B" sheet="1" objects="1" scenarios="1"/>
  <mergeCells count="3">
    <mergeCell ref="D22:G22"/>
    <mergeCell ref="A6:I6"/>
    <mergeCell ref="A5:I5"/>
  </mergeCells>
  <hyperlinks>
    <hyperlink ref="G38" location="'Compliance path'!A1" display="Back to Compliance path tab "/>
    <hyperlink ref="G7" r:id="rId1"/>
  </hyperlinks>
  <pageMargins left="0.7" right="0.7" top="0.75" bottom="0.75" header="0.3" footer="0.3"/>
  <pageSetup paperSize="9" scale="74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Misc!B90:B100</xm:f>
          </x14:formula1>
          <xm:sqref>H22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8"/>
  <sheetViews>
    <sheetView showGridLines="0" workbookViewId="0">
      <selection activeCell="C25" sqref="C25"/>
    </sheetView>
  </sheetViews>
  <sheetFormatPr defaultColWidth="8.85546875" defaultRowHeight="15" x14ac:dyDescent="0.25"/>
  <cols>
    <col min="1" max="1" width="8.85546875" style="5"/>
    <col min="2" max="2" width="32" customWidth="1"/>
    <col min="3" max="3" width="32.85546875" bestFit="1" customWidth="1"/>
    <col min="4" max="4" width="15" customWidth="1"/>
    <col min="5" max="6" width="16.7109375" customWidth="1"/>
    <col min="7" max="8" width="15.42578125" customWidth="1"/>
    <col min="9" max="9" width="34" bestFit="1" customWidth="1"/>
    <col min="10" max="10" width="15" customWidth="1"/>
    <col min="11" max="11" width="12" customWidth="1"/>
  </cols>
  <sheetData>
    <row r="1" spans="1:11" ht="15.75" x14ac:dyDescent="0.25">
      <c r="H1" s="1"/>
    </row>
    <row r="2" spans="1:11" ht="15.75" x14ac:dyDescent="0.25">
      <c r="D2" s="1" t="s">
        <v>0</v>
      </c>
      <c r="H2" s="1"/>
    </row>
    <row r="3" spans="1:11" ht="15.75" x14ac:dyDescent="0.25">
      <c r="D3" s="1" t="s">
        <v>1</v>
      </c>
    </row>
    <row r="6" spans="1:11" s="8" customFormat="1" ht="30" x14ac:dyDescent="0.25">
      <c r="A6" s="7" t="s">
        <v>39</v>
      </c>
      <c r="B6" s="7" t="s">
        <v>31</v>
      </c>
      <c r="C6" s="7" t="s">
        <v>13</v>
      </c>
      <c r="D6" s="7" t="s">
        <v>30</v>
      </c>
      <c r="E6" s="7" t="s">
        <v>14</v>
      </c>
      <c r="F6" s="7" t="s">
        <v>15</v>
      </c>
      <c r="G6" s="7" t="s">
        <v>16</v>
      </c>
      <c r="H6" s="7" t="s">
        <v>40</v>
      </c>
      <c r="I6" s="7" t="s">
        <v>17</v>
      </c>
      <c r="J6" s="7" t="s">
        <v>19</v>
      </c>
      <c r="K6" s="7" t="s">
        <v>20</v>
      </c>
    </row>
    <row r="7" spans="1:11" x14ac:dyDescent="0.25">
      <c r="A7" s="5">
        <v>1</v>
      </c>
    </row>
    <row r="8" spans="1:11" x14ac:dyDescent="0.25">
      <c r="A8" s="5">
        <v>2</v>
      </c>
    </row>
    <row r="9" spans="1:11" x14ac:dyDescent="0.25">
      <c r="A9" s="5">
        <v>3</v>
      </c>
    </row>
    <row r="10" spans="1:11" x14ac:dyDescent="0.25">
      <c r="A10" s="5">
        <v>4</v>
      </c>
    </row>
    <row r="11" spans="1:11" x14ac:dyDescent="0.25">
      <c r="A11" s="5">
        <v>5</v>
      </c>
    </row>
    <row r="12" spans="1:11" x14ac:dyDescent="0.25">
      <c r="A12" s="5">
        <v>6</v>
      </c>
    </row>
    <row r="13" spans="1:11" x14ac:dyDescent="0.25">
      <c r="A13" s="5">
        <v>7</v>
      </c>
    </row>
    <row r="14" spans="1:11" x14ac:dyDescent="0.25">
      <c r="A14" s="5">
        <v>8</v>
      </c>
    </row>
    <row r="15" spans="1:11" x14ac:dyDescent="0.25">
      <c r="A15" s="5">
        <v>9</v>
      </c>
    </row>
    <row r="16" spans="1:11" x14ac:dyDescent="0.25">
      <c r="A16" s="5">
        <v>10</v>
      </c>
    </row>
    <row r="17" spans="1:1" x14ac:dyDescent="0.25">
      <c r="A17" s="5">
        <v>11</v>
      </c>
    </row>
    <row r="18" spans="1:1" x14ac:dyDescent="0.25">
      <c r="A18" s="5">
        <v>12</v>
      </c>
    </row>
  </sheetData>
  <pageMargins left="0.7" right="0.7" top="0.75" bottom="0.75" header="0.3" footer="0.3"/>
  <pageSetup paperSize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Misc!A3:A11</xm:f>
          </x14:formula1>
          <xm:sqref>I7:I15</xm:sqref>
        </x14:dataValidation>
        <x14:dataValidation type="list" allowBlank="1" showInputMessage="1" showErrorMessage="1">
          <x14:formula1>
            <xm:f>Misc!A15:A22</xm:f>
          </x14:formula1>
          <xm:sqref>C7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44"/>
  <sheetViews>
    <sheetView showGridLines="0" zoomScale="85" zoomScaleNormal="85" zoomScalePageLayoutView="85" workbookViewId="0">
      <selection activeCell="A60" sqref="A60"/>
    </sheetView>
  </sheetViews>
  <sheetFormatPr defaultColWidth="8.85546875" defaultRowHeight="15" x14ac:dyDescent="0.25"/>
  <cols>
    <col min="1" max="1" width="32.5703125" style="79" bestFit="1" customWidth="1"/>
    <col min="2" max="2" width="36.42578125" style="43" bestFit="1" customWidth="1"/>
    <col min="3" max="3" width="27.28515625" style="79" customWidth="1"/>
    <col min="4" max="4" width="23.85546875" style="79" customWidth="1"/>
    <col min="5" max="5" width="39.140625" style="43" bestFit="1" customWidth="1"/>
    <col min="6" max="6" width="11.28515625" style="79" customWidth="1"/>
    <col min="7" max="8" width="15.42578125" style="79" customWidth="1"/>
    <col min="9" max="9" width="16.7109375" style="43" customWidth="1"/>
    <col min="10" max="10" width="8.85546875" style="43"/>
    <col min="11" max="11" width="19.85546875" style="43" hidden="1" customWidth="1"/>
    <col min="12" max="12" width="8.85546875" style="43" hidden="1" customWidth="1"/>
    <col min="13" max="13" width="19" style="43" hidden="1" customWidth="1"/>
    <col min="14" max="17" width="8.85546875" style="43" hidden="1" customWidth="1"/>
    <col min="18" max="16384" width="8.85546875" style="43"/>
  </cols>
  <sheetData>
    <row r="1" spans="1:16" x14ac:dyDescent="0.25">
      <c r="A1" s="61"/>
      <c r="B1" s="42"/>
      <c r="C1" s="62"/>
      <c r="D1" s="62"/>
      <c r="E1" s="42"/>
      <c r="F1" s="62"/>
      <c r="G1" s="62"/>
      <c r="H1" s="62"/>
      <c r="I1" s="42"/>
      <c r="J1" s="45"/>
    </row>
    <row r="2" spans="1:16" ht="15.75" customHeight="1" x14ac:dyDescent="0.35">
      <c r="A2" s="63"/>
      <c r="B2" s="45"/>
      <c r="C2" s="177" t="s">
        <v>140</v>
      </c>
      <c r="D2" s="177"/>
      <c r="E2" s="177"/>
      <c r="F2" s="177"/>
      <c r="G2" s="46" t="s">
        <v>144</v>
      </c>
      <c r="H2" s="64"/>
      <c r="I2" s="64"/>
      <c r="J2" s="64"/>
      <c r="K2" s="64"/>
    </row>
    <row r="3" spans="1:16" ht="21" customHeight="1" x14ac:dyDescent="0.35">
      <c r="A3" s="63"/>
      <c r="B3" s="45"/>
      <c r="C3" s="177"/>
      <c r="D3" s="177"/>
      <c r="E3" s="177"/>
      <c r="F3" s="177"/>
      <c r="G3" s="64"/>
      <c r="H3" s="64"/>
      <c r="I3" s="64"/>
      <c r="J3" s="64"/>
      <c r="K3" s="64"/>
    </row>
    <row r="4" spans="1:16" x14ac:dyDescent="0.25">
      <c r="A4" s="63"/>
      <c r="B4" s="45"/>
      <c r="C4" s="65"/>
      <c r="D4" s="65"/>
      <c r="E4" s="45"/>
      <c r="F4" s="65"/>
      <c r="G4" s="65"/>
      <c r="H4" s="65"/>
      <c r="I4" s="45"/>
      <c r="J4" s="45"/>
    </row>
    <row r="5" spans="1:16" x14ac:dyDescent="0.25">
      <c r="A5" s="63"/>
      <c r="B5" s="45"/>
      <c r="C5" s="65"/>
      <c r="D5" s="65"/>
      <c r="E5" s="45"/>
      <c r="F5" s="65"/>
      <c r="G5" s="65"/>
      <c r="H5" s="65"/>
      <c r="I5" s="45"/>
      <c r="J5" s="45"/>
    </row>
    <row r="6" spans="1:16" ht="15.75" x14ac:dyDescent="0.25">
      <c r="A6" s="173" t="s">
        <v>147</v>
      </c>
      <c r="B6" s="174"/>
      <c r="C6" s="174"/>
      <c r="D6" s="174"/>
      <c r="E6" s="174"/>
      <c r="F6" s="174"/>
      <c r="G6" s="174"/>
      <c r="H6" s="174"/>
      <c r="I6" s="174"/>
      <c r="J6" s="45"/>
    </row>
    <row r="7" spans="1:16" ht="33.75" customHeight="1" x14ac:dyDescent="0.25">
      <c r="A7" s="178" t="s">
        <v>149</v>
      </c>
      <c r="B7" s="172"/>
      <c r="C7" s="172"/>
      <c r="D7" s="172"/>
      <c r="E7" s="172"/>
      <c r="F7" s="172"/>
      <c r="G7" s="172"/>
      <c r="H7" s="172"/>
      <c r="I7" s="172"/>
      <c r="J7" s="45"/>
    </row>
    <row r="8" spans="1:16" ht="24.75" customHeight="1" x14ac:dyDescent="0.25">
      <c r="A8" s="175" t="s">
        <v>148</v>
      </c>
      <c r="B8" s="176"/>
      <c r="C8" s="176"/>
      <c r="D8" s="176"/>
      <c r="E8" s="176"/>
      <c r="F8" s="176"/>
      <c r="G8" s="176"/>
      <c r="H8" s="176"/>
      <c r="I8" s="176"/>
      <c r="J8" s="45"/>
    </row>
    <row r="9" spans="1:16" x14ac:dyDescent="0.25">
      <c r="A9" s="52" t="s">
        <v>2</v>
      </c>
      <c r="B9" s="53"/>
      <c r="C9" s="65"/>
      <c r="D9" s="65"/>
      <c r="E9" s="45"/>
      <c r="F9" s="65"/>
      <c r="G9" s="65"/>
      <c r="H9" s="65"/>
      <c r="I9" s="51"/>
    </row>
    <row r="10" spans="1:16" x14ac:dyDescent="0.25">
      <c r="A10" s="52"/>
      <c r="B10" s="53"/>
      <c r="C10" s="65"/>
      <c r="D10" s="65"/>
      <c r="E10" s="45"/>
      <c r="F10" s="65"/>
      <c r="G10" s="65"/>
      <c r="H10" s="65"/>
      <c r="I10" s="51"/>
    </row>
    <row r="11" spans="1:16" x14ac:dyDescent="0.25">
      <c r="A11" s="47" t="s">
        <v>3</v>
      </c>
      <c r="B11" s="60"/>
      <c r="C11" s="65"/>
      <c r="D11" s="65" t="s">
        <v>50</v>
      </c>
      <c r="E11" s="60"/>
      <c r="F11" s="65"/>
      <c r="G11" s="65"/>
      <c r="H11" s="65"/>
      <c r="I11" s="51"/>
    </row>
    <row r="12" spans="1:16" ht="30" x14ac:dyDescent="0.25">
      <c r="A12" s="47"/>
      <c r="B12" s="60"/>
      <c r="C12" s="65"/>
      <c r="D12" s="66" t="s">
        <v>51</v>
      </c>
      <c r="E12" s="86" t="e">
        <f>VLOOKUP(E11,Misc!A16:B22,2,FALSE)</f>
        <v>#N/A</v>
      </c>
      <c r="F12" s="65"/>
      <c r="G12" s="65"/>
      <c r="H12" s="65"/>
      <c r="I12" s="51"/>
      <c r="M12" s="43" t="s">
        <v>163</v>
      </c>
    </row>
    <row r="13" spans="1:16" ht="17.25" x14ac:dyDescent="0.3">
      <c r="A13" s="47"/>
      <c r="B13" s="60"/>
      <c r="C13" s="65"/>
      <c r="D13" s="67" t="s">
        <v>59</v>
      </c>
      <c r="E13" s="81"/>
      <c r="F13" s="65"/>
      <c r="G13" s="65"/>
      <c r="H13" s="65"/>
      <c r="I13" s="51"/>
      <c r="M13" s="43" t="s">
        <v>164</v>
      </c>
      <c r="N13" s="43" t="s">
        <v>165</v>
      </c>
      <c r="P13" s="43" t="s">
        <v>170</v>
      </c>
    </row>
    <row r="14" spans="1:16" x14ac:dyDescent="0.25">
      <c r="A14" s="47" t="s">
        <v>4</v>
      </c>
      <c r="B14" s="60"/>
      <c r="C14" s="65"/>
      <c r="D14" s="65" t="s">
        <v>125</v>
      </c>
      <c r="E14" s="65" t="e">
        <f>IF(E13=1,(VLOOKUP($E$12,Misc!$B$16:$I$22,$E$13+1,FALSE)),(VLOOKUP($E$12,Misc!$B$16:$I$22,$E$13+2,FALSE)))</f>
        <v>#N/A</v>
      </c>
      <c r="F14" s="65"/>
      <c r="G14" s="65"/>
      <c r="H14" s="65"/>
      <c r="I14" s="51"/>
      <c r="M14" s="43" t="s">
        <v>52</v>
      </c>
      <c r="N14" s="43">
        <v>18</v>
      </c>
      <c r="P14" s="115">
        <f t="shared" ref="P14:P20" si="0">$B$25/N14</f>
        <v>0</v>
      </c>
    </row>
    <row r="15" spans="1:16" x14ac:dyDescent="0.25">
      <c r="A15" s="47" t="s">
        <v>5</v>
      </c>
      <c r="B15" s="60"/>
      <c r="C15" s="65"/>
      <c r="D15" s="65"/>
      <c r="E15" s="45"/>
      <c r="F15" s="65"/>
      <c r="G15" s="65"/>
      <c r="H15" s="65"/>
      <c r="I15" s="51"/>
      <c r="M15" s="43" t="s">
        <v>53</v>
      </c>
      <c r="N15" s="43">
        <v>18</v>
      </c>
      <c r="P15" s="115">
        <f t="shared" si="0"/>
        <v>0</v>
      </c>
    </row>
    <row r="16" spans="1:16" x14ac:dyDescent="0.25">
      <c r="A16" s="47" t="s">
        <v>6</v>
      </c>
      <c r="B16" s="60"/>
      <c r="C16" s="65"/>
      <c r="D16" s="65"/>
      <c r="E16" s="45"/>
      <c r="F16" s="65"/>
      <c r="G16" s="65"/>
      <c r="H16" s="65"/>
      <c r="I16" s="51"/>
      <c r="M16" s="43" t="s">
        <v>54</v>
      </c>
      <c r="N16" s="43">
        <v>12</v>
      </c>
      <c r="P16" s="115">
        <f t="shared" si="0"/>
        <v>0</v>
      </c>
    </row>
    <row r="17" spans="1:16" x14ac:dyDescent="0.25">
      <c r="A17" s="47" t="s">
        <v>7</v>
      </c>
      <c r="B17" s="60"/>
      <c r="C17" s="65"/>
      <c r="D17" s="65"/>
      <c r="E17" s="45"/>
      <c r="F17" s="65"/>
      <c r="G17" s="65"/>
      <c r="H17" s="65"/>
      <c r="I17" s="51"/>
      <c r="M17" s="43" t="s">
        <v>55</v>
      </c>
      <c r="N17" s="43">
        <v>6</v>
      </c>
      <c r="P17" s="115">
        <f t="shared" si="0"/>
        <v>0</v>
      </c>
    </row>
    <row r="18" spans="1:16" x14ac:dyDescent="0.25">
      <c r="A18" s="47"/>
      <c r="B18" s="45"/>
      <c r="C18" s="65"/>
      <c r="D18" s="65"/>
      <c r="E18" s="45"/>
      <c r="F18" s="65"/>
      <c r="G18" s="65"/>
      <c r="H18" s="65"/>
      <c r="I18" s="51"/>
      <c r="M18" s="43" t="s">
        <v>56</v>
      </c>
      <c r="N18" s="43">
        <v>12</v>
      </c>
      <c r="P18" s="115">
        <f t="shared" si="0"/>
        <v>0</v>
      </c>
    </row>
    <row r="19" spans="1:16" x14ac:dyDescent="0.25">
      <c r="A19" s="47"/>
      <c r="B19" s="45"/>
      <c r="C19" s="65"/>
      <c r="D19" s="65"/>
      <c r="E19" s="45"/>
      <c r="F19" s="65"/>
      <c r="G19" s="65"/>
      <c r="H19" s="65"/>
      <c r="I19" s="51"/>
      <c r="M19" s="43" t="s">
        <v>57</v>
      </c>
      <c r="N19" s="43">
        <v>12</v>
      </c>
      <c r="P19" s="115">
        <f t="shared" si="0"/>
        <v>0</v>
      </c>
    </row>
    <row r="20" spans="1:16" x14ac:dyDescent="0.25">
      <c r="A20" s="52" t="s">
        <v>8</v>
      </c>
      <c r="B20" s="45"/>
      <c r="C20" s="65"/>
      <c r="D20" s="68" t="s">
        <v>161</v>
      </c>
      <c r="E20" s="68"/>
      <c r="F20" s="65"/>
      <c r="G20" s="69"/>
      <c r="H20" s="69"/>
      <c r="I20" s="51"/>
      <c r="M20" s="43" t="s">
        <v>58</v>
      </c>
      <c r="N20" s="43">
        <v>24</v>
      </c>
      <c r="P20" s="115">
        <f t="shared" si="0"/>
        <v>0</v>
      </c>
    </row>
    <row r="21" spans="1:16" x14ac:dyDescent="0.25">
      <c r="A21" s="52"/>
      <c r="B21" s="45"/>
      <c r="C21" s="65"/>
      <c r="D21" s="68"/>
      <c r="E21" s="68"/>
      <c r="F21" s="65"/>
      <c r="G21" s="69"/>
      <c r="H21" s="69"/>
      <c r="I21" s="51"/>
    </row>
    <row r="22" spans="1:16" x14ac:dyDescent="0.25">
      <c r="A22" s="47" t="s">
        <v>70</v>
      </c>
      <c r="B22" s="81"/>
      <c r="C22" s="65"/>
      <c r="D22" s="65"/>
      <c r="E22" s="45"/>
      <c r="F22" s="65"/>
      <c r="G22" s="65"/>
      <c r="H22" s="65"/>
      <c r="I22" s="51"/>
      <c r="K22" s="43" t="s">
        <v>162</v>
      </c>
      <c r="L22" s="43" t="s">
        <v>168</v>
      </c>
      <c r="M22" s="43" t="s">
        <v>169</v>
      </c>
    </row>
    <row r="23" spans="1:16" ht="17.25" x14ac:dyDescent="0.3">
      <c r="A23" s="47" t="s">
        <v>49</v>
      </c>
      <c r="B23" s="81"/>
      <c r="C23" s="65"/>
      <c r="D23" s="65" t="s">
        <v>61</v>
      </c>
      <c r="E23" s="85" t="e">
        <f>SUM(I28:I39)/(B23*L23*M23)</f>
        <v>#N/A</v>
      </c>
      <c r="F23" s="65"/>
      <c r="G23" s="65" t="s">
        <v>64</v>
      </c>
      <c r="H23" s="65"/>
      <c r="I23" s="150" t="e">
        <f>IF($E$24&lt;0,"0",IF($E$24&gt;1,Misc!$B$84,VLOOKUP($E$24,Misc!$A$38:$B$84,2,TRUE)))</f>
        <v>#N/A</v>
      </c>
      <c r="K23" s="85" t="e">
        <f>SUM(I28:I39)/B23</f>
        <v>#DIV/0!</v>
      </c>
      <c r="L23" s="113">
        <f>B24</f>
        <v>0</v>
      </c>
      <c r="M23" s="115" t="e">
        <f>VLOOKUP(E12,M14:P20,4,FALSE)</f>
        <v>#N/A</v>
      </c>
    </row>
    <row r="24" spans="1:16" x14ac:dyDescent="0.25">
      <c r="A24" s="47" t="s">
        <v>166</v>
      </c>
      <c r="B24" s="112"/>
      <c r="C24" s="65"/>
      <c r="D24" s="65" t="s">
        <v>63</v>
      </c>
      <c r="E24" s="149" t="e">
        <f>(E14-E23)/E14</f>
        <v>#N/A</v>
      </c>
      <c r="F24" s="65"/>
      <c r="G24" s="71"/>
      <c r="H24" s="71"/>
      <c r="I24" s="72"/>
    </row>
    <row r="25" spans="1:16" x14ac:dyDescent="0.25">
      <c r="A25" s="73" t="s">
        <v>167</v>
      </c>
      <c r="B25" s="114"/>
      <c r="C25" s="65"/>
      <c r="D25" s="65"/>
      <c r="E25" s="74"/>
      <c r="F25" s="65"/>
      <c r="G25" s="65"/>
      <c r="H25" s="65"/>
      <c r="I25" s="51"/>
    </row>
    <row r="26" spans="1:16" x14ac:dyDescent="0.25">
      <c r="A26" s="63"/>
      <c r="B26" s="45"/>
      <c r="C26" s="65"/>
      <c r="D26" s="65"/>
      <c r="E26" s="45"/>
      <c r="F26" s="65"/>
      <c r="G26" s="65"/>
      <c r="H26" s="65"/>
      <c r="I26" s="51"/>
    </row>
    <row r="27" spans="1:16" s="76" customFormat="1" ht="30" x14ac:dyDescent="0.25">
      <c r="A27" s="75" t="s">
        <v>39</v>
      </c>
      <c r="B27" s="75" t="s">
        <v>47</v>
      </c>
      <c r="C27" s="75" t="s">
        <v>41</v>
      </c>
      <c r="D27" s="75" t="s">
        <v>42</v>
      </c>
      <c r="E27" s="75" t="s">
        <v>43</v>
      </c>
      <c r="F27" s="75" t="s">
        <v>18</v>
      </c>
      <c r="G27" s="75" t="s">
        <v>20</v>
      </c>
      <c r="H27" s="75" t="s">
        <v>45</v>
      </c>
      <c r="I27" s="75" t="s">
        <v>131</v>
      </c>
    </row>
    <row r="28" spans="1:16" x14ac:dyDescent="0.25">
      <c r="A28" s="63">
        <v>1</v>
      </c>
      <c r="B28" s="82"/>
      <c r="C28" s="83"/>
      <c r="D28" s="83"/>
      <c r="E28" s="82"/>
      <c r="F28" s="65" t="str">
        <f>IF(E28&gt;0,VLOOKUP(E28,Misc!$A$4:$E$11,5,FALSE), " ")</f>
        <v xml:space="preserve"> </v>
      </c>
      <c r="G28" s="65" t="str">
        <f>IF(E28&gt;0,LOOKUP(E28,Misc!$A$3:$A$11,Misc!$B$3:$B$11), " ")</f>
        <v xml:space="preserve"> </v>
      </c>
      <c r="H28" s="84"/>
      <c r="I28" s="72" t="str">
        <f>IF(H28&gt;0,VLOOKUP(E28,Misc!$A$2:$G$11,6,FALSE)*H28, " ")</f>
        <v xml:space="preserve"> </v>
      </c>
    </row>
    <row r="29" spans="1:16" x14ac:dyDescent="0.25">
      <c r="A29" s="63">
        <v>2</v>
      </c>
      <c r="B29" s="82"/>
      <c r="C29" s="83"/>
      <c r="D29" s="83"/>
      <c r="E29" s="82"/>
      <c r="F29" s="65" t="str">
        <f>IF(E29&gt;0,VLOOKUP(E29,Misc!$A$4:$E$11,5,FALSE), " ")</f>
        <v xml:space="preserve"> </v>
      </c>
      <c r="G29" s="65" t="str">
        <f>IF(E29&gt;0,LOOKUP(E29,Misc!$A$3:$A$11,Misc!$B$3:$B$11), " ")</f>
        <v xml:space="preserve"> </v>
      </c>
      <c r="H29" s="84"/>
      <c r="I29" s="72" t="str">
        <f>IF(H29&gt;0,VLOOKUP(E29,Misc!$A$2:$G$11,6,FALSE)*H29, " ")</f>
        <v xml:space="preserve"> </v>
      </c>
    </row>
    <row r="30" spans="1:16" x14ac:dyDescent="0.25">
      <c r="A30" s="63">
        <v>3</v>
      </c>
      <c r="B30" s="82"/>
      <c r="C30" s="83"/>
      <c r="D30" s="83"/>
      <c r="E30" s="82"/>
      <c r="F30" s="65" t="str">
        <f>IF(E30&gt;0,VLOOKUP(E30,Misc!$A$4:$E$11,5,FALSE), " ")</f>
        <v xml:space="preserve"> </v>
      </c>
      <c r="G30" s="65" t="str">
        <f>IF(E30&gt;0,LOOKUP(E30,Misc!$A$3:$A$11,Misc!$B$3:$B$11), " ")</f>
        <v xml:space="preserve"> </v>
      </c>
      <c r="H30" s="84"/>
      <c r="I30" s="72" t="str">
        <f>IF(H30&gt;0,VLOOKUP(E30,Misc!$A$2:$G$11,6,FALSE)*H30, " ")</f>
        <v xml:space="preserve"> </v>
      </c>
    </row>
    <row r="31" spans="1:16" x14ac:dyDescent="0.25">
      <c r="A31" s="63">
        <v>4</v>
      </c>
      <c r="B31" s="82"/>
      <c r="C31" s="83"/>
      <c r="D31" s="83"/>
      <c r="E31" s="82"/>
      <c r="F31" s="65" t="str">
        <f>IF(E31&gt;0,VLOOKUP(E31,Misc!$A$4:$E$11,5,FALSE), " ")</f>
        <v xml:space="preserve"> </v>
      </c>
      <c r="G31" s="65" t="str">
        <f>IF(E31&gt;0,LOOKUP(E31,Misc!$A$3:$A$11,Misc!$B$3:$B$11), " ")</f>
        <v xml:space="preserve"> </v>
      </c>
      <c r="H31" s="84"/>
      <c r="I31" s="72" t="str">
        <f>IF(H31&gt;0,VLOOKUP(E31,Misc!$A$2:$G$11,6,FALSE)*H31, " ")</f>
        <v xml:space="preserve"> </v>
      </c>
    </row>
    <row r="32" spans="1:16" x14ac:dyDescent="0.25">
      <c r="A32" s="63">
        <v>5</v>
      </c>
      <c r="B32" s="82"/>
      <c r="C32" s="83"/>
      <c r="D32" s="83"/>
      <c r="E32" s="82"/>
      <c r="F32" s="65" t="str">
        <f>IF(E32&gt;0,VLOOKUP(E32,Misc!$A$4:$E$11,5,FALSE), " ")</f>
        <v xml:space="preserve"> </v>
      </c>
      <c r="G32" s="65" t="str">
        <f>IF(E32&gt;0,LOOKUP(E32,Misc!$A$3:$A$11,Misc!$B$3:$B$11), " ")</f>
        <v xml:space="preserve"> </v>
      </c>
      <c r="H32" s="84"/>
      <c r="I32" s="72" t="str">
        <f>IF(H32&gt;0,VLOOKUP(E32,Misc!$A$2:$G$11,6,FALSE)*H32, " ")</f>
        <v xml:space="preserve"> </v>
      </c>
    </row>
    <row r="33" spans="1:9" x14ac:dyDescent="0.25">
      <c r="A33" s="63">
        <v>6</v>
      </c>
      <c r="B33" s="82"/>
      <c r="C33" s="83"/>
      <c r="D33" s="83"/>
      <c r="E33" s="82"/>
      <c r="F33" s="65" t="str">
        <f>IF(E33&gt;0,VLOOKUP(E33,Misc!$A$4:$E$11,5,FALSE), " ")</f>
        <v xml:space="preserve"> </v>
      </c>
      <c r="G33" s="65" t="str">
        <f>IF(E33&gt;0,LOOKUP(E33,Misc!$A$3:$A$11,Misc!$B$3:$B$11), " ")</f>
        <v xml:space="preserve"> </v>
      </c>
      <c r="H33" s="84"/>
      <c r="I33" s="72" t="str">
        <f>IF(H33&gt;0,VLOOKUP(E33,Misc!$A$2:$G$11,6,FALSE)*H33, " ")</f>
        <v xml:space="preserve"> </v>
      </c>
    </row>
    <row r="34" spans="1:9" x14ac:dyDescent="0.25">
      <c r="A34" s="63">
        <v>7</v>
      </c>
      <c r="B34" s="82"/>
      <c r="C34" s="83"/>
      <c r="D34" s="83"/>
      <c r="E34" s="82"/>
      <c r="F34" s="65" t="str">
        <f>IF(E34&gt;0,VLOOKUP(E34,Misc!$A$4:$E$11,5,FALSE), " ")</f>
        <v xml:space="preserve"> </v>
      </c>
      <c r="G34" s="65" t="str">
        <f>IF(E34&gt;0,LOOKUP(E34,Misc!$A$3:$A$11,Misc!$B$3:$B$11), " ")</f>
        <v xml:space="preserve"> </v>
      </c>
      <c r="H34" s="84"/>
      <c r="I34" s="72" t="str">
        <f>IF(H34&gt;0,VLOOKUP(E34,Misc!$A$2:$G$11,6,FALSE)*H34, " ")</f>
        <v xml:space="preserve"> </v>
      </c>
    </row>
    <row r="35" spans="1:9" x14ac:dyDescent="0.25">
      <c r="A35" s="63">
        <v>8</v>
      </c>
      <c r="B35" s="82"/>
      <c r="C35" s="83"/>
      <c r="D35" s="83"/>
      <c r="E35" s="82"/>
      <c r="F35" s="65" t="str">
        <f>IF(E35&gt;0,VLOOKUP(E35,Misc!$A$4:$E$11,5,FALSE), " ")</f>
        <v xml:space="preserve"> </v>
      </c>
      <c r="G35" s="65" t="str">
        <f>IF(E35&gt;0,LOOKUP(E35,Misc!$A$3:$A$11,Misc!$B$3:$B$11), " ")</f>
        <v xml:space="preserve"> </v>
      </c>
      <c r="H35" s="84"/>
      <c r="I35" s="72" t="str">
        <f>IF(H35&gt;0,VLOOKUP(E35,Misc!$A$2:$G$11,6,FALSE)*H35, " ")</f>
        <v xml:space="preserve"> </v>
      </c>
    </row>
    <row r="36" spans="1:9" x14ac:dyDescent="0.25">
      <c r="A36" s="63">
        <v>9</v>
      </c>
      <c r="B36" s="82"/>
      <c r="C36" s="83"/>
      <c r="D36" s="83"/>
      <c r="E36" s="82"/>
      <c r="F36" s="65" t="str">
        <f>IF(E36&gt;0,VLOOKUP(E36,Misc!$A$4:$E$11,5,FALSE), " ")</f>
        <v xml:space="preserve"> </v>
      </c>
      <c r="G36" s="65" t="str">
        <f>IF(E36&gt;0,LOOKUP(E36,Misc!$A$3:$A$11,Misc!$B$3:$B$11), " ")</f>
        <v xml:space="preserve"> </v>
      </c>
      <c r="H36" s="84"/>
      <c r="I36" s="72" t="str">
        <f>IF(H36&gt;0,VLOOKUP(E36,Misc!$A$2:$G$11,6,FALSE)*H36, " ")</f>
        <v xml:space="preserve"> </v>
      </c>
    </row>
    <row r="37" spans="1:9" x14ac:dyDescent="0.25">
      <c r="A37" s="63">
        <v>10</v>
      </c>
      <c r="B37" s="82"/>
      <c r="C37" s="83"/>
      <c r="D37" s="83"/>
      <c r="E37" s="82"/>
      <c r="F37" s="65" t="str">
        <f>IF(E37&gt;0,VLOOKUP(E37,Misc!$A$4:$E$11,5,FALSE), " ")</f>
        <v xml:space="preserve"> </v>
      </c>
      <c r="G37" s="65" t="str">
        <f>IF(E37&gt;0,LOOKUP(E37,Misc!$A$3:$A$11,Misc!$B$3:$B$11), " ")</f>
        <v xml:space="preserve"> </v>
      </c>
      <c r="H37" s="84"/>
      <c r="I37" s="72" t="str">
        <f>IF(H37&gt;0,VLOOKUP(E37,Misc!$A$2:$G$11,6,FALSE)*H37, " ")</f>
        <v xml:space="preserve"> </v>
      </c>
    </row>
    <row r="38" spans="1:9" x14ac:dyDescent="0.25">
      <c r="A38" s="63">
        <v>11</v>
      </c>
      <c r="B38" s="82"/>
      <c r="C38" s="83"/>
      <c r="D38" s="83"/>
      <c r="E38" s="82"/>
      <c r="F38" s="65" t="str">
        <f>IF(E38&gt;0,VLOOKUP(E38,Misc!$A$4:$E$11,5,FALSE), " ")</f>
        <v xml:space="preserve"> </v>
      </c>
      <c r="G38" s="65" t="str">
        <f>IF(E38&gt;0,LOOKUP(E38,Misc!$A$3:$A$11,Misc!$B$3:$B$11), " ")</f>
        <v xml:space="preserve"> </v>
      </c>
      <c r="H38" s="84"/>
      <c r="I38" s="72" t="str">
        <f>IF(H38&gt;0,VLOOKUP(E38,Misc!$A$2:$G$11,6,FALSE)*H38, " ")</f>
        <v xml:space="preserve"> </v>
      </c>
    </row>
    <row r="39" spans="1:9" x14ac:dyDescent="0.25">
      <c r="A39" s="63">
        <v>12</v>
      </c>
      <c r="B39" s="82"/>
      <c r="C39" s="83"/>
      <c r="D39" s="83"/>
      <c r="E39" s="82"/>
      <c r="F39" s="65" t="str">
        <f>IF(E39&gt;0,VLOOKUP(E39,Misc!$A$4:$E$11,5,FALSE), " ")</f>
        <v xml:space="preserve"> </v>
      </c>
      <c r="G39" s="65" t="str">
        <f>IF(E39&gt;0,LOOKUP(E39,Misc!$A$3:$A$11,Misc!$B$3:$B$11), " ")</f>
        <v xml:space="preserve"> </v>
      </c>
      <c r="H39" s="84"/>
      <c r="I39" s="72" t="str">
        <f>IF(H39&gt;0,VLOOKUP(E39,Misc!$A$2:$G$11,6,FALSE)*H39, " ")</f>
        <v xml:space="preserve"> </v>
      </c>
    </row>
    <row r="40" spans="1:9" x14ac:dyDescent="0.25">
      <c r="A40" s="63"/>
      <c r="B40" s="45"/>
      <c r="C40" s="65"/>
      <c r="D40" s="65"/>
      <c r="E40" s="45"/>
      <c r="F40" s="65"/>
      <c r="G40" s="65"/>
      <c r="H40" s="65"/>
      <c r="I40" s="51"/>
    </row>
    <row r="41" spans="1:9" x14ac:dyDescent="0.25">
      <c r="A41" s="63"/>
      <c r="B41" s="45"/>
      <c r="C41" s="65"/>
      <c r="D41" s="65"/>
      <c r="E41" s="45"/>
      <c r="F41" s="65"/>
      <c r="G41" s="65"/>
      <c r="H41" s="65"/>
      <c r="I41" s="51"/>
    </row>
    <row r="42" spans="1:9" x14ac:dyDescent="0.25">
      <c r="A42" s="77"/>
      <c r="B42" s="57" t="s">
        <v>132</v>
      </c>
      <c r="C42" s="78"/>
      <c r="D42" s="78"/>
      <c r="E42" s="57"/>
      <c r="F42" s="78"/>
      <c r="G42" s="78"/>
      <c r="H42" s="78"/>
      <c r="I42" s="58"/>
    </row>
    <row r="44" spans="1:9" ht="17.25" x14ac:dyDescent="0.3">
      <c r="H44" s="80" t="s">
        <v>133</v>
      </c>
    </row>
  </sheetData>
  <sheetProtection password="AD9B" sheet="1" objects="1" scenarios="1"/>
  <mergeCells count="4">
    <mergeCell ref="A8:I8"/>
    <mergeCell ref="C2:F3"/>
    <mergeCell ref="A7:I7"/>
    <mergeCell ref="A6:I6"/>
  </mergeCells>
  <hyperlinks>
    <hyperlink ref="D13" location="'Climate Zone'!A1" display="Climatic zone"/>
    <hyperlink ref="H44" location="'Compliance path'!A1" display="Back to Compliance path tab "/>
  </hyperlinks>
  <pageMargins left="0.7" right="0.7" top="0.75" bottom="0.75" header="0.3" footer="0.3"/>
  <pageSetup paperSize="9" scale="69" orientation="landscape" r:id="rId1"/>
  <ignoredErrors>
    <ignoredError sqref="F30" emptyCellReferenc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Misc!$A$3:$A$11</xm:f>
          </x14:formula1>
          <xm:sqref>E28:E39</xm:sqref>
        </x14:dataValidation>
        <x14:dataValidation type="list" allowBlank="1" showInputMessage="1" showErrorMessage="1">
          <x14:formula1>
            <xm:f>Misc!A15:A22</xm:f>
          </x14:formula1>
          <xm:sqref>E11</xm:sqref>
        </x14:dataValidation>
        <x14:dataValidation type="list" allowBlank="1" showInputMessage="1" showErrorMessage="1">
          <x14:formula1>
            <xm:f>Misc!B24:B30</xm:f>
          </x14:formula1>
          <xm:sqref>E13</xm:sqref>
        </x14:dataValidation>
        <x14:dataValidation type="list" allowBlank="1" showInputMessage="1" showErrorMessage="1">
          <x14:formula1>
            <xm:f>Misc!B31:B33</xm:f>
          </x14:formula1>
          <xm:sqref>B22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39"/>
  <sheetViews>
    <sheetView showGridLines="0" topLeftCell="A7" workbookViewId="0">
      <selection activeCell="J47" sqref="J47"/>
    </sheetView>
  </sheetViews>
  <sheetFormatPr defaultColWidth="8.85546875" defaultRowHeight="15" x14ac:dyDescent="0.25"/>
  <cols>
    <col min="1" max="16384" width="8.85546875" style="43"/>
  </cols>
  <sheetData>
    <row r="1" spans="1:15" ht="13.5" customHeight="1" x14ac:dyDescent="0.25"/>
    <row r="2" spans="1:15" ht="25.5" customHeight="1" x14ac:dyDescent="0.25">
      <c r="G2" s="177" t="s">
        <v>140</v>
      </c>
      <c r="H2" s="177"/>
      <c r="I2" s="177"/>
      <c r="J2" s="177"/>
      <c r="K2" s="177"/>
      <c r="L2" s="177"/>
      <c r="M2" s="177"/>
      <c r="N2" s="177"/>
      <c r="O2" s="177"/>
    </row>
    <row r="3" spans="1:15" ht="15.75" customHeight="1" x14ac:dyDescent="0.25">
      <c r="G3" s="177"/>
      <c r="H3" s="177"/>
      <c r="I3" s="177"/>
      <c r="J3" s="177"/>
      <c r="K3" s="177"/>
      <c r="L3" s="177"/>
      <c r="M3" s="177"/>
      <c r="N3" s="177"/>
      <c r="O3" s="177"/>
    </row>
    <row r="6" spans="1:15" ht="15.75" x14ac:dyDescent="0.25">
      <c r="A6" s="179" t="s">
        <v>105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57"/>
      <c r="N6" s="57"/>
      <c r="O6" s="57"/>
    </row>
    <row r="39" spans="9:9" ht="17.25" x14ac:dyDescent="0.3">
      <c r="I39" s="80" t="s">
        <v>60</v>
      </c>
    </row>
  </sheetData>
  <sheetProtection password="AD9B" sheet="1" objects="1" scenarios="1"/>
  <mergeCells count="2">
    <mergeCell ref="A6:L6"/>
    <mergeCell ref="G2:O3"/>
  </mergeCells>
  <hyperlinks>
    <hyperlink ref="I39" location="'SANS Input sheet'!A1" display="BACK TO SANS"/>
  </hyperlinks>
  <pageMargins left="0.7" right="0.7" top="0.75" bottom="0.75" header="0.3" footer="0.3"/>
  <pageSetup paperSize="9"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9"/>
  <sheetViews>
    <sheetView showGridLines="0" zoomScale="85" zoomScaleNormal="85" zoomScaleSheetLayoutView="55" zoomScalePageLayoutView="75" workbookViewId="0">
      <selection activeCell="A215" sqref="A215"/>
    </sheetView>
  </sheetViews>
  <sheetFormatPr defaultColWidth="8.85546875" defaultRowHeight="15" x14ac:dyDescent="0.25"/>
  <cols>
    <col min="1" max="1" width="27.140625" style="79" customWidth="1"/>
    <col min="2" max="2" width="32" style="43" customWidth="1"/>
    <col min="3" max="3" width="20.7109375" style="79" customWidth="1"/>
    <col min="4" max="4" width="26.28515625" style="79" customWidth="1"/>
    <col min="5" max="5" width="39.140625" style="43" bestFit="1" customWidth="1"/>
    <col min="6" max="6" width="11.28515625" style="79" customWidth="1"/>
    <col min="7" max="8" width="15.42578125" style="79" customWidth="1"/>
    <col min="9" max="9" width="16.7109375" style="43" customWidth="1"/>
    <col min="10" max="16384" width="8.85546875" style="43"/>
  </cols>
  <sheetData>
    <row r="1" spans="1:11" x14ac:dyDescent="0.25">
      <c r="A1" s="61"/>
      <c r="B1" s="42"/>
      <c r="C1" s="62"/>
      <c r="D1" s="62"/>
      <c r="E1" s="42"/>
      <c r="F1" s="62"/>
      <c r="G1" s="62"/>
      <c r="H1" s="62"/>
      <c r="I1" s="42"/>
      <c r="J1" s="45"/>
    </row>
    <row r="2" spans="1:11" ht="22.5" customHeight="1" x14ac:dyDescent="0.35">
      <c r="A2" s="63"/>
      <c r="B2" s="45"/>
      <c r="C2" s="177" t="s">
        <v>140</v>
      </c>
      <c r="D2" s="177"/>
      <c r="E2" s="177"/>
      <c r="F2" s="177"/>
      <c r="G2" s="46" t="s">
        <v>145</v>
      </c>
      <c r="H2" s="64"/>
      <c r="I2" s="64"/>
      <c r="J2" s="64"/>
      <c r="K2" s="64"/>
    </row>
    <row r="3" spans="1:11" ht="15.75" customHeight="1" x14ac:dyDescent="0.35">
      <c r="A3" s="63"/>
      <c r="B3" s="45"/>
      <c r="C3" s="177"/>
      <c r="D3" s="177"/>
      <c r="E3" s="177"/>
      <c r="F3" s="177"/>
      <c r="G3" s="64"/>
      <c r="H3" s="64"/>
      <c r="I3" s="64"/>
      <c r="J3" s="64"/>
      <c r="K3" s="64"/>
    </row>
    <row r="4" spans="1:11" ht="15.75" customHeight="1" x14ac:dyDescent="0.35">
      <c r="A4" s="63"/>
      <c r="B4" s="45"/>
      <c r="C4" s="87"/>
      <c r="D4" s="87"/>
      <c r="E4" s="87"/>
      <c r="F4" s="87"/>
      <c r="G4" s="64"/>
      <c r="H4" s="64"/>
      <c r="I4" s="64"/>
      <c r="J4" s="64"/>
      <c r="K4" s="64"/>
    </row>
    <row r="5" spans="1:11" ht="15.75" customHeight="1" x14ac:dyDescent="0.35">
      <c r="A5" s="173" t="s">
        <v>150</v>
      </c>
      <c r="B5" s="174"/>
      <c r="C5" s="174"/>
      <c r="D5" s="174"/>
      <c r="E5" s="174"/>
      <c r="F5" s="174"/>
      <c r="G5" s="174"/>
      <c r="H5" s="174"/>
      <c r="I5" s="174"/>
      <c r="J5" s="64"/>
      <c r="K5" s="64"/>
    </row>
    <row r="6" spans="1:11" ht="15.75" customHeight="1" x14ac:dyDescent="0.35">
      <c r="A6" s="178" t="s">
        <v>151</v>
      </c>
      <c r="B6" s="172"/>
      <c r="C6" s="172"/>
      <c r="D6" s="172"/>
      <c r="E6" s="172"/>
      <c r="F6" s="172"/>
      <c r="G6" s="172"/>
      <c r="H6" s="172"/>
      <c r="I6" s="172"/>
      <c r="J6" s="64"/>
      <c r="K6" s="64"/>
    </row>
    <row r="7" spans="1:11" ht="15.75" x14ac:dyDescent="0.25">
      <c r="A7" s="175" t="s">
        <v>148</v>
      </c>
      <c r="B7" s="176"/>
      <c r="C7" s="176"/>
      <c r="D7" s="176"/>
      <c r="E7" s="176"/>
      <c r="F7" s="176"/>
      <c r="G7" s="176"/>
      <c r="H7" s="176"/>
      <c r="I7" s="176"/>
      <c r="J7" s="45"/>
    </row>
    <row r="8" spans="1:11" ht="15.75" customHeight="1" x14ac:dyDescent="0.25">
      <c r="A8" s="179" t="s">
        <v>159</v>
      </c>
      <c r="B8" s="180"/>
      <c r="C8" s="180"/>
      <c r="D8" s="180"/>
      <c r="E8" s="180"/>
      <c r="F8" s="180"/>
      <c r="G8" s="180"/>
      <c r="H8" s="180"/>
      <c r="I8" s="180"/>
      <c r="J8" s="45"/>
    </row>
    <row r="9" spans="1:11" ht="15.75" customHeight="1" x14ac:dyDescent="0.25">
      <c r="A9" s="63"/>
      <c r="B9" s="45"/>
      <c r="C9" s="65"/>
      <c r="D9" s="65"/>
      <c r="E9" s="45"/>
      <c r="F9" s="65"/>
      <c r="G9" s="65"/>
      <c r="H9" s="65"/>
      <c r="I9" s="51"/>
    </row>
    <row r="10" spans="1:11" x14ac:dyDescent="0.25">
      <c r="A10" s="52" t="s">
        <v>80</v>
      </c>
      <c r="B10" s="53"/>
      <c r="C10" s="65"/>
      <c r="F10" s="65"/>
      <c r="G10" s="65"/>
      <c r="H10" s="65"/>
      <c r="I10" s="51"/>
    </row>
    <row r="11" spans="1:11" x14ac:dyDescent="0.25">
      <c r="A11" s="52"/>
      <c r="B11" s="53"/>
      <c r="C11" s="65"/>
      <c r="F11" s="65"/>
      <c r="G11" s="65"/>
      <c r="H11" s="65"/>
      <c r="I11" s="51"/>
    </row>
    <row r="12" spans="1:11" x14ac:dyDescent="0.25">
      <c r="A12" s="47" t="s">
        <v>3</v>
      </c>
      <c r="B12" s="99"/>
      <c r="C12" s="65"/>
      <c r="F12" s="65"/>
      <c r="G12" s="65"/>
      <c r="H12" s="65"/>
      <c r="I12" s="51"/>
    </row>
    <row r="13" spans="1:11" x14ac:dyDescent="0.25">
      <c r="A13" s="47"/>
      <c r="B13" s="99"/>
      <c r="C13" s="65"/>
      <c r="F13" s="65"/>
      <c r="G13" s="65"/>
      <c r="H13" s="65"/>
      <c r="I13" s="51"/>
    </row>
    <row r="14" spans="1:11" x14ac:dyDescent="0.25">
      <c r="A14" s="47"/>
      <c r="B14" s="99"/>
      <c r="C14" s="65"/>
      <c r="F14" s="65"/>
      <c r="G14" s="65"/>
      <c r="H14" s="65"/>
      <c r="I14" s="51"/>
    </row>
    <row r="15" spans="1:11" x14ac:dyDescent="0.25">
      <c r="A15" s="47" t="s">
        <v>4</v>
      </c>
      <c r="B15" s="99"/>
      <c r="C15" s="65"/>
      <c r="F15" s="65"/>
      <c r="G15" s="65"/>
      <c r="H15" s="65"/>
      <c r="I15" s="51"/>
    </row>
    <row r="16" spans="1:11" x14ac:dyDescent="0.25">
      <c r="A16" s="47" t="s">
        <v>5</v>
      </c>
      <c r="B16" s="99"/>
      <c r="C16" s="65"/>
      <c r="F16" s="65"/>
      <c r="G16" s="65"/>
      <c r="H16" s="65"/>
      <c r="I16" s="51"/>
    </row>
    <row r="17" spans="1:11" x14ac:dyDescent="0.25">
      <c r="A17" s="47" t="s">
        <v>6</v>
      </c>
      <c r="B17" s="99"/>
      <c r="C17" s="65"/>
      <c r="F17" s="65"/>
      <c r="G17" s="65"/>
      <c r="H17" s="65"/>
      <c r="I17" s="51"/>
    </row>
    <row r="18" spans="1:11" x14ac:dyDescent="0.25">
      <c r="A18" s="47" t="s">
        <v>7</v>
      </c>
      <c r="B18" s="101"/>
      <c r="C18" s="65"/>
      <c r="F18" s="65"/>
      <c r="G18" s="65"/>
      <c r="H18" s="65"/>
      <c r="I18" s="51"/>
    </row>
    <row r="19" spans="1:11" x14ac:dyDescent="0.25">
      <c r="A19" s="47"/>
      <c r="B19" s="45"/>
      <c r="C19" s="65"/>
      <c r="F19" s="65"/>
      <c r="G19" s="65"/>
      <c r="H19" s="65"/>
      <c r="I19" s="51"/>
    </row>
    <row r="20" spans="1:11" x14ac:dyDescent="0.25">
      <c r="A20" s="47"/>
      <c r="B20" s="45"/>
      <c r="C20" s="65"/>
      <c r="F20" s="65"/>
      <c r="G20" s="65"/>
      <c r="H20" s="65"/>
      <c r="I20" s="51"/>
    </row>
    <row r="21" spans="1:11" x14ac:dyDescent="0.25">
      <c r="A21" s="52" t="s">
        <v>8</v>
      </c>
      <c r="B21" s="45"/>
      <c r="C21" s="65"/>
      <c r="D21" s="68" t="s">
        <v>84</v>
      </c>
      <c r="E21" s="68"/>
      <c r="F21" s="65"/>
      <c r="G21" s="69"/>
      <c r="H21" s="69"/>
      <c r="I21" s="51"/>
    </row>
    <row r="22" spans="1:11" x14ac:dyDescent="0.25">
      <c r="A22" s="52"/>
      <c r="B22" s="45"/>
      <c r="C22" s="65"/>
      <c r="D22" s="68"/>
      <c r="E22" s="68"/>
      <c r="F22" s="65"/>
      <c r="G22" s="69"/>
      <c r="H22" s="69"/>
      <c r="I22" s="51"/>
    </row>
    <row r="23" spans="1:11" x14ac:dyDescent="0.25">
      <c r="A23" s="47" t="s">
        <v>71</v>
      </c>
      <c r="B23" s="81"/>
      <c r="C23" s="65"/>
      <c r="D23" s="65"/>
      <c r="E23" s="45"/>
      <c r="F23" s="65"/>
      <c r="G23" s="65"/>
      <c r="H23" s="65"/>
      <c r="I23" s="51"/>
    </row>
    <row r="24" spans="1:11" x14ac:dyDescent="0.25">
      <c r="A24" s="88" t="s">
        <v>72</v>
      </c>
      <c r="B24" s="81"/>
      <c r="C24" s="65"/>
      <c r="D24" s="79" t="s">
        <v>85</v>
      </c>
      <c r="E24" s="95" t="e">
        <f>(SUM(I34:I57)/2)/B27/B26/B29</f>
        <v>#DIV/0!</v>
      </c>
      <c r="F24" s="138" t="s">
        <v>122</v>
      </c>
      <c r="H24" s="102" t="s">
        <v>64</v>
      </c>
      <c r="I24" s="106" t="e">
        <f>IF($E$30&lt;0,"0",IF($E$30&gt;1,Misc!$B$84,VLOOKUP($E$30,Misc!$A$38:$B$84,2,TRUE)))</f>
        <v>#DIV/0!</v>
      </c>
      <c r="K24" s="105"/>
    </row>
    <row r="25" spans="1:11" ht="17.25" x14ac:dyDescent="0.3">
      <c r="A25" s="107" t="s">
        <v>73</v>
      </c>
      <c r="B25" s="81"/>
      <c r="C25" s="65"/>
      <c r="D25" s="65" t="s">
        <v>86</v>
      </c>
      <c r="E25" s="70" t="e">
        <f>E74</f>
        <v>#DIV/0!</v>
      </c>
      <c r="F25" s="65"/>
      <c r="G25" s="71"/>
      <c r="H25" s="71"/>
      <c r="I25" s="72"/>
    </row>
    <row r="26" spans="1:11" x14ac:dyDescent="0.25">
      <c r="A26" s="89" t="s">
        <v>74</v>
      </c>
      <c r="B26" s="81"/>
      <c r="C26" s="65"/>
      <c r="D26" s="65" t="s">
        <v>87</v>
      </c>
      <c r="E26" s="90" t="e">
        <f>E124</f>
        <v>#DIV/0!</v>
      </c>
      <c r="F26" s="65"/>
      <c r="G26" s="65"/>
      <c r="H26" s="65"/>
      <c r="I26" s="51"/>
    </row>
    <row r="27" spans="1:11" x14ac:dyDescent="0.25">
      <c r="A27" s="91" t="s">
        <v>75</v>
      </c>
      <c r="B27" s="81"/>
      <c r="C27" s="65"/>
      <c r="D27" s="65" t="s">
        <v>88</v>
      </c>
      <c r="E27" s="90" t="e">
        <f>E174</f>
        <v>#DIV/0!</v>
      </c>
      <c r="F27" s="65"/>
      <c r="G27" s="65"/>
      <c r="H27" s="65"/>
      <c r="I27" s="51"/>
    </row>
    <row r="28" spans="1:11" x14ac:dyDescent="0.25">
      <c r="A28" s="89" t="s">
        <v>76</v>
      </c>
      <c r="B28" s="81"/>
      <c r="C28" s="65"/>
      <c r="D28" s="79" t="s">
        <v>89</v>
      </c>
      <c r="E28" s="90" t="e">
        <f>AVERAGE(E25:E27)</f>
        <v>#DIV/0!</v>
      </c>
      <c r="F28" s="65"/>
      <c r="G28" s="65"/>
      <c r="H28" s="65"/>
      <c r="I28" s="51"/>
    </row>
    <row r="29" spans="1:11" x14ac:dyDescent="0.25">
      <c r="A29" s="89" t="s">
        <v>77</v>
      </c>
      <c r="B29" s="81"/>
      <c r="C29" s="65"/>
      <c r="F29" s="65"/>
      <c r="G29" s="65"/>
      <c r="H29" s="65"/>
      <c r="I29" s="51"/>
    </row>
    <row r="30" spans="1:11" x14ac:dyDescent="0.25">
      <c r="A30" s="73" t="s">
        <v>78</v>
      </c>
      <c r="B30" s="81"/>
      <c r="C30" s="65"/>
      <c r="D30" s="65" t="s">
        <v>63</v>
      </c>
      <c r="E30" s="148" t="e">
        <f>(E28-E24)/E28</f>
        <v>#DIV/0!</v>
      </c>
      <c r="F30" s="65"/>
      <c r="G30" s="65"/>
      <c r="H30" s="65"/>
      <c r="I30" s="51"/>
    </row>
    <row r="31" spans="1:11" x14ac:dyDescent="0.25">
      <c r="A31" s="73" t="s">
        <v>79</v>
      </c>
      <c r="B31" s="81"/>
      <c r="C31" s="65"/>
      <c r="E31" s="104"/>
      <c r="F31" s="65"/>
      <c r="G31" s="65"/>
      <c r="H31" s="65"/>
      <c r="I31" s="51"/>
    </row>
    <row r="32" spans="1:11" x14ac:dyDescent="0.25">
      <c r="A32" s="73"/>
      <c r="B32" s="92"/>
      <c r="C32" s="65"/>
      <c r="D32" s="65"/>
      <c r="E32" s="45"/>
      <c r="F32" s="65"/>
      <c r="G32" s="65"/>
      <c r="H32" s="65"/>
      <c r="I32" s="51"/>
    </row>
    <row r="33" spans="1:9" s="76" customFormat="1" ht="30" x14ac:dyDescent="0.25">
      <c r="A33" s="75" t="s">
        <v>39</v>
      </c>
      <c r="B33" s="75" t="s">
        <v>47</v>
      </c>
      <c r="C33" s="75" t="s">
        <v>41</v>
      </c>
      <c r="D33" s="75" t="s">
        <v>42</v>
      </c>
      <c r="E33" s="75" t="s">
        <v>43</v>
      </c>
      <c r="F33" s="75" t="s">
        <v>18</v>
      </c>
      <c r="G33" s="75" t="s">
        <v>20</v>
      </c>
      <c r="H33" s="75" t="s">
        <v>45</v>
      </c>
      <c r="I33" s="75" t="s">
        <v>131</v>
      </c>
    </row>
    <row r="34" spans="1:9" x14ac:dyDescent="0.25">
      <c r="A34" s="63">
        <v>1</v>
      </c>
      <c r="B34" s="82"/>
      <c r="C34" s="83"/>
      <c r="D34" s="83"/>
      <c r="E34" s="82"/>
      <c r="F34" s="65" t="str">
        <f>IF(E34&gt;0,VLOOKUP(E34,Misc!$A$4:$E$11,5,FALSE), " ")</f>
        <v xml:space="preserve"> </v>
      </c>
      <c r="G34" s="65" t="str">
        <f>IF(E34&gt;0,VLOOKUP(E34,Misc!$A$4:$B$11,2,FALSE)," ")</f>
        <v xml:space="preserve"> </v>
      </c>
      <c r="H34" s="84"/>
      <c r="I34" s="72" t="str">
        <f>IF(H34&gt;0,VLOOKUP(E34,Misc!$A$2:$G$11,6,FALSE)*H34, " ")</f>
        <v xml:space="preserve"> </v>
      </c>
    </row>
    <row r="35" spans="1:9" x14ac:dyDescent="0.25">
      <c r="A35" s="63">
        <v>2</v>
      </c>
      <c r="B35" s="82"/>
      <c r="C35" s="83"/>
      <c r="D35" s="83"/>
      <c r="E35" s="82"/>
      <c r="F35" s="65" t="str">
        <f>IF(E35&gt;0,VLOOKUP(E35,Misc!$A$4:$E$11,5,FALSE), " ")</f>
        <v xml:space="preserve"> </v>
      </c>
      <c r="G35" s="65" t="str">
        <f>IF(E35&gt;0,VLOOKUP(E35,Misc!$A$4:$B$11,2,FALSE)," ")</f>
        <v xml:space="preserve"> </v>
      </c>
      <c r="H35" s="84"/>
      <c r="I35" s="72" t="str">
        <f>IF(H35&gt;0,VLOOKUP(E35,Misc!$A$2:$G$11,6,FALSE)*H35, " ")</f>
        <v xml:space="preserve"> </v>
      </c>
    </row>
    <row r="36" spans="1:9" x14ac:dyDescent="0.25">
      <c r="A36" s="63">
        <v>3</v>
      </c>
      <c r="B36" s="82"/>
      <c r="C36" s="83"/>
      <c r="D36" s="83"/>
      <c r="E36" s="82"/>
      <c r="F36" s="65" t="str">
        <f>IF(E36&gt;0,VLOOKUP(E36,Misc!$A$4:$E$11,5,FALSE), " ")</f>
        <v xml:space="preserve"> </v>
      </c>
      <c r="G36" s="65" t="str">
        <f>IF(E36&gt;0,VLOOKUP(E36,Misc!$A$4:$B$11,2,FALSE)," ")</f>
        <v xml:space="preserve"> </v>
      </c>
      <c r="H36" s="84"/>
      <c r="I36" s="72" t="str">
        <f>IF(H36&gt;0,VLOOKUP(E36,Misc!$A$2:$G$11,6,FALSE)*H36, " ")</f>
        <v xml:space="preserve"> </v>
      </c>
    </row>
    <row r="37" spans="1:9" x14ac:dyDescent="0.25">
      <c r="A37" s="63">
        <v>4</v>
      </c>
      <c r="B37" s="82"/>
      <c r="C37" s="83"/>
      <c r="D37" s="83"/>
      <c r="E37" s="82"/>
      <c r="F37" s="65" t="str">
        <f>IF(E37&gt;0,VLOOKUP(E37,Misc!$A$4:$E$11,5,FALSE), " ")</f>
        <v xml:space="preserve"> </v>
      </c>
      <c r="G37" s="65" t="str">
        <f>IF(E37&gt;0,VLOOKUP(E37,Misc!$A$4:$B$11,2,FALSE)," ")</f>
        <v xml:space="preserve"> </v>
      </c>
      <c r="H37" s="84"/>
      <c r="I37" s="72" t="str">
        <f>IF(H37&gt;0,VLOOKUP(E37,Misc!$A$2:$G$11,6,FALSE)*H37, " ")</f>
        <v xml:space="preserve"> </v>
      </c>
    </row>
    <row r="38" spans="1:9" x14ac:dyDescent="0.25">
      <c r="A38" s="63">
        <v>5</v>
      </c>
      <c r="B38" s="82"/>
      <c r="C38" s="83"/>
      <c r="D38" s="83"/>
      <c r="E38" s="82"/>
      <c r="F38" s="65" t="str">
        <f>IF(E38&gt;0,VLOOKUP(E38,Misc!$A$4:$E$11,5,FALSE), " ")</f>
        <v xml:space="preserve"> </v>
      </c>
      <c r="G38" s="65" t="str">
        <f>IF(E38&gt;0,VLOOKUP(E38,Misc!$A$4:$B$11,2,FALSE)," ")</f>
        <v xml:space="preserve"> </v>
      </c>
      <c r="H38" s="84"/>
      <c r="I38" s="72" t="str">
        <f>IF(H38&gt;0,VLOOKUP(E38,Misc!$A$2:$G$11,6,FALSE)*H38, " ")</f>
        <v xml:space="preserve"> </v>
      </c>
    </row>
    <row r="39" spans="1:9" x14ac:dyDescent="0.25">
      <c r="A39" s="63">
        <v>6</v>
      </c>
      <c r="B39" s="82"/>
      <c r="C39" s="83"/>
      <c r="D39" s="83"/>
      <c r="E39" s="82"/>
      <c r="F39" s="65" t="str">
        <f>IF(E39&gt;0,VLOOKUP(E39,Misc!$A$4:$E$11,5,FALSE), " ")</f>
        <v xml:space="preserve"> </v>
      </c>
      <c r="G39" s="65" t="str">
        <f>IF(E39&gt;0,VLOOKUP(E39,Misc!$A$4:$B$11,2,FALSE)," ")</f>
        <v xml:space="preserve"> </v>
      </c>
      <c r="H39" s="84"/>
      <c r="I39" s="72" t="str">
        <f>IF(H39&gt;0,VLOOKUP(E39,Misc!$A$2:$G$11,6,FALSE)*H39, " ")</f>
        <v xml:space="preserve"> </v>
      </c>
    </row>
    <row r="40" spans="1:9" x14ac:dyDescent="0.25">
      <c r="A40" s="63">
        <v>7</v>
      </c>
      <c r="B40" s="82"/>
      <c r="C40" s="83"/>
      <c r="D40" s="83"/>
      <c r="E40" s="82"/>
      <c r="F40" s="65" t="str">
        <f>IF(E40&gt;0,VLOOKUP(E40,Misc!$A$4:$E$11,5,FALSE), " ")</f>
        <v xml:space="preserve"> </v>
      </c>
      <c r="G40" s="65" t="str">
        <f>IF(E40&gt;0,VLOOKUP(E40,Misc!$A$4:$B$11,2,FALSE)," ")</f>
        <v xml:space="preserve"> </v>
      </c>
      <c r="H40" s="84"/>
      <c r="I40" s="72" t="str">
        <f>IF(H40&gt;0,VLOOKUP(E40,Misc!$A$2:$G$11,6,FALSE)*H40, " ")</f>
        <v xml:space="preserve"> </v>
      </c>
    </row>
    <row r="41" spans="1:9" x14ac:dyDescent="0.25">
      <c r="A41" s="63">
        <v>8</v>
      </c>
      <c r="B41" s="82"/>
      <c r="C41" s="83"/>
      <c r="D41" s="83"/>
      <c r="E41" s="82"/>
      <c r="F41" s="65" t="str">
        <f>IF(E41&gt;0,VLOOKUP(E41,Misc!$A$4:$E$11,5,FALSE), " ")</f>
        <v xml:space="preserve"> </v>
      </c>
      <c r="G41" s="65" t="str">
        <f>IF(E41&gt;0,VLOOKUP(E41,Misc!$A$4:$B$11,2,FALSE)," ")</f>
        <v xml:space="preserve"> </v>
      </c>
      <c r="H41" s="84"/>
      <c r="I41" s="72" t="str">
        <f>IF(H41&gt;0,VLOOKUP(E41,Misc!$A$2:$G$11,6,FALSE)*H41, " ")</f>
        <v xml:space="preserve"> </v>
      </c>
    </row>
    <row r="42" spans="1:9" x14ac:dyDescent="0.25">
      <c r="A42" s="63">
        <v>9</v>
      </c>
      <c r="B42" s="82"/>
      <c r="C42" s="83"/>
      <c r="D42" s="83"/>
      <c r="E42" s="82"/>
      <c r="F42" s="65" t="str">
        <f>IF(E42&gt;0,VLOOKUP(E42,Misc!$A$4:$E$11,5,FALSE), " ")</f>
        <v xml:space="preserve"> </v>
      </c>
      <c r="G42" s="65" t="str">
        <f>IF(E42&gt;0,VLOOKUP(E42,Misc!$A$4:$B$11,2,FALSE)," ")</f>
        <v xml:space="preserve"> </v>
      </c>
      <c r="H42" s="84"/>
      <c r="I42" s="72" t="str">
        <f>IF(H42&gt;0,VLOOKUP(E42,Misc!$A$2:$G$11,6,FALSE)*H42, " ")</f>
        <v xml:space="preserve"> </v>
      </c>
    </row>
    <row r="43" spans="1:9" x14ac:dyDescent="0.25">
      <c r="A43" s="63">
        <v>10</v>
      </c>
      <c r="B43" s="82"/>
      <c r="C43" s="83"/>
      <c r="D43" s="83"/>
      <c r="E43" s="82"/>
      <c r="F43" s="65" t="str">
        <f>IF(E43&gt;0,VLOOKUP(E43,Misc!$A$4:$E$11,5,FALSE), " ")</f>
        <v xml:space="preserve"> </v>
      </c>
      <c r="G43" s="65" t="str">
        <f>IF(E43&gt;0,VLOOKUP(E43,Misc!$A$4:$B$11,2,FALSE)," ")</f>
        <v xml:space="preserve"> </v>
      </c>
      <c r="H43" s="84"/>
      <c r="I43" s="72" t="str">
        <f>IF(H43&gt;0,VLOOKUP(E43,Misc!$A$2:$G$11,6,FALSE)*H43, " ")</f>
        <v xml:space="preserve"> </v>
      </c>
    </row>
    <row r="44" spans="1:9" x14ac:dyDescent="0.25">
      <c r="A44" s="63">
        <v>11</v>
      </c>
      <c r="B44" s="82"/>
      <c r="C44" s="83"/>
      <c r="D44" s="83"/>
      <c r="E44" s="82"/>
      <c r="F44" s="65" t="str">
        <f>IF(E44&gt;0,VLOOKUP(E44,Misc!$A$4:$E$11,5,FALSE), " ")</f>
        <v xml:space="preserve"> </v>
      </c>
      <c r="G44" s="65" t="str">
        <f>IF(E44&gt;0,VLOOKUP(E44,Misc!$A$4:$B$11,2,FALSE)," ")</f>
        <v xml:space="preserve"> </v>
      </c>
      <c r="H44" s="84"/>
      <c r="I44" s="72" t="str">
        <f>IF(H44&gt;0,VLOOKUP(E44,Misc!$A$2:$G$11,6,FALSE)*H44, " ")</f>
        <v xml:space="preserve"> </v>
      </c>
    </row>
    <row r="45" spans="1:9" x14ac:dyDescent="0.25">
      <c r="A45" s="63">
        <v>12</v>
      </c>
      <c r="B45" s="82"/>
      <c r="C45" s="83"/>
      <c r="D45" s="83"/>
      <c r="E45" s="82"/>
      <c r="F45" s="65" t="str">
        <f>IF(E45&gt;0,VLOOKUP(E45,Misc!$A$4:$E$11,5,FALSE), " ")</f>
        <v xml:space="preserve"> </v>
      </c>
      <c r="G45" s="65" t="str">
        <f>IF(E45&gt;0,VLOOKUP(E45,Misc!$A$4:$B$11,2,FALSE)," ")</f>
        <v xml:space="preserve"> </v>
      </c>
      <c r="H45" s="84"/>
      <c r="I45" s="72" t="str">
        <f>IF(H45&gt;0,VLOOKUP(E45,Misc!$A$2:$G$11,6,FALSE)*H45, " ")</f>
        <v xml:space="preserve"> </v>
      </c>
    </row>
    <row r="46" spans="1:9" x14ac:dyDescent="0.25">
      <c r="A46" s="63">
        <v>13</v>
      </c>
      <c r="B46" s="82"/>
      <c r="C46" s="83"/>
      <c r="D46" s="83"/>
      <c r="E46" s="82"/>
      <c r="F46" s="65" t="str">
        <f>IF(E46&gt;0,VLOOKUP(E46,Misc!$A$4:$E$11,5,FALSE), " ")</f>
        <v xml:space="preserve"> </v>
      </c>
      <c r="G46" s="65" t="str">
        <f>IF(E46&gt;0,VLOOKUP(E46,Misc!$A$4:$B$11,2,FALSE)," ")</f>
        <v xml:space="preserve"> </v>
      </c>
      <c r="H46" s="84"/>
      <c r="I46" s="72" t="str">
        <f>IF(H46&gt;0,VLOOKUP(E46,Misc!$A$2:$G$11,6,FALSE)*H46, " ")</f>
        <v xml:space="preserve"> </v>
      </c>
    </row>
    <row r="47" spans="1:9" x14ac:dyDescent="0.25">
      <c r="A47" s="63">
        <v>14</v>
      </c>
      <c r="B47" s="82"/>
      <c r="C47" s="83"/>
      <c r="D47" s="83"/>
      <c r="E47" s="82"/>
      <c r="F47" s="65" t="str">
        <f>IF(E47&gt;0,VLOOKUP(E47,Misc!$A$4:$E$11,5,FALSE), " ")</f>
        <v xml:space="preserve"> </v>
      </c>
      <c r="G47" s="65" t="str">
        <f>IF(E47&gt;0,VLOOKUP(E47,Misc!$A$4:$B$11,2,FALSE)," ")</f>
        <v xml:space="preserve"> </v>
      </c>
      <c r="H47" s="84"/>
      <c r="I47" s="72" t="str">
        <f>IF(H47&gt;0,VLOOKUP(E47,Misc!$A$2:$G$11,6,FALSE)*H47, " ")</f>
        <v xml:space="preserve"> </v>
      </c>
    </row>
    <row r="48" spans="1:9" x14ac:dyDescent="0.25">
      <c r="A48" s="63">
        <v>15</v>
      </c>
      <c r="B48" s="82"/>
      <c r="C48" s="83"/>
      <c r="D48" s="83"/>
      <c r="E48" s="82"/>
      <c r="F48" s="65" t="str">
        <f>IF(E48&gt;0,VLOOKUP(E48,Misc!$A$4:$E$11,5,FALSE), " ")</f>
        <v xml:space="preserve"> </v>
      </c>
      <c r="G48" s="65" t="str">
        <f>IF(E48&gt;0,VLOOKUP(E48,Misc!$A$4:$B$11,2,FALSE)," ")</f>
        <v xml:space="preserve"> </v>
      </c>
      <c r="H48" s="84"/>
      <c r="I48" s="72" t="str">
        <f>IF(H48&gt;0,VLOOKUP(E48,Misc!$A$2:$G$11,6,FALSE)*H48, " ")</f>
        <v xml:space="preserve"> </v>
      </c>
    </row>
    <row r="49" spans="1:9" x14ac:dyDescent="0.25">
      <c r="A49" s="63">
        <v>16</v>
      </c>
      <c r="B49" s="82"/>
      <c r="C49" s="83"/>
      <c r="D49" s="83"/>
      <c r="E49" s="82"/>
      <c r="F49" s="65" t="str">
        <f>IF(E49&gt;0,VLOOKUP(E49,Misc!$A$4:$E$11,5,FALSE), " ")</f>
        <v xml:space="preserve"> </v>
      </c>
      <c r="G49" s="65" t="str">
        <f>IF(E49&gt;0,VLOOKUP(E49,Misc!$A$4:$B$11,2,FALSE)," ")</f>
        <v xml:space="preserve"> </v>
      </c>
      <c r="H49" s="84"/>
      <c r="I49" s="72" t="str">
        <f>IF(H49&gt;0,VLOOKUP(E49,Misc!$A$2:$G$11,6,FALSE)*H49, " ")</f>
        <v xml:space="preserve"> </v>
      </c>
    </row>
    <row r="50" spans="1:9" x14ac:dyDescent="0.25">
      <c r="A50" s="63">
        <v>17</v>
      </c>
      <c r="B50" s="82"/>
      <c r="C50" s="83"/>
      <c r="D50" s="83"/>
      <c r="E50" s="82"/>
      <c r="F50" s="65" t="str">
        <f>IF(E50&gt;0,VLOOKUP(E50,Misc!$A$4:$E$11,5,FALSE), " ")</f>
        <v xml:space="preserve"> </v>
      </c>
      <c r="G50" s="65" t="str">
        <f>IF(E50&gt;0,VLOOKUP(E50,Misc!$A$4:$B$11,2,FALSE)," ")</f>
        <v xml:space="preserve"> </v>
      </c>
      <c r="H50" s="84"/>
      <c r="I50" s="72" t="str">
        <f>IF(H50&gt;0,VLOOKUP(E50,Misc!$A$2:$G$11,6,FALSE)*H50, " ")</f>
        <v xml:space="preserve"> </v>
      </c>
    </row>
    <row r="51" spans="1:9" x14ac:dyDescent="0.25">
      <c r="A51" s="63">
        <v>18</v>
      </c>
      <c r="B51" s="82"/>
      <c r="C51" s="83"/>
      <c r="D51" s="83"/>
      <c r="E51" s="82"/>
      <c r="F51" s="65" t="str">
        <f>IF(E51&gt;0,VLOOKUP(E51,Misc!$A$4:$E$11,5,FALSE), " ")</f>
        <v xml:space="preserve"> </v>
      </c>
      <c r="G51" s="65" t="str">
        <f>IF(E51&gt;0,VLOOKUP(E51,Misc!$A$4:$B$11,2,FALSE)," ")</f>
        <v xml:space="preserve"> </v>
      </c>
      <c r="H51" s="84"/>
      <c r="I51" s="72" t="str">
        <f>IF(H51&gt;0,VLOOKUP(E51,Misc!$A$2:$G$11,6,FALSE)*H51, " ")</f>
        <v xml:space="preserve"> </v>
      </c>
    </row>
    <row r="52" spans="1:9" x14ac:dyDescent="0.25">
      <c r="A52" s="63">
        <v>19</v>
      </c>
      <c r="B52" s="82"/>
      <c r="C52" s="83"/>
      <c r="D52" s="83"/>
      <c r="E52" s="82"/>
      <c r="F52" s="65" t="str">
        <f>IF(E52&gt;0,VLOOKUP(E52,Misc!$A$4:$E$11,5,FALSE), " ")</f>
        <v xml:space="preserve"> </v>
      </c>
      <c r="G52" s="65" t="str">
        <f>IF(E52&gt;0,VLOOKUP(E52,Misc!$A$4:$B$11,2,FALSE)," ")</f>
        <v xml:space="preserve"> </v>
      </c>
      <c r="H52" s="84"/>
      <c r="I52" s="72" t="str">
        <f>IF(H52&gt;0,VLOOKUP(E52,Misc!$A$2:$G$11,6,FALSE)*H52, " ")</f>
        <v xml:space="preserve"> </v>
      </c>
    </row>
    <row r="53" spans="1:9" x14ac:dyDescent="0.25">
      <c r="A53" s="63">
        <v>20</v>
      </c>
      <c r="B53" s="82"/>
      <c r="C53" s="83"/>
      <c r="D53" s="83"/>
      <c r="E53" s="82"/>
      <c r="F53" s="65" t="str">
        <f>IF(E53&gt;0,VLOOKUP(E53,Misc!$A$4:$E$11,5,FALSE), " ")</f>
        <v xml:space="preserve"> </v>
      </c>
      <c r="G53" s="65" t="str">
        <f>IF(E53&gt;0,VLOOKUP(E53,Misc!$A$4:$B$11,2,FALSE)," ")</f>
        <v xml:space="preserve"> </v>
      </c>
      <c r="H53" s="84"/>
      <c r="I53" s="72" t="str">
        <f>IF(H53&gt;0,VLOOKUP(E53,Misc!$A$2:$G$11,6,FALSE)*H53, " ")</f>
        <v xml:space="preserve"> </v>
      </c>
    </row>
    <row r="54" spans="1:9" x14ac:dyDescent="0.25">
      <c r="A54" s="63">
        <v>21</v>
      </c>
      <c r="B54" s="82"/>
      <c r="C54" s="83"/>
      <c r="D54" s="83"/>
      <c r="E54" s="82"/>
      <c r="F54" s="65" t="str">
        <f>IF(E54&gt;0,VLOOKUP(E54,Misc!$A$4:$E$11,5,FALSE), " ")</f>
        <v xml:space="preserve"> </v>
      </c>
      <c r="G54" s="65" t="str">
        <f>IF(E54&gt;0,VLOOKUP(E54,Misc!$A$4:$B$11,2,FALSE)," ")</f>
        <v xml:space="preserve"> </v>
      </c>
      <c r="H54" s="84"/>
      <c r="I54" s="72" t="str">
        <f>IF(H54&gt;0,VLOOKUP(E54,Misc!$A$2:$G$11,6,FALSE)*H54, " ")</f>
        <v xml:space="preserve"> </v>
      </c>
    </row>
    <row r="55" spans="1:9" x14ac:dyDescent="0.25">
      <c r="A55" s="63">
        <v>22</v>
      </c>
      <c r="B55" s="82"/>
      <c r="C55" s="83"/>
      <c r="D55" s="83"/>
      <c r="E55" s="82"/>
      <c r="F55" s="65" t="str">
        <f>IF(E55&gt;0,VLOOKUP(E55,Misc!$A$4:$E$11,5,FALSE), " ")</f>
        <v xml:space="preserve"> </v>
      </c>
      <c r="G55" s="65" t="str">
        <f>IF(E55&gt;0,VLOOKUP(E55,Misc!$A$4:$B$11,2,FALSE)," ")</f>
        <v xml:space="preserve"> </v>
      </c>
      <c r="H55" s="84"/>
      <c r="I55" s="72" t="str">
        <f>IF(H55&gt;0,VLOOKUP(E55,Misc!$A$2:$G$11,6,FALSE)*H55, " ")</f>
        <v xml:space="preserve"> </v>
      </c>
    </row>
    <row r="56" spans="1:9" x14ac:dyDescent="0.25">
      <c r="A56" s="63">
        <v>23</v>
      </c>
      <c r="B56" s="82"/>
      <c r="C56" s="83"/>
      <c r="D56" s="83"/>
      <c r="E56" s="82"/>
      <c r="F56" s="65" t="str">
        <f>IF(E56&gt;0,VLOOKUP(E56,Misc!$A$4:$E$11,5,FALSE), " ")</f>
        <v xml:space="preserve"> </v>
      </c>
      <c r="G56" s="65" t="str">
        <f>IF(E56&gt;0,VLOOKUP(E56,Misc!$A$4:$B$11,2,FALSE)," ")</f>
        <v xml:space="preserve"> </v>
      </c>
      <c r="H56" s="84"/>
      <c r="I56" s="72" t="str">
        <f>IF(H56&gt;0,VLOOKUP(E56,Misc!$A$2:$G$11,6,FALSE)*H56, " ")</f>
        <v xml:space="preserve"> </v>
      </c>
    </row>
    <row r="57" spans="1:9" x14ac:dyDescent="0.25">
      <c r="A57" s="63">
        <v>24</v>
      </c>
      <c r="B57" s="82"/>
      <c r="C57" s="83"/>
      <c r="D57" s="83"/>
      <c r="E57" s="82"/>
      <c r="F57" s="65" t="str">
        <f>IF(E57&gt;0,VLOOKUP(E57,Misc!$A$4:$E$11,5,FALSE), " ")</f>
        <v xml:space="preserve"> </v>
      </c>
      <c r="G57" s="65" t="str">
        <f>IF(E57&gt;0,VLOOKUP(E57,Misc!$A$4:$B$11,2,FALSE)," ")</f>
        <v xml:space="preserve"> </v>
      </c>
      <c r="H57" s="84"/>
      <c r="I57" s="72" t="str">
        <f>IF(H57&gt;0,VLOOKUP(E57,Misc!$A$2:$G$11,6,FALSE)*H57, " ")</f>
        <v xml:space="preserve"> </v>
      </c>
    </row>
    <row r="58" spans="1:9" x14ac:dyDescent="0.25">
      <c r="A58" s="77"/>
      <c r="B58" s="57" t="s">
        <v>132</v>
      </c>
      <c r="C58" s="78"/>
      <c r="D58" s="78"/>
      <c r="E58" s="57"/>
      <c r="F58" s="78"/>
      <c r="G58" s="78"/>
      <c r="H58" s="78"/>
      <c r="I58" s="58"/>
    </row>
    <row r="59" spans="1:9" ht="17.25" x14ac:dyDescent="0.3">
      <c r="G59" s="80" t="s">
        <v>133</v>
      </c>
      <c r="I59" s="93"/>
    </row>
    <row r="60" spans="1:9" x14ac:dyDescent="0.25">
      <c r="A60" s="52" t="s">
        <v>81</v>
      </c>
      <c r="B60" s="53"/>
      <c r="I60" s="51"/>
    </row>
    <row r="61" spans="1:9" x14ac:dyDescent="0.25">
      <c r="A61" s="52"/>
      <c r="B61" s="53"/>
      <c r="I61" s="51"/>
    </row>
    <row r="62" spans="1:9" x14ac:dyDescent="0.25">
      <c r="A62" s="47" t="s">
        <v>3</v>
      </c>
      <c r="B62" s="99"/>
      <c r="C62" s="65"/>
      <c r="F62" s="65"/>
      <c r="G62" s="65"/>
      <c r="H62" s="65"/>
      <c r="I62" s="51"/>
    </row>
    <row r="63" spans="1:9" x14ac:dyDescent="0.25">
      <c r="A63" s="47"/>
      <c r="B63" s="99"/>
      <c r="C63" s="65"/>
      <c r="F63" s="65"/>
      <c r="G63" s="65"/>
      <c r="H63" s="65"/>
      <c r="I63" s="51"/>
    </row>
    <row r="64" spans="1:9" x14ac:dyDescent="0.25">
      <c r="A64" s="47"/>
      <c r="B64" s="99"/>
      <c r="C64" s="65"/>
      <c r="F64" s="65"/>
      <c r="G64" s="65"/>
      <c r="H64" s="65"/>
      <c r="I64" s="51"/>
    </row>
    <row r="65" spans="1:9" x14ac:dyDescent="0.25">
      <c r="A65" s="47" t="s">
        <v>4</v>
      </c>
      <c r="B65" s="99"/>
      <c r="C65" s="65"/>
      <c r="F65" s="65"/>
      <c r="G65" s="65"/>
      <c r="H65" s="65"/>
      <c r="I65" s="51"/>
    </row>
    <row r="66" spans="1:9" x14ac:dyDescent="0.25">
      <c r="A66" s="47" t="s">
        <v>5</v>
      </c>
      <c r="B66" s="99"/>
      <c r="C66" s="65"/>
      <c r="F66" s="65"/>
      <c r="G66" s="65"/>
      <c r="H66" s="65"/>
      <c r="I66" s="51"/>
    </row>
    <row r="67" spans="1:9" x14ac:dyDescent="0.25">
      <c r="A67" s="47" t="s">
        <v>6</v>
      </c>
      <c r="B67" s="99"/>
      <c r="C67" s="65"/>
      <c r="F67" s="65"/>
      <c r="G67" s="65"/>
      <c r="H67" s="65"/>
      <c r="I67" s="51"/>
    </row>
    <row r="68" spans="1:9" x14ac:dyDescent="0.25">
      <c r="A68" s="47" t="s">
        <v>7</v>
      </c>
      <c r="B68" s="99"/>
      <c r="C68" s="65"/>
      <c r="F68" s="65"/>
      <c r="G68" s="65"/>
      <c r="H68" s="65"/>
      <c r="I68" s="51"/>
    </row>
    <row r="69" spans="1:9" x14ac:dyDescent="0.25">
      <c r="A69" s="47"/>
      <c r="B69" s="45"/>
      <c r="C69" s="65"/>
      <c r="F69" s="65"/>
      <c r="G69" s="65"/>
      <c r="H69" s="65"/>
      <c r="I69" s="51"/>
    </row>
    <row r="70" spans="1:9" x14ac:dyDescent="0.25">
      <c r="A70" s="47"/>
      <c r="B70" s="45"/>
      <c r="C70" s="65"/>
      <c r="F70" s="65"/>
      <c r="G70" s="65"/>
      <c r="H70" s="65"/>
      <c r="I70" s="51"/>
    </row>
    <row r="71" spans="1:9" x14ac:dyDescent="0.25">
      <c r="A71" s="52" t="s">
        <v>8</v>
      </c>
      <c r="B71" s="45"/>
      <c r="C71" s="65"/>
      <c r="D71" s="68" t="s">
        <v>62</v>
      </c>
      <c r="E71" s="68"/>
      <c r="F71" s="65"/>
      <c r="G71" s="69"/>
      <c r="H71" s="69"/>
      <c r="I71" s="51"/>
    </row>
    <row r="72" spans="1:9" x14ac:dyDescent="0.25">
      <c r="A72" s="52"/>
      <c r="B72" s="45"/>
      <c r="C72" s="65"/>
      <c r="D72" s="68"/>
      <c r="E72" s="68"/>
      <c r="F72" s="65"/>
      <c r="G72" s="69"/>
      <c r="H72" s="69"/>
      <c r="I72" s="51"/>
    </row>
    <row r="73" spans="1:9" x14ac:dyDescent="0.25">
      <c r="A73" s="47" t="s">
        <v>71</v>
      </c>
      <c r="B73" s="81"/>
      <c r="C73" s="65"/>
      <c r="D73" s="65"/>
      <c r="E73" s="45"/>
      <c r="F73" s="65"/>
      <c r="G73" s="65"/>
      <c r="H73" s="65"/>
      <c r="I73" s="51"/>
    </row>
    <row r="74" spans="1:9" x14ac:dyDescent="0.25">
      <c r="A74" s="88" t="s">
        <v>72</v>
      </c>
      <c r="B74" s="81"/>
      <c r="C74" s="65"/>
      <c r="D74" s="65" t="s">
        <v>122</v>
      </c>
      <c r="E74" s="95" t="e">
        <f>(SUM(I84:I107)/2)/B77/B76/B79</f>
        <v>#DIV/0!</v>
      </c>
      <c r="F74" s="65"/>
      <c r="G74" s="65"/>
      <c r="H74" s="65"/>
      <c r="I74" s="103"/>
    </row>
    <row r="75" spans="1:9" x14ac:dyDescent="0.25">
      <c r="A75" s="47" t="s">
        <v>73</v>
      </c>
      <c r="B75" s="81"/>
      <c r="C75" s="65"/>
      <c r="D75" s="65"/>
      <c r="E75" s="70"/>
      <c r="F75" s="65"/>
      <c r="G75" s="71"/>
      <c r="H75" s="71"/>
      <c r="I75" s="72"/>
    </row>
    <row r="76" spans="1:9" x14ac:dyDescent="0.25">
      <c r="A76" s="89" t="s">
        <v>74</v>
      </c>
      <c r="B76" s="81"/>
      <c r="C76" s="65"/>
      <c r="F76" s="65"/>
      <c r="G76" s="65"/>
      <c r="H76" s="65"/>
      <c r="I76" s="51"/>
    </row>
    <row r="77" spans="1:9" x14ac:dyDescent="0.25">
      <c r="A77" s="91" t="s">
        <v>75</v>
      </c>
      <c r="B77" s="81"/>
      <c r="C77" s="65"/>
      <c r="F77" s="65"/>
      <c r="G77" s="65"/>
      <c r="H77" s="65"/>
      <c r="I77" s="51"/>
    </row>
    <row r="78" spans="1:9" x14ac:dyDescent="0.25">
      <c r="A78" s="73" t="s">
        <v>76</v>
      </c>
      <c r="B78" s="81"/>
      <c r="C78" s="65"/>
      <c r="F78" s="65"/>
      <c r="G78" s="65"/>
      <c r="H78" s="65"/>
      <c r="I78" s="51"/>
    </row>
    <row r="79" spans="1:9" x14ac:dyDescent="0.25">
      <c r="A79" s="89" t="s">
        <v>77</v>
      </c>
      <c r="B79" s="81"/>
      <c r="C79" s="65"/>
      <c r="F79" s="65"/>
      <c r="G79" s="65"/>
      <c r="H79" s="65"/>
      <c r="I79" s="51"/>
    </row>
    <row r="80" spans="1:9" x14ac:dyDescent="0.25">
      <c r="A80" s="73" t="s">
        <v>78</v>
      </c>
      <c r="B80" s="81"/>
      <c r="C80" s="65"/>
      <c r="F80" s="65"/>
      <c r="G80" s="65"/>
      <c r="H80" s="65"/>
      <c r="I80" s="51"/>
    </row>
    <row r="81" spans="1:9" x14ac:dyDescent="0.25">
      <c r="A81" s="73" t="s">
        <v>79</v>
      </c>
      <c r="B81" s="81"/>
      <c r="C81" s="65"/>
      <c r="F81" s="65"/>
      <c r="G81" s="65"/>
      <c r="H81" s="65"/>
      <c r="I81" s="51"/>
    </row>
    <row r="82" spans="1:9" x14ac:dyDescent="0.25">
      <c r="A82" s="73"/>
      <c r="B82" s="92"/>
      <c r="C82" s="65"/>
      <c r="D82" s="65"/>
      <c r="E82" s="45"/>
      <c r="F82" s="65"/>
      <c r="G82" s="65"/>
      <c r="H82" s="65"/>
      <c r="I82" s="51"/>
    </row>
    <row r="83" spans="1:9" s="76" customFormat="1" ht="30" x14ac:dyDescent="0.25">
      <c r="A83" s="75" t="s">
        <v>39</v>
      </c>
      <c r="B83" s="75" t="s">
        <v>47</v>
      </c>
      <c r="C83" s="75" t="s">
        <v>41</v>
      </c>
      <c r="D83" s="75" t="s">
        <v>42</v>
      </c>
      <c r="E83" s="75" t="s">
        <v>43</v>
      </c>
      <c r="F83" s="75" t="s">
        <v>18</v>
      </c>
      <c r="G83" s="75" t="s">
        <v>20</v>
      </c>
      <c r="H83" s="75" t="s">
        <v>45</v>
      </c>
      <c r="I83" s="75" t="s">
        <v>131</v>
      </c>
    </row>
    <row r="84" spans="1:9" x14ac:dyDescent="0.25">
      <c r="A84" s="63">
        <v>1</v>
      </c>
      <c r="B84" s="82"/>
      <c r="C84" s="83"/>
      <c r="D84" s="83"/>
      <c r="E84" s="82"/>
      <c r="F84" s="65" t="str">
        <f>IF(E84&gt;0,VLOOKUP(E84,Misc!$A$4:$E$11,5,FALSE), " ")</f>
        <v xml:space="preserve"> </v>
      </c>
      <c r="G84" s="65" t="str">
        <f>IF(E84&gt;0,VLOOKUP(E84,Misc!$A$4:$B$11,2,FALSE)," ")</f>
        <v xml:space="preserve"> </v>
      </c>
      <c r="H84" s="84"/>
      <c r="I84" s="72" t="str">
        <f>IF(H84&gt;0,VLOOKUP(E84,Misc!$A$2:$G$11,6,FALSE)*H84, " ")</f>
        <v xml:space="preserve"> </v>
      </c>
    </row>
    <row r="85" spans="1:9" x14ac:dyDescent="0.25">
      <c r="A85" s="63">
        <v>2</v>
      </c>
      <c r="B85" s="82"/>
      <c r="C85" s="83"/>
      <c r="D85" s="83"/>
      <c r="E85" s="82"/>
      <c r="F85" s="65" t="str">
        <f>IF(E85&gt;0,VLOOKUP(E85,Misc!$A$4:$E$11,5,FALSE), " ")</f>
        <v xml:space="preserve"> </v>
      </c>
      <c r="G85" s="65" t="str">
        <f>IF(E85&gt;0,VLOOKUP(E85,Misc!$A$4:$B$11,2,FALSE)," ")</f>
        <v xml:space="preserve"> </v>
      </c>
      <c r="H85" s="84"/>
      <c r="I85" s="72" t="str">
        <f>IF(H85&gt;0,VLOOKUP(E85,Misc!$A$2:$G$11,6,FALSE)*H85, " ")</f>
        <v xml:space="preserve"> </v>
      </c>
    </row>
    <row r="86" spans="1:9" x14ac:dyDescent="0.25">
      <c r="A86" s="63">
        <v>3</v>
      </c>
      <c r="B86" s="82"/>
      <c r="C86" s="83"/>
      <c r="D86" s="83"/>
      <c r="E86" s="82"/>
      <c r="F86" s="65" t="str">
        <f>IF(E86&gt;0,VLOOKUP(E86,Misc!$A$4:$E$11,5,FALSE), " ")</f>
        <v xml:space="preserve"> </v>
      </c>
      <c r="G86" s="65" t="str">
        <f>IF(E86&gt;0,VLOOKUP(E86,Misc!$A$4:$B$11,2,FALSE)," ")</f>
        <v xml:space="preserve"> </v>
      </c>
      <c r="H86" s="84"/>
      <c r="I86" s="72" t="str">
        <f>IF(H86&gt;0,VLOOKUP(E86,Misc!$A$2:$G$11,6,FALSE)*H86, " ")</f>
        <v xml:space="preserve"> </v>
      </c>
    </row>
    <row r="87" spans="1:9" x14ac:dyDescent="0.25">
      <c r="A87" s="63">
        <v>4</v>
      </c>
      <c r="B87" s="82"/>
      <c r="C87" s="83"/>
      <c r="D87" s="83"/>
      <c r="E87" s="82"/>
      <c r="F87" s="65" t="str">
        <f>IF(E87&gt;0,VLOOKUP(E87,Misc!$A$4:$E$11,5,FALSE), " ")</f>
        <v xml:space="preserve"> </v>
      </c>
      <c r="G87" s="65" t="str">
        <f>IF(E87&gt;0,VLOOKUP(E87,Misc!$A$4:$B$11,2,FALSE)," ")</f>
        <v xml:space="preserve"> </v>
      </c>
      <c r="H87" s="84"/>
      <c r="I87" s="72" t="str">
        <f>IF(H87&gt;0,VLOOKUP(E87,Misc!$A$2:$G$11,6,FALSE)*H87, " ")</f>
        <v xml:space="preserve"> </v>
      </c>
    </row>
    <row r="88" spans="1:9" x14ac:dyDescent="0.25">
      <c r="A88" s="63">
        <v>5</v>
      </c>
      <c r="B88" s="82"/>
      <c r="C88" s="83"/>
      <c r="D88" s="83"/>
      <c r="E88" s="82"/>
      <c r="F88" s="65" t="str">
        <f>IF(E88&gt;0,VLOOKUP(E88,Misc!$A$4:$E$11,5,FALSE), " ")</f>
        <v xml:space="preserve"> </v>
      </c>
      <c r="G88" s="65" t="str">
        <f>IF(E88&gt;0,VLOOKUP(E88,Misc!$A$4:$B$11,2,FALSE)," ")</f>
        <v xml:space="preserve"> </v>
      </c>
      <c r="H88" s="84"/>
      <c r="I88" s="72" t="str">
        <f>IF(H88&gt;0,VLOOKUP(E88,Misc!$A$2:$G$11,6,FALSE)*H88, " ")</f>
        <v xml:space="preserve"> </v>
      </c>
    </row>
    <row r="89" spans="1:9" x14ac:dyDescent="0.25">
      <c r="A89" s="63">
        <v>6</v>
      </c>
      <c r="B89" s="82"/>
      <c r="C89" s="83"/>
      <c r="D89" s="83"/>
      <c r="E89" s="82"/>
      <c r="F89" s="65" t="str">
        <f>IF(E89&gt;0,VLOOKUP(E89,Misc!$A$4:$E$11,5,FALSE), " ")</f>
        <v xml:space="preserve"> </v>
      </c>
      <c r="G89" s="65" t="str">
        <f>IF(E89&gt;0,VLOOKUP(E89,Misc!$A$4:$B$11,2,FALSE)," ")</f>
        <v xml:space="preserve"> </v>
      </c>
      <c r="H89" s="84"/>
      <c r="I89" s="72" t="str">
        <f>IF(H89&gt;0,VLOOKUP(E89,Misc!$A$2:$G$11,6,FALSE)*H89, " ")</f>
        <v xml:space="preserve"> </v>
      </c>
    </row>
    <row r="90" spans="1:9" x14ac:dyDescent="0.25">
      <c r="A90" s="63">
        <v>7</v>
      </c>
      <c r="B90" s="82"/>
      <c r="C90" s="83"/>
      <c r="D90" s="83"/>
      <c r="E90" s="82"/>
      <c r="F90" s="65" t="str">
        <f>IF(E90&gt;0,VLOOKUP(E90,Misc!$A$4:$E$11,5,FALSE), " ")</f>
        <v xml:space="preserve"> </v>
      </c>
      <c r="G90" s="65" t="str">
        <f>IF(E90&gt;0,VLOOKUP(E90,Misc!$A$4:$B$11,2,FALSE)," ")</f>
        <v xml:space="preserve"> </v>
      </c>
      <c r="H90" s="84"/>
      <c r="I90" s="72" t="str">
        <f>IF(H90&gt;0,VLOOKUP(E90,Misc!$A$2:$G$11,6,FALSE)*H90, " ")</f>
        <v xml:space="preserve"> </v>
      </c>
    </row>
    <row r="91" spans="1:9" x14ac:dyDescent="0.25">
      <c r="A91" s="63">
        <v>8</v>
      </c>
      <c r="B91" s="82"/>
      <c r="C91" s="83"/>
      <c r="D91" s="83"/>
      <c r="E91" s="82"/>
      <c r="F91" s="65" t="str">
        <f>IF(E91&gt;0,VLOOKUP(E91,Misc!$A$4:$E$11,5,FALSE), " ")</f>
        <v xml:space="preserve"> </v>
      </c>
      <c r="G91" s="65" t="str">
        <f>IF(E91&gt;0,VLOOKUP(E91,Misc!$A$4:$B$11,2,FALSE)," ")</f>
        <v xml:space="preserve"> </v>
      </c>
      <c r="H91" s="84"/>
      <c r="I91" s="72" t="str">
        <f>IF(H91&gt;0,VLOOKUP(E91,Misc!$A$2:$G$11,6,FALSE)*H91, " ")</f>
        <v xml:space="preserve"> </v>
      </c>
    </row>
    <row r="92" spans="1:9" x14ac:dyDescent="0.25">
      <c r="A92" s="63">
        <v>9</v>
      </c>
      <c r="B92" s="82"/>
      <c r="C92" s="83"/>
      <c r="D92" s="83"/>
      <c r="E92" s="82"/>
      <c r="F92" s="65" t="str">
        <f>IF(E92&gt;0,VLOOKUP(E92,Misc!$A$4:$E$11,5,FALSE), " ")</f>
        <v xml:space="preserve"> </v>
      </c>
      <c r="G92" s="65" t="str">
        <f>IF(E92&gt;0,VLOOKUP(E92,Misc!$A$4:$B$11,2,FALSE)," ")</f>
        <v xml:space="preserve"> </v>
      </c>
      <c r="H92" s="84"/>
      <c r="I92" s="72" t="str">
        <f>IF(H92&gt;0,VLOOKUP(E92,Misc!$A$2:$G$11,6,FALSE)*H92, " ")</f>
        <v xml:space="preserve"> </v>
      </c>
    </row>
    <row r="93" spans="1:9" x14ac:dyDescent="0.25">
      <c r="A93" s="63">
        <v>10</v>
      </c>
      <c r="B93" s="82"/>
      <c r="C93" s="83"/>
      <c r="D93" s="83"/>
      <c r="E93" s="82"/>
      <c r="F93" s="65" t="str">
        <f>IF(E93&gt;0,VLOOKUP(E93,Misc!$A$4:$E$11,5,FALSE), " ")</f>
        <v xml:space="preserve"> </v>
      </c>
      <c r="G93" s="65" t="str">
        <f>IF(E93&gt;0,VLOOKUP(E93,Misc!$A$4:$B$11,2,FALSE)," ")</f>
        <v xml:space="preserve"> </v>
      </c>
      <c r="H93" s="84"/>
      <c r="I93" s="72" t="str">
        <f>IF(H93&gt;0,VLOOKUP(E93,Misc!$A$2:$G$11,6,FALSE)*H93, " ")</f>
        <v xml:space="preserve"> </v>
      </c>
    </row>
    <row r="94" spans="1:9" x14ac:dyDescent="0.25">
      <c r="A94" s="63">
        <v>11</v>
      </c>
      <c r="B94" s="82"/>
      <c r="C94" s="83"/>
      <c r="D94" s="83"/>
      <c r="E94" s="82"/>
      <c r="F94" s="65" t="str">
        <f>IF(E94&gt;0,VLOOKUP(E94,Misc!$A$4:$E$11,5,FALSE), " ")</f>
        <v xml:space="preserve"> </v>
      </c>
      <c r="G94" s="65" t="str">
        <f>IF(E94&gt;0,VLOOKUP(E94,Misc!$A$4:$B$11,2,FALSE)," ")</f>
        <v xml:space="preserve"> </v>
      </c>
      <c r="H94" s="84"/>
      <c r="I94" s="72" t="str">
        <f>IF(H94&gt;0,VLOOKUP(E94,Misc!$A$2:$G$11,6,FALSE)*H94, " ")</f>
        <v xml:space="preserve"> </v>
      </c>
    </row>
    <row r="95" spans="1:9" x14ac:dyDescent="0.25">
      <c r="A95" s="63">
        <v>12</v>
      </c>
      <c r="B95" s="82"/>
      <c r="C95" s="83"/>
      <c r="D95" s="83"/>
      <c r="E95" s="82"/>
      <c r="F95" s="65" t="str">
        <f>IF(E95&gt;0,VLOOKUP(E95,Misc!$A$4:$E$11,5,FALSE), " ")</f>
        <v xml:space="preserve"> </v>
      </c>
      <c r="G95" s="65" t="str">
        <f>IF(E95&gt;0,VLOOKUP(E95,Misc!$A$4:$B$11,2,FALSE)," ")</f>
        <v xml:space="preserve"> </v>
      </c>
      <c r="H95" s="84"/>
      <c r="I95" s="72" t="str">
        <f>IF(H95&gt;0,VLOOKUP(E95,Misc!$A$2:$G$11,6,FALSE)*H95, " ")</f>
        <v xml:space="preserve"> </v>
      </c>
    </row>
    <row r="96" spans="1:9" x14ac:dyDescent="0.25">
      <c r="A96" s="63">
        <v>13</v>
      </c>
      <c r="B96" s="82"/>
      <c r="C96" s="83"/>
      <c r="D96" s="83"/>
      <c r="E96" s="82"/>
      <c r="F96" s="65" t="str">
        <f>IF(E96&gt;0,VLOOKUP(E96,Misc!$A$4:$E$11,5,FALSE), " ")</f>
        <v xml:space="preserve"> </v>
      </c>
      <c r="G96" s="65" t="str">
        <f>IF(E96&gt;0,VLOOKUP(E96,Misc!$A$4:$B$11,2,FALSE)," ")</f>
        <v xml:space="preserve"> </v>
      </c>
      <c r="H96" s="84"/>
      <c r="I96" s="72" t="str">
        <f>IF(H96&gt;0,VLOOKUP(E96,Misc!$A$2:$G$11,6,FALSE)*H96, " ")</f>
        <v xml:space="preserve"> </v>
      </c>
    </row>
    <row r="97" spans="1:9" x14ac:dyDescent="0.25">
      <c r="A97" s="63">
        <v>14</v>
      </c>
      <c r="B97" s="82"/>
      <c r="C97" s="83"/>
      <c r="D97" s="83"/>
      <c r="E97" s="82"/>
      <c r="F97" s="65" t="str">
        <f>IF(E97&gt;0,VLOOKUP(E97,Misc!$A$4:$E$11,5,FALSE), " ")</f>
        <v xml:space="preserve"> </v>
      </c>
      <c r="G97" s="65" t="str">
        <f>IF(E97&gt;0,VLOOKUP(E97,Misc!$A$4:$B$11,2,FALSE)," ")</f>
        <v xml:space="preserve"> </v>
      </c>
      <c r="H97" s="84"/>
      <c r="I97" s="72" t="str">
        <f>IF(H97&gt;0,VLOOKUP(E97,Misc!$A$2:$G$11,6,FALSE)*H97, " ")</f>
        <v xml:space="preserve"> </v>
      </c>
    </row>
    <row r="98" spans="1:9" x14ac:dyDescent="0.25">
      <c r="A98" s="63">
        <v>15</v>
      </c>
      <c r="B98" s="82"/>
      <c r="C98" s="83"/>
      <c r="D98" s="83"/>
      <c r="E98" s="82"/>
      <c r="F98" s="65" t="str">
        <f>IF(E98&gt;0,VLOOKUP(E98,Misc!$A$4:$E$11,5,FALSE), " ")</f>
        <v xml:space="preserve"> </v>
      </c>
      <c r="G98" s="65" t="str">
        <f>IF(E98&gt;0,VLOOKUP(E98,Misc!$A$4:$B$11,2,FALSE)," ")</f>
        <v xml:space="preserve"> </v>
      </c>
      <c r="H98" s="84"/>
      <c r="I98" s="72" t="str">
        <f>IF(H98&gt;0,VLOOKUP(E98,Misc!$A$2:$G$11,6,FALSE)*H98, " ")</f>
        <v xml:space="preserve"> </v>
      </c>
    </row>
    <row r="99" spans="1:9" x14ac:dyDescent="0.25">
      <c r="A99" s="63">
        <v>16</v>
      </c>
      <c r="B99" s="82"/>
      <c r="C99" s="83"/>
      <c r="D99" s="83"/>
      <c r="E99" s="82"/>
      <c r="F99" s="65" t="str">
        <f>IF(E99&gt;0,VLOOKUP(E99,Misc!$A$4:$E$11,5,FALSE), " ")</f>
        <v xml:space="preserve"> </v>
      </c>
      <c r="G99" s="65" t="str">
        <f>IF(E99&gt;0,VLOOKUP(E99,Misc!$A$4:$B$11,2,FALSE)," ")</f>
        <v xml:space="preserve"> </v>
      </c>
      <c r="H99" s="84"/>
      <c r="I99" s="72" t="str">
        <f>IF(H99&gt;0,VLOOKUP(E99,Misc!$A$2:$G$11,6,FALSE)*H99, " ")</f>
        <v xml:space="preserve"> </v>
      </c>
    </row>
    <row r="100" spans="1:9" x14ac:dyDescent="0.25">
      <c r="A100" s="63">
        <v>17</v>
      </c>
      <c r="B100" s="82"/>
      <c r="C100" s="83"/>
      <c r="D100" s="83"/>
      <c r="E100" s="82"/>
      <c r="F100" s="65" t="str">
        <f>IF(E100&gt;0,VLOOKUP(E100,Misc!$A$4:$E$11,5,FALSE), " ")</f>
        <v xml:space="preserve"> </v>
      </c>
      <c r="G100" s="65" t="str">
        <f>IF(E100&gt;0,VLOOKUP(E100,Misc!$A$4:$B$11,2,FALSE)," ")</f>
        <v xml:space="preserve"> </v>
      </c>
      <c r="H100" s="84"/>
      <c r="I100" s="72" t="str">
        <f>IF(H100&gt;0,VLOOKUP(E100,Misc!$A$2:$G$11,6,FALSE)*H100, " ")</f>
        <v xml:space="preserve"> </v>
      </c>
    </row>
    <row r="101" spans="1:9" x14ac:dyDescent="0.25">
      <c r="A101" s="63">
        <v>18</v>
      </c>
      <c r="B101" s="82"/>
      <c r="C101" s="83"/>
      <c r="D101" s="83"/>
      <c r="E101" s="82"/>
      <c r="F101" s="65" t="str">
        <f>IF(E101&gt;0,VLOOKUP(E101,Misc!$A$4:$E$11,5,FALSE), " ")</f>
        <v xml:space="preserve"> </v>
      </c>
      <c r="G101" s="65" t="str">
        <f>IF(E101&gt;0,VLOOKUP(E101,Misc!$A$4:$B$11,2,FALSE)," ")</f>
        <v xml:space="preserve"> </v>
      </c>
      <c r="H101" s="84"/>
      <c r="I101" s="72" t="str">
        <f>IF(H101&gt;0,VLOOKUP(E101,Misc!$A$2:$G$11,6,FALSE)*H101, " ")</f>
        <v xml:space="preserve"> </v>
      </c>
    </row>
    <row r="102" spans="1:9" x14ac:dyDescent="0.25">
      <c r="A102" s="63">
        <v>19</v>
      </c>
      <c r="B102" s="82"/>
      <c r="C102" s="83"/>
      <c r="D102" s="83"/>
      <c r="E102" s="82"/>
      <c r="F102" s="65" t="str">
        <f>IF(E102&gt;0,VLOOKUP(E102,Misc!$A$4:$E$11,5,FALSE), " ")</f>
        <v xml:space="preserve"> </v>
      </c>
      <c r="G102" s="65" t="str">
        <f>IF(E102&gt;0,VLOOKUP(E102,Misc!$A$4:$B$11,2,FALSE)," ")</f>
        <v xml:space="preserve"> </v>
      </c>
      <c r="H102" s="84"/>
      <c r="I102" s="72" t="str">
        <f>IF(H102&gt;0,VLOOKUP(E102,Misc!$A$2:$G$11,6,FALSE)*H102, " ")</f>
        <v xml:space="preserve"> </v>
      </c>
    </row>
    <row r="103" spans="1:9" x14ac:dyDescent="0.25">
      <c r="A103" s="63">
        <v>20</v>
      </c>
      <c r="B103" s="82"/>
      <c r="C103" s="83"/>
      <c r="D103" s="83"/>
      <c r="E103" s="82"/>
      <c r="F103" s="65" t="str">
        <f>IF(E103&gt;0,VLOOKUP(E103,Misc!$A$4:$E$11,5,FALSE), " ")</f>
        <v xml:space="preserve"> </v>
      </c>
      <c r="G103" s="65" t="str">
        <f>IF(E103&gt;0,VLOOKUP(E103,Misc!$A$4:$B$11,2,FALSE)," ")</f>
        <v xml:space="preserve"> </v>
      </c>
      <c r="H103" s="84"/>
      <c r="I103" s="72" t="str">
        <f>IF(H103&gt;0,VLOOKUP(E103,Misc!$A$2:$G$11,6,FALSE)*H103, " ")</f>
        <v xml:space="preserve"> </v>
      </c>
    </row>
    <row r="104" spans="1:9" x14ac:dyDescent="0.25">
      <c r="A104" s="63">
        <v>21</v>
      </c>
      <c r="B104" s="82"/>
      <c r="C104" s="83"/>
      <c r="D104" s="83"/>
      <c r="E104" s="82"/>
      <c r="F104" s="65" t="str">
        <f>IF(E104&gt;0,VLOOKUP(E104,Misc!$A$4:$E$11,5,FALSE), " ")</f>
        <v xml:space="preserve"> </v>
      </c>
      <c r="G104" s="65" t="str">
        <f>IF(E104&gt;0,VLOOKUP(E104,Misc!$A$4:$B$11,2,FALSE)," ")</f>
        <v xml:space="preserve"> </v>
      </c>
      <c r="H104" s="84"/>
      <c r="I104" s="72" t="str">
        <f>IF(H104&gt;0,VLOOKUP(E104,Misc!$A$2:$G$11,6,FALSE)*H104, " ")</f>
        <v xml:space="preserve"> </v>
      </c>
    </row>
    <row r="105" spans="1:9" x14ac:dyDescent="0.25">
      <c r="A105" s="63">
        <v>22</v>
      </c>
      <c r="B105" s="82"/>
      <c r="C105" s="83"/>
      <c r="D105" s="83"/>
      <c r="E105" s="82"/>
      <c r="F105" s="65" t="str">
        <f>IF(E105&gt;0,VLOOKUP(E105,Misc!$A$4:$E$11,5,FALSE), " ")</f>
        <v xml:space="preserve"> </v>
      </c>
      <c r="G105" s="65" t="str">
        <f>IF(E105&gt;0,VLOOKUP(E105,Misc!$A$4:$B$11,2,FALSE)," ")</f>
        <v xml:space="preserve"> </v>
      </c>
      <c r="H105" s="84"/>
      <c r="I105" s="72" t="str">
        <f>IF(H105&gt;0,VLOOKUP(E105,Misc!$A$2:$G$11,6,FALSE)*H105, " ")</f>
        <v xml:space="preserve"> </v>
      </c>
    </row>
    <row r="106" spans="1:9" x14ac:dyDescent="0.25">
      <c r="A106" s="63">
        <v>23</v>
      </c>
      <c r="B106" s="82"/>
      <c r="C106" s="83"/>
      <c r="D106" s="83"/>
      <c r="E106" s="82"/>
      <c r="F106" s="65" t="str">
        <f>IF(E106&gt;0,VLOOKUP(E106,Misc!$A$4:$E$11,5,FALSE), " ")</f>
        <v xml:space="preserve"> </v>
      </c>
      <c r="G106" s="65" t="str">
        <f>IF(E106&gt;0,VLOOKUP(E106,Misc!$A$4:$B$11,2,FALSE)," ")</f>
        <v xml:space="preserve"> </v>
      </c>
      <c r="H106" s="84"/>
      <c r="I106" s="72" t="str">
        <f>IF(H106&gt;0,VLOOKUP(E106,Misc!$A$2:$G$11,6,FALSE)*H106, " ")</f>
        <v xml:space="preserve"> </v>
      </c>
    </row>
    <row r="107" spans="1:9" x14ac:dyDescent="0.25">
      <c r="A107" s="63">
        <v>24</v>
      </c>
      <c r="B107" s="82"/>
      <c r="C107" s="83"/>
      <c r="D107" s="83"/>
      <c r="E107" s="82"/>
      <c r="F107" s="65" t="str">
        <f>IF(E107&gt;0,VLOOKUP(E107,Misc!$A$4:$E$11,5,FALSE), " ")</f>
        <v xml:space="preserve"> </v>
      </c>
      <c r="G107" s="65" t="str">
        <f>IF(E107&gt;0,VLOOKUP(E107,Misc!$A$4:$B$11,2,FALSE)," ")</f>
        <v xml:space="preserve"> </v>
      </c>
      <c r="H107" s="84"/>
      <c r="I107" s="72" t="str">
        <f>IF(H107&gt;0,VLOOKUP(E107,Misc!$A$2:$G$11,6,FALSE)*H107, " ")</f>
        <v xml:space="preserve"> </v>
      </c>
    </row>
    <row r="108" spans="1:9" x14ac:dyDescent="0.25">
      <c r="A108" s="77"/>
      <c r="B108" s="57" t="s">
        <v>132</v>
      </c>
      <c r="C108" s="78"/>
      <c r="D108" s="78"/>
      <c r="E108" s="57"/>
      <c r="F108" s="78"/>
      <c r="G108" s="78"/>
      <c r="H108" s="78"/>
      <c r="I108" s="58"/>
    </row>
    <row r="109" spans="1:9" ht="17.25" x14ac:dyDescent="0.3">
      <c r="G109" s="94" t="s">
        <v>134</v>
      </c>
      <c r="I109" s="93"/>
    </row>
    <row r="110" spans="1:9" x14ac:dyDescent="0.25">
      <c r="A110" s="52" t="s">
        <v>82</v>
      </c>
      <c r="B110" s="53"/>
      <c r="I110" s="51"/>
    </row>
    <row r="111" spans="1:9" x14ac:dyDescent="0.25">
      <c r="A111" s="52"/>
      <c r="B111" s="53"/>
      <c r="I111" s="51"/>
    </row>
    <row r="112" spans="1:9" x14ac:dyDescent="0.25">
      <c r="A112" s="47" t="s">
        <v>3</v>
      </c>
      <c r="B112" s="99"/>
      <c r="C112" s="65"/>
      <c r="F112" s="65"/>
      <c r="G112" s="65"/>
      <c r="H112" s="65"/>
      <c r="I112" s="51"/>
    </row>
    <row r="113" spans="1:9" x14ac:dyDescent="0.25">
      <c r="A113" s="47"/>
      <c r="B113" s="99"/>
      <c r="C113" s="65"/>
      <c r="F113" s="65"/>
      <c r="G113" s="65"/>
      <c r="H113" s="65"/>
      <c r="I113" s="51"/>
    </row>
    <row r="114" spans="1:9" x14ac:dyDescent="0.25">
      <c r="A114" s="47"/>
      <c r="B114" s="99"/>
      <c r="C114" s="65"/>
      <c r="F114" s="65"/>
      <c r="G114" s="65"/>
      <c r="H114" s="65"/>
      <c r="I114" s="51"/>
    </row>
    <row r="115" spans="1:9" x14ac:dyDescent="0.25">
      <c r="A115" s="47" t="s">
        <v>4</v>
      </c>
      <c r="B115" s="99"/>
      <c r="C115" s="65"/>
      <c r="F115" s="65"/>
      <c r="G115" s="65"/>
      <c r="H115" s="65"/>
      <c r="I115" s="51"/>
    </row>
    <row r="116" spans="1:9" x14ac:dyDescent="0.25">
      <c r="A116" s="47" t="s">
        <v>5</v>
      </c>
      <c r="B116" s="99"/>
      <c r="C116" s="65"/>
      <c r="F116" s="65"/>
      <c r="G116" s="65"/>
      <c r="H116" s="65"/>
      <c r="I116" s="51"/>
    </row>
    <row r="117" spans="1:9" x14ac:dyDescent="0.25">
      <c r="A117" s="47" t="s">
        <v>6</v>
      </c>
      <c r="B117" s="99"/>
      <c r="C117" s="65"/>
      <c r="F117" s="65"/>
      <c r="G117" s="65"/>
      <c r="H117" s="65"/>
      <c r="I117" s="51"/>
    </row>
    <row r="118" spans="1:9" x14ac:dyDescent="0.25">
      <c r="A118" s="47" t="s">
        <v>7</v>
      </c>
      <c r="B118" s="99"/>
      <c r="C118" s="65"/>
      <c r="F118" s="65"/>
      <c r="G118" s="65"/>
      <c r="H118" s="65"/>
      <c r="I118" s="51"/>
    </row>
    <row r="119" spans="1:9" x14ac:dyDescent="0.25">
      <c r="A119" s="47"/>
      <c r="B119" s="45"/>
      <c r="C119" s="65"/>
      <c r="F119" s="65"/>
      <c r="G119" s="65"/>
      <c r="H119" s="65"/>
      <c r="I119" s="51"/>
    </row>
    <row r="120" spans="1:9" x14ac:dyDescent="0.25">
      <c r="A120" s="47"/>
      <c r="B120" s="45"/>
      <c r="C120" s="65"/>
      <c r="F120" s="65"/>
      <c r="G120" s="65"/>
      <c r="H120" s="65"/>
      <c r="I120" s="51"/>
    </row>
    <row r="121" spans="1:9" x14ac:dyDescent="0.25">
      <c r="A121" s="52" t="s">
        <v>8</v>
      </c>
      <c r="B121" s="45"/>
      <c r="C121" s="65"/>
      <c r="D121" s="68" t="s">
        <v>62</v>
      </c>
      <c r="E121" s="68"/>
      <c r="F121" s="65"/>
      <c r="G121" s="69"/>
      <c r="H121" s="69"/>
      <c r="I121" s="51"/>
    </row>
    <row r="122" spans="1:9" x14ac:dyDescent="0.25">
      <c r="A122" s="52"/>
      <c r="B122" s="45"/>
      <c r="C122" s="65"/>
      <c r="D122" s="68"/>
      <c r="E122" s="68"/>
      <c r="F122" s="65"/>
      <c r="G122" s="69"/>
      <c r="H122" s="69"/>
      <c r="I122" s="51"/>
    </row>
    <row r="123" spans="1:9" x14ac:dyDescent="0.25">
      <c r="A123" s="47" t="s">
        <v>71</v>
      </c>
      <c r="B123" s="81"/>
      <c r="C123" s="65"/>
      <c r="D123" s="65"/>
      <c r="E123" s="45"/>
      <c r="F123" s="65"/>
      <c r="G123" s="65"/>
      <c r="H123" s="65"/>
      <c r="I123" s="51"/>
    </row>
    <row r="124" spans="1:9" x14ac:dyDescent="0.25">
      <c r="A124" s="88" t="s">
        <v>72</v>
      </c>
      <c r="B124" s="81"/>
      <c r="C124" s="65"/>
      <c r="D124" s="65" t="s">
        <v>122</v>
      </c>
      <c r="E124" s="95" t="e">
        <f>(SUM(I134:I157)/2)/B127/B126/B129</f>
        <v>#DIV/0!</v>
      </c>
      <c r="F124" s="65"/>
      <c r="G124" s="65"/>
      <c r="H124" s="65"/>
      <c r="I124" s="103"/>
    </row>
    <row r="125" spans="1:9" x14ac:dyDescent="0.25">
      <c r="A125" s="47" t="s">
        <v>73</v>
      </c>
      <c r="B125" s="81"/>
      <c r="C125" s="65"/>
      <c r="D125" s="65"/>
      <c r="E125" s="70"/>
      <c r="F125" s="65"/>
      <c r="G125" s="71"/>
      <c r="H125" s="71"/>
      <c r="I125" s="72"/>
    </row>
    <row r="126" spans="1:9" x14ac:dyDescent="0.25">
      <c r="A126" s="73" t="s">
        <v>74</v>
      </c>
      <c r="B126" s="81"/>
      <c r="C126" s="65"/>
      <c r="F126" s="65"/>
      <c r="G126" s="65"/>
      <c r="H126" s="65"/>
      <c r="I126" s="51"/>
    </row>
    <row r="127" spans="1:9" x14ac:dyDescent="0.25">
      <c r="A127" s="47" t="s">
        <v>75</v>
      </c>
      <c r="B127" s="81"/>
      <c r="C127" s="65"/>
      <c r="F127" s="65"/>
      <c r="G127" s="65"/>
      <c r="H127" s="65"/>
      <c r="I127" s="51"/>
    </row>
    <row r="128" spans="1:9" x14ac:dyDescent="0.25">
      <c r="A128" s="73" t="s">
        <v>76</v>
      </c>
      <c r="B128" s="81"/>
      <c r="C128" s="65"/>
      <c r="F128" s="65"/>
      <c r="G128" s="65"/>
      <c r="H128" s="65"/>
      <c r="I128" s="51"/>
    </row>
    <row r="129" spans="1:9" x14ac:dyDescent="0.25">
      <c r="A129" s="73" t="s">
        <v>77</v>
      </c>
      <c r="B129" s="81"/>
      <c r="C129" s="65"/>
      <c r="F129" s="65"/>
      <c r="G129" s="65"/>
      <c r="H129" s="65"/>
      <c r="I129" s="51"/>
    </row>
    <row r="130" spans="1:9" x14ac:dyDescent="0.25">
      <c r="A130" s="73" t="s">
        <v>78</v>
      </c>
      <c r="B130" s="81"/>
      <c r="C130" s="65"/>
      <c r="F130" s="65"/>
      <c r="G130" s="65"/>
      <c r="H130" s="65"/>
      <c r="I130" s="51"/>
    </row>
    <row r="131" spans="1:9" x14ac:dyDescent="0.25">
      <c r="A131" s="73" t="s">
        <v>79</v>
      </c>
      <c r="B131" s="81"/>
      <c r="C131" s="65"/>
      <c r="F131" s="65"/>
      <c r="G131" s="65"/>
      <c r="H131" s="65"/>
      <c r="I131" s="51"/>
    </row>
    <row r="132" spans="1:9" x14ac:dyDescent="0.25">
      <c r="A132" s="73"/>
      <c r="B132" s="92"/>
      <c r="C132" s="65"/>
      <c r="D132" s="65"/>
      <c r="E132" s="45"/>
      <c r="F132" s="65"/>
      <c r="G132" s="65"/>
      <c r="H132" s="65"/>
      <c r="I132" s="51"/>
    </row>
    <row r="133" spans="1:9" s="76" customFormat="1" ht="30" x14ac:dyDescent="0.25">
      <c r="A133" s="75" t="s">
        <v>39</v>
      </c>
      <c r="B133" s="75" t="s">
        <v>47</v>
      </c>
      <c r="C133" s="75" t="s">
        <v>41</v>
      </c>
      <c r="D133" s="75" t="s">
        <v>42</v>
      </c>
      <c r="E133" s="75" t="s">
        <v>43</v>
      </c>
      <c r="F133" s="75" t="s">
        <v>18</v>
      </c>
      <c r="G133" s="75" t="s">
        <v>20</v>
      </c>
      <c r="H133" s="75" t="s">
        <v>45</v>
      </c>
      <c r="I133" s="75" t="s">
        <v>131</v>
      </c>
    </row>
    <row r="134" spans="1:9" x14ac:dyDescent="0.25">
      <c r="A134" s="63">
        <v>1</v>
      </c>
      <c r="B134" s="82"/>
      <c r="C134" s="83"/>
      <c r="D134" s="83"/>
      <c r="E134" s="82"/>
      <c r="F134" s="65" t="str">
        <f>IF(E134&gt;0,VLOOKUP(E134,Misc!$A$4:$E$11,5,FALSE), " ")</f>
        <v xml:space="preserve"> </v>
      </c>
      <c r="G134" s="65" t="str">
        <f>IF(E134&gt;0,VLOOKUP(E134,Misc!$A$4:$B$11,2,FALSE)," ")</f>
        <v xml:space="preserve"> </v>
      </c>
      <c r="H134" s="84"/>
      <c r="I134" s="72" t="str">
        <f>IF(H134&gt;0,VLOOKUP(E134,Misc!$A$2:$G$11,6,FALSE)*H134, " ")</f>
        <v xml:space="preserve"> </v>
      </c>
    </row>
    <row r="135" spans="1:9" x14ac:dyDescent="0.25">
      <c r="A135" s="63">
        <v>2</v>
      </c>
      <c r="B135" s="82"/>
      <c r="C135" s="83"/>
      <c r="D135" s="83"/>
      <c r="E135" s="82"/>
      <c r="F135" s="65" t="str">
        <f>IF(E135&gt;0,VLOOKUP(E135,Misc!$A$4:$E$11,5,FALSE), " ")</f>
        <v xml:space="preserve"> </v>
      </c>
      <c r="G135" s="65" t="str">
        <f>IF(E135&gt;0,VLOOKUP(E135,Misc!$A$4:$B$11,2,FALSE)," ")</f>
        <v xml:space="preserve"> </v>
      </c>
      <c r="H135" s="84"/>
      <c r="I135" s="72" t="str">
        <f>IF(H135&gt;0,VLOOKUP(E135,Misc!$A$2:$G$11,6,FALSE)*H135, " ")</f>
        <v xml:space="preserve"> </v>
      </c>
    </row>
    <row r="136" spans="1:9" x14ac:dyDescent="0.25">
      <c r="A136" s="63">
        <v>3</v>
      </c>
      <c r="B136" s="82"/>
      <c r="C136" s="83"/>
      <c r="D136" s="83"/>
      <c r="E136" s="82"/>
      <c r="F136" s="65" t="str">
        <f>IF(E136&gt;0,VLOOKUP(E136,Misc!$A$4:$E$11,5,FALSE), " ")</f>
        <v xml:space="preserve"> </v>
      </c>
      <c r="G136" s="65" t="str">
        <f>IF(E136&gt;0,VLOOKUP(E136,Misc!$A$4:$B$11,2,FALSE)," ")</f>
        <v xml:space="preserve"> </v>
      </c>
      <c r="H136" s="84"/>
      <c r="I136" s="72" t="str">
        <f>IF(H136&gt;0,VLOOKUP(E136,Misc!$A$2:$G$11,6,FALSE)*H136, " ")</f>
        <v xml:space="preserve"> </v>
      </c>
    </row>
    <row r="137" spans="1:9" x14ac:dyDescent="0.25">
      <c r="A137" s="63">
        <v>4</v>
      </c>
      <c r="B137" s="82"/>
      <c r="C137" s="83"/>
      <c r="D137" s="83"/>
      <c r="E137" s="82"/>
      <c r="F137" s="65" t="str">
        <f>IF(E137&gt;0,VLOOKUP(E137,Misc!$A$4:$E$11,5,FALSE), " ")</f>
        <v xml:space="preserve"> </v>
      </c>
      <c r="G137" s="65" t="str">
        <f>IF(E137&gt;0,VLOOKUP(E137,Misc!$A$4:$B$11,2,FALSE)," ")</f>
        <v xml:space="preserve"> </v>
      </c>
      <c r="H137" s="84"/>
      <c r="I137" s="72" t="str">
        <f>IF(H137&gt;0,VLOOKUP(E137,Misc!$A$2:$G$11,6,FALSE)*H137, " ")</f>
        <v xml:space="preserve"> </v>
      </c>
    </row>
    <row r="138" spans="1:9" x14ac:dyDescent="0.25">
      <c r="A138" s="63">
        <v>5</v>
      </c>
      <c r="B138" s="82"/>
      <c r="C138" s="83"/>
      <c r="D138" s="83"/>
      <c r="E138" s="82"/>
      <c r="F138" s="65" t="str">
        <f>IF(E138&gt;0,VLOOKUP(E138,Misc!$A$4:$E$11,5,FALSE), " ")</f>
        <v xml:space="preserve"> </v>
      </c>
      <c r="G138" s="65" t="str">
        <f>IF(E138&gt;0,VLOOKUP(E138,Misc!$A$4:$B$11,2,FALSE)," ")</f>
        <v xml:space="preserve"> </v>
      </c>
      <c r="H138" s="84"/>
      <c r="I138" s="72" t="str">
        <f>IF(H138&gt;0,VLOOKUP(E138,Misc!$A$2:$G$11,6,FALSE)*H138, " ")</f>
        <v xml:space="preserve"> </v>
      </c>
    </row>
    <row r="139" spans="1:9" x14ac:dyDescent="0.25">
      <c r="A139" s="63">
        <v>6</v>
      </c>
      <c r="B139" s="82"/>
      <c r="C139" s="83"/>
      <c r="D139" s="83"/>
      <c r="E139" s="82"/>
      <c r="F139" s="65" t="str">
        <f>IF(E139&gt;0,VLOOKUP(E139,Misc!$A$4:$E$11,5,FALSE), " ")</f>
        <v xml:space="preserve"> </v>
      </c>
      <c r="G139" s="65" t="str">
        <f>IF(E139&gt;0,VLOOKUP(E139,Misc!$A$4:$B$11,2,FALSE)," ")</f>
        <v xml:space="preserve"> </v>
      </c>
      <c r="H139" s="84"/>
      <c r="I139" s="72" t="str">
        <f>IF(H139&gt;0,VLOOKUP(E139,Misc!$A$2:$G$11,6,FALSE)*H139, " ")</f>
        <v xml:space="preserve"> </v>
      </c>
    </row>
    <row r="140" spans="1:9" x14ac:dyDescent="0.25">
      <c r="A140" s="63">
        <v>7</v>
      </c>
      <c r="B140" s="82"/>
      <c r="C140" s="83"/>
      <c r="D140" s="83"/>
      <c r="E140" s="82"/>
      <c r="F140" s="65" t="str">
        <f>IF(E140&gt;0,VLOOKUP(E140,Misc!$A$4:$E$11,5,FALSE), " ")</f>
        <v xml:space="preserve"> </v>
      </c>
      <c r="G140" s="65" t="str">
        <f>IF(E140&gt;0,VLOOKUP(E140,Misc!$A$4:$B$11,2,FALSE)," ")</f>
        <v xml:space="preserve"> </v>
      </c>
      <c r="H140" s="84"/>
      <c r="I140" s="72" t="str">
        <f>IF(H140&gt;0,VLOOKUP(E140,Misc!$A$2:$G$11,6,FALSE)*H140, " ")</f>
        <v xml:space="preserve"> </v>
      </c>
    </row>
    <row r="141" spans="1:9" x14ac:dyDescent="0.25">
      <c r="A141" s="63">
        <v>8</v>
      </c>
      <c r="B141" s="82"/>
      <c r="C141" s="83"/>
      <c r="D141" s="83"/>
      <c r="E141" s="82"/>
      <c r="F141" s="65" t="str">
        <f>IF(E141&gt;0,VLOOKUP(E141,Misc!$A$4:$E$11,5,FALSE), " ")</f>
        <v xml:space="preserve"> </v>
      </c>
      <c r="G141" s="65" t="str">
        <f>IF(E141&gt;0,VLOOKUP(E141,Misc!$A$4:$B$11,2,FALSE)," ")</f>
        <v xml:space="preserve"> </v>
      </c>
      <c r="H141" s="84"/>
      <c r="I141" s="72" t="str">
        <f>IF(H141&gt;0,VLOOKUP(E141,Misc!$A$2:$G$11,6,FALSE)*H141, " ")</f>
        <v xml:space="preserve"> </v>
      </c>
    </row>
    <row r="142" spans="1:9" x14ac:dyDescent="0.25">
      <c r="A142" s="63">
        <v>9</v>
      </c>
      <c r="B142" s="82"/>
      <c r="C142" s="83"/>
      <c r="D142" s="83"/>
      <c r="E142" s="82"/>
      <c r="F142" s="65" t="str">
        <f>IF(E142&gt;0,VLOOKUP(E142,Misc!$A$4:$E$11,5,FALSE), " ")</f>
        <v xml:space="preserve"> </v>
      </c>
      <c r="G142" s="65" t="str">
        <f>IF(E142&gt;0,VLOOKUP(E142,Misc!$A$4:$B$11,2,FALSE)," ")</f>
        <v xml:space="preserve"> </v>
      </c>
      <c r="H142" s="84"/>
      <c r="I142" s="72" t="str">
        <f>IF(H142&gt;0,VLOOKUP(E142,Misc!$A$2:$G$11,6,FALSE)*H142, " ")</f>
        <v xml:space="preserve"> </v>
      </c>
    </row>
    <row r="143" spans="1:9" x14ac:dyDescent="0.25">
      <c r="A143" s="63">
        <v>10</v>
      </c>
      <c r="B143" s="82"/>
      <c r="C143" s="83"/>
      <c r="D143" s="83"/>
      <c r="E143" s="82"/>
      <c r="F143" s="65" t="str">
        <f>IF(E143&gt;0,VLOOKUP(E143,Misc!$A$4:$E$11,5,FALSE), " ")</f>
        <v xml:space="preserve"> </v>
      </c>
      <c r="G143" s="65" t="str">
        <f>IF(E143&gt;0,VLOOKUP(E143,Misc!$A$4:$B$11,2,FALSE)," ")</f>
        <v xml:space="preserve"> </v>
      </c>
      <c r="H143" s="84"/>
      <c r="I143" s="72" t="str">
        <f>IF(H143&gt;0,VLOOKUP(E143,Misc!$A$2:$G$11,6,FALSE)*H143, " ")</f>
        <v xml:space="preserve"> </v>
      </c>
    </row>
    <row r="144" spans="1:9" x14ac:dyDescent="0.25">
      <c r="A144" s="63">
        <v>11</v>
      </c>
      <c r="B144" s="82"/>
      <c r="C144" s="83"/>
      <c r="D144" s="83"/>
      <c r="E144" s="82"/>
      <c r="F144" s="65" t="str">
        <f>IF(E144&gt;0,VLOOKUP(E144,Misc!$A$4:$E$11,5,FALSE), " ")</f>
        <v xml:space="preserve"> </v>
      </c>
      <c r="G144" s="65" t="str">
        <f>IF(E144&gt;0,VLOOKUP(E144,Misc!$A$4:$B$11,2,FALSE)," ")</f>
        <v xml:space="preserve"> </v>
      </c>
      <c r="H144" s="84"/>
      <c r="I144" s="72" t="str">
        <f>IF(H144&gt;0,VLOOKUP(E144,Misc!$A$2:$G$11,6,FALSE)*H144, " ")</f>
        <v xml:space="preserve"> </v>
      </c>
    </row>
    <row r="145" spans="1:9" x14ac:dyDescent="0.25">
      <c r="A145" s="63">
        <v>12</v>
      </c>
      <c r="B145" s="82"/>
      <c r="C145" s="83"/>
      <c r="D145" s="83"/>
      <c r="E145" s="82"/>
      <c r="F145" s="65" t="str">
        <f>IF(E145&gt;0,VLOOKUP(E145,Misc!$A$4:$E$11,5,FALSE), " ")</f>
        <v xml:space="preserve"> </v>
      </c>
      <c r="G145" s="65" t="str">
        <f>IF(E145&gt;0,VLOOKUP(E145,Misc!$A$4:$B$11,2,FALSE)," ")</f>
        <v xml:space="preserve"> </v>
      </c>
      <c r="H145" s="84"/>
      <c r="I145" s="72" t="str">
        <f>IF(H145&gt;0,VLOOKUP(E145,Misc!$A$2:$G$11,6,FALSE)*H145, " ")</f>
        <v xml:space="preserve"> </v>
      </c>
    </row>
    <row r="146" spans="1:9" x14ac:dyDescent="0.25">
      <c r="A146" s="63">
        <v>13</v>
      </c>
      <c r="B146" s="82"/>
      <c r="C146" s="83"/>
      <c r="D146" s="83"/>
      <c r="E146" s="82"/>
      <c r="F146" s="65" t="str">
        <f>IF(E146&gt;0,VLOOKUP(E146,Misc!$A$4:$E$11,5,FALSE), " ")</f>
        <v xml:space="preserve"> </v>
      </c>
      <c r="G146" s="65" t="str">
        <f>IF(E146&gt;0,VLOOKUP(E146,Misc!$A$4:$B$11,2,FALSE)," ")</f>
        <v xml:space="preserve"> </v>
      </c>
      <c r="H146" s="84"/>
      <c r="I146" s="72" t="str">
        <f>IF(H146&gt;0,VLOOKUP(E146,Misc!$A$2:$G$11,6,FALSE)*H146, " ")</f>
        <v xml:space="preserve"> </v>
      </c>
    </row>
    <row r="147" spans="1:9" x14ac:dyDescent="0.25">
      <c r="A147" s="63">
        <v>14</v>
      </c>
      <c r="B147" s="82"/>
      <c r="C147" s="83"/>
      <c r="D147" s="83"/>
      <c r="E147" s="82"/>
      <c r="F147" s="65" t="str">
        <f>IF(E147&gt;0,VLOOKUP(E147,Misc!$A$4:$E$11,5,FALSE), " ")</f>
        <v xml:space="preserve"> </v>
      </c>
      <c r="G147" s="65" t="str">
        <f>IF(E147&gt;0,VLOOKUP(E147,Misc!$A$4:$B$11,2,FALSE)," ")</f>
        <v xml:space="preserve"> </v>
      </c>
      <c r="H147" s="84"/>
      <c r="I147" s="72" t="str">
        <f>IF(H147&gt;0,VLOOKUP(E147,Misc!$A$2:$G$11,6,FALSE)*H147, " ")</f>
        <v xml:space="preserve"> </v>
      </c>
    </row>
    <row r="148" spans="1:9" x14ac:dyDescent="0.25">
      <c r="A148" s="63">
        <v>15</v>
      </c>
      <c r="B148" s="82"/>
      <c r="C148" s="83"/>
      <c r="D148" s="83"/>
      <c r="E148" s="82"/>
      <c r="F148" s="65" t="str">
        <f>IF(E148&gt;0,VLOOKUP(E148,Misc!$A$4:$E$11,5,FALSE), " ")</f>
        <v xml:space="preserve"> </v>
      </c>
      <c r="G148" s="65" t="str">
        <f>IF(E148&gt;0,VLOOKUP(E148,Misc!$A$4:$B$11,2,FALSE)," ")</f>
        <v xml:space="preserve"> </v>
      </c>
      <c r="H148" s="84"/>
      <c r="I148" s="72" t="str">
        <f>IF(H148&gt;0,VLOOKUP(E148,Misc!$A$2:$G$11,6,FALSE)*H148, " ")</f>
        <v xml:space="preserve"> </v>
      </c>
    </row>
    <row r="149" spans="1:9" x14ac:dyDescent="0.25">
      <c r="A149" s="63">
        <v>16</v>
      </c>
      <c r="B149" s="82"/>
      <c r="C149" s="83"/>
      <c r="D149" s="83"/>
      <c r="E149" s="82"/>
      <c r="F149" s="65" t="str">
        <f>IF(E149&gt;0,VLOOKUP(E149,Misc!$A$4:$E$11,5,FALSE), " ")</f>
        <v xml:space="preserve"> </v>
      </c>
      <c r="G149" s="65" t="str">
        <f>IF(E149&gt;0,VLOOKUP(E149,Misc!$A$4:$B$11,2,FALSE)," ")</f>
        <v xml:space="preserve"> </v>
      </c>
      <c r="H149" s="84"/>
      <c r="I149" s="72" t="str">
        <f>IF(H149&gt;0,VLOOKUP(E149,Misc!$A$2:$G$11,6,FALSE)*H149, " ")</f>
        <v xml:space="preserve"> </v>
      </c>
    </row>
    <row r="150" spans="1:9" x14ac:dyDescent="0.25">
      <c r="A150" s="63">
        <v>17</v>
      </c>
      <c r="B150" s="82"/>
      <c r="C150" s="83"/>
      <c r="D150" s="83"/>
      <c r="E150" s="82"/>
      <c r="F150" s="65" t="str">
        <f>IF(E150&gt;0,VLOOKUP(E150,Misc!$A$4:$E$11,5,FALSE), " ")</f>
        <v xml:space="preserve"> </v>
      </c>
      <c r="G150" s="65" t="str">
        <f>IF(E150&gt;0,VLOOKUP(E150,Misc!$A$4:$B$11,2,FALSE)," ")</f>
        <v xml:space="preserve"> </v>
      </c>
      <c r="H150" s="84"/>
      <c r="I150" s="72" t="str">
        <f>IF(H150&gt;0,VLOOKUP(E150,Misc!$A$2:$G$11,6,FALSE)*H150, " ")</f>
        <v xml:space="preserve"> </v>
      </c>
    </row>
    <row r="151" spans="1:9" x14ac:dyDescent="0.25">
      <c r="A151" s="63">
        <v>18</v>
      </c>
      <c r="B151" s="82"/>
      <c r="C151" s="83"/>
      <c r="D151" s="83"/>
      <c r="E151" s="82"/>
      <c r="F151" s="65" t="str">
        <f>IF(E151&gt;0,VLOOKUP(E151,Misc!$A$4:$E$11,5,FALSE), " ")</f>
        <v xml:space="preserve"> </v>
      </c>
      <c r="G151" s="65" t="str">
        <f>IF(E151&gt;0,VLOOKUP(E151,Misc!$A$4:$B$11,2,FALSE)," ")</f>
        <v xml:space="preserve"> </v>
      </c>
      <c r="H151" s="84"/>
      <c r="I151" s="72" t="str">
        <f>IF(H151&gt;0,VLOOKUP(E151,Misc!$A$2:$G$11,6,FALSE)*H151, " ")</f>
        <v xml:space="preserve"> </v>
      </c>
    </row>
    <row r="152" spans="1:9" x14ac:dyDescent="0.25">
      <c r="A152" s="63">
        <v>19</v>
      </c>
      <c r="B152" s="82"/>
      <c r="C152" s="83"/>
      <c r="D152" s="83"/>
      <c r="E152" s="82"/>
      <c r="F152" s="65" t="str">
        <f>IF(E152&gt;0,VLOOKUP(E152,Misc!$A$4:$E$11,5,FALSE), " ")</f>
        <v xml:space="preserve"> </v>
      </c>
      <c r="G152" s="65" t="str">
        <f>IF(E152&gt;0,VLOOKUP(E152,Misc!$A$4:$B$11,2,FALSE)," ")</f>
        <v xml:space="preserve"> </v>
      </c>
      <c r="H152" s="84"/>
      <c r="I152" s="72" t="str">
        <f>IF(H152&gt;0,VLOOKUP(E152,Misc!$A$2:$G$11,6,FALSE)*H152, " ")</f>
        <v xml:space="preserve"> </v>
      </c>
    </row>
    <row r="153" spans="1:9" x14ac:dyDescent="0.25">
      <c r="A153" s="63">
        <v>20</v>
      </c>
      <c r="B153" s="82"/>
      <c r="C153" s="83"/>
      <c r="D153" s="83"/>
      <c r="E153" s="82"/>
      <c r="F153" s="65" t="str">
        <f>IF(E153&gt;0,VLOOKUP(E153,Misc!$A$4:$E$11,5,FALSE), " ")</f>
        <v xml:space="preserve"> </v>
      </c>
      <c r="G153" s="65" t="str">
        <f>IF(E153&gt;0,VLOOKUP(E153,Misc!$A$4:$B$11,2,FALSE)," ")</f>
        <v xml:space="preserve"> </v>
      </c>
      <c r="H153" s="84"/>
      <c r="I153" s="72" t="str">
        <f>IF(H153&gt;0,VLOOKUP(E153,Misc!$A$2:$G$11,6,FALSE)*H153, " ")</f>
        <v xml:space="preserve"> </v>
      </c>
    </row>
    <row r="154" spans="1:9" x14ac:dyDescent="0.25">
      <c r="A154" s="63">
        <v>21</v>
      </c>
      <c r="B154" s="82"/>
      <c r="C154" s="83"/>
      <c r="D154" s="83"/>
      <c r="E154" s="82"/>
      <c r="F154" s="65" t="str">
        <f>IF(E154&gt;0,VLOOKUP(E154,Misc!$A$4:$E$11,5,FALSE), " ")</f>
        <v xml:space="preserve"> </v>
      </c>
      <c r="G154" s="65" t="str">
        <f>IF(E154&gt;0,VLOOKUP(E154,Misc!$A$4:$B$11,2,FALSE)," ")</f>
        <v xml:space="preserve"> </v>
      </c>
      <c r="H154" s="84"/>
      <c r="I154" s="72" t="str">
        <f>IF(H154&gt;0,VLOOKUP(E154,Misc!$A$2:$G$11,6,FALSE)*H154, " ")</f>
        <v xml:space="preserve"> </v>
      </c>
    </row>
    <row r="155" spans="1:9" x14ac:dyDescent="0.25">
      <c r="A155" s="63">
        <v>22</v>
      </c>
      <c r="B155" s="82"/>
      <c r="C155" s="83"/>
      <c r="D155" s="83"/>
      <c r="E155" s="82"/>
      <c r="F155" s="65" t="str">
        <f>IF(E155&gt;0,VLOOKUP(E155,Misc!$A$4:$E$11,5,FALSE), " ")</f>
        <v xml:space="preserve"> </v>
      </c>
      <c r="G155" s="65" t="str">
        <f>IF(E155&gt;0,VLOOKUP(E155,Misc!$A$4:$B$11,2,FALSE)," ")</f>
        <v xml:space="preserve"> </v>
      </c>
      <c r="H155" s="84"/>
      <c r="I155" s="72" t="str">
        <f>IF(H155&gt;0,VLOOKUP(E155,Misc!$A$2:$G$11,6,FALSE)*H155, " ")</f>
        <v xml:space="preserve"> </v>
      </c>
    </row>
    <row r="156" spans="1:9" x14ac:dyDescent="0.25">
      <c r="A156" s="63">
        <v>23</v>
      </c>
      <c r="B156" s="82"/>
      <c r="C156" s="83"/>
      <c r="D156" s="83"/>
      <c r="E156" s="82"/>
      <c r="F156" s="65" t="str">
        <f>IF(E156&gt;0,VLOOKUP(E156,Misc!$A$4:$E$11,5,FALSE), " ")</f>
        <v xml:space="preserve"> </v>
      </c>
      <c r="G156" s="65" t="str">
        <f>IF(E156&gt;0,VLOOKUP(E156,Misc!$A$4:$B$11,2,FALSE)," ")</f>
        <v xml:space="preserve"> </v>
      </c>
      <c r="H156" s="84"/>
      <c r="I156" s="72" t="str">
        <f>IF(H156&gt;0,VLOOKUP(E156,Misc!$A$2:$G$11,6,FALSE)*H156, " ")</f>
        <v xml:space="preserve"> </v>
      </c>
    </row>
    <row r="157" spans="1:9" x14ac:dyDescent="0.25">
      <c r="A157" s="63">
        <v>24</v>
      </c>
      <c r="B157" s="82"/>
      <c r="C157" s="83"/>
      <c r="D157" s="83"/>
      <c r="E157" s="82"/>
      <c r="F157" s="65" t="str">
        <f>IF(E157&gt;0,VLOOKUP(E157,Misc!$A$4:$E$11,5,FALSE), " ")</f>
        <v xml:space="preserve"> </v>
      </c>
      <c r="G157" s="65" t="str">
        <f>IF(E157&gt;0,VLOOKUP(E157,Misc!$A$4:$B$11,2,FALSE)," ")</f>
        <v xml:space="preserve"> </v>
      </c>
      <c r="H157" s="84"/>
      <c r="I157" s="72" t="str">
        <f>IF(H157&gt;0,VLOOKUP(E157,Misc!$A$2:$G$11,6,FALSE)*H157, " ")</f>
        <v xml:space="preserve"> </v>
      </c>
    </row>
    <row r="158" spans="1:9" x14ac:dyDescent="0.25">
      <c r="A158" s="77"/>
      <c r="B158" s="57" t="s">
        <v>132</v>
      </c>
      <c r="C158" s="78"/>
      <c r="D158" s="78"/>
      <c r="E158" s="57"/>
      <c r="F158" s="78"/>
      <c r="G158" s="78"/>
      <c r="H158" s="78"/>
      <c r="I158" s="58"/>
    </row>
    <row r="159" spans="1:9" ht="17.25" x14ac:dyDescent="0.3">
      <c r="G159" s="94" t="s">
        <v>134</v>
      </c>
      <c r="I159" s="93"/>
    </row>
    <row r="160" spans="1:9" x14ac:dyDescent="0.25">
      <c r="A160" s="52" t="s">
        <v>83</v>
      </c>
      <c r="B160" s="53"/>
      <c r="I160" s="51"/>
    </row>
    <row r="161" spans="1:9" x14ac:dyDescent="0.25">
      <c r="A161" s="52"/>
      <c r="B161" s="53"/>
      <c r="I161" s="51"/>
    </row>
    <row r="162" spans="1:9" x14ac:dyDescent="0.25">
      <c r="A162" s="47" t="s">
        <v>3</v>
      </c>
      <c r="B162" s="99"/>
      <c r="C162" s="65"/>
      <c r="F162" s="65"/>
      <c r="G162" s="65"/>
      <c r="H162" s="65"/>
      <c r="I162" s="51"/>
    </row>
    <row r="163" spans="1:9" x14ac:dyDescent="0.25">
      <c r="A163" s="47"/>
      <c r="B163" s="99"/>
      <c r="C163" s="65"/>
      <c r="F163" s="65"/>
      <c r="G163" s="65"/>
      <c r="H163" s="65"/>
      <c r="I163" s="51"/>
    </row>
    <row r="164" spans="1:9" x14ac:dyDescent="0.25">
      <c r="A164" s="47"/>
      <c r="B164" s="99"/>
      <c r="C164" s="65"/>
      <c r="F164" s="65"/>
      <c r="G164" s="65"/>
      <c r="H164" s="65"/>
      <c r="I164" s="51"/>
    </row>
    <row r="165" spans="1:9" x14ac:dyDescent="0.25">
      <c r="A165" s="47" t="s">
        <v>4</v>
      </c>
      <c r="B165" s="99"/>
      <c r="C165" s="65"/>
      <c r="F165" s="65"/>
      <c r="G165" s="65"/>
      <c r="H165" s="65"/>
      <c r="I165" s="51"/>
    </row>
    <row r="166" spans="1:9" x14ac:dyDescent="0.25">
      <c r="A166" s="47" t="s">
        <v>5</v>
      </c>
      <c r="B166" s="99"/>
      <c r="C166" s="65"/>
      <c r="F166" s="65"/>
      <c r="G166" s="65"/>
      <c r="H166" s="65"/>
      <c r="I166" s="51"/>
    </row>
    <row r="167" spans="1:9" x14ac:dyDescent="0.25">
      <c r="A167" s="47" t="s">
        <v>6</v>
      </c>
      <c r="B167" s="99"/>
      <c r="C167" s="65"/>
      <c r="F167" s="65"/>
      <c r="G167" s="65"/>
      <c r="H167" s="65"/>
      <c r="I167" s="51"/>
    </row>
    <row r="168" spans="1:9" x14ac:dyDescent="0.25">
      <c r="A168" s="47" t="s">
        <v>7</v>
      </c>
      <c r="B168" s="99"/>
      <c r="C168" s="65"/>
      <c r="F168" s="65"/>
      <c r="G168" s="65"/>
      <c r="H168" s="65"/>
      <c r="I168" s="51"/>
    </row>
    <row r="169" spans="1:9" x14ac:dyDescent="0.25">
      <c r="A169" s="47"/>
      <c r="B169" s="45"/>
      <c r="C169" s="65"/>
      <c r="F169" s="65"/>
      <c r="G169" s="65"/>
      <c r="H169" s="65"/>
      <c r="I169" s="51"/>
    </row>
    <row r="170" spans="1:9" x14ac:dyDescent="0.25">
      <c r="A170" s="47"/>
      <c r="B170" s="45"/>
      <c r="C170" s="65"/>
      <c r="F170" s="65"/>
      <c r="G170" s="65"/>
      <c r="H170" s="65"/>
      <c r="I170" s="51"/>
    </row>
    <row r="171" spans="1:9" x14ac:dyDescent="0.25">
      <c r="A171" s="52" t="s">
        <v>8</v>
      </c>
      <c r="B171" s="45"/>
      <c r="C171" s="65"/>
      <c r="D171" s="68" t="s">
        <v>62</v>
      </c>
      <c r="E171" s="68"/>
      <c r="F171" s="65"/>
      <c r="G171" s="69"/>
      <c r="H171" s="69"/>
      <c r="I171" s="51"/>
    </row>
    <row r="172" spans="1:9" x14ac:dyDescent="0.25">
      <c r="A172" s="52"/>
      <c r="B172" s="45"/>
      <c r="C172" s="65"/>
      <c r="D172" s="68"/>
      <c r="E172" s="68"/>
      <c r="F172" s="65"/>
      <c r="G172" s="69"/>
      <c r="H172" s="69"/>
      <c r="I172" s="51"/>
    </row>
    <row r="173" spans="1:9" x14ac:dyDescent="0.25">
      <c r="A173" s="47" t="s">
        <v>71</v>
      </c>
      <c r="B173" s="81"/>
      <c r="C173" s="65"/>
      <c r="D173" s="65"/>
      <c r="E173" s="45"/>
      <c r="F173" s="65"/>
      <c r="G173" s="65"/>
      <c r="H173" s="65"/>
      <c r="I173" s="51"/>
    </row>
    <row r="174" spans="1:9" x14ac:dyDescent="0.25">
      <c r="A174" s="88" t="s">
        <v>72</v>
      </c>
      <c r="B174" s="81"/>
      <c r="C174" s="65"/>
      <c r="D174" s="65" t="s">
        <v>122</v>
      </c>
      <c r="E174" s="95" t="e">
        <f>(SUM(I184:I207)/2)/B177/B176/B179</f>
        <v>#DIV/0!</v>
      </c>
      <c r="F174" s="65"/>
      <c r="G174" s="65"/>
      <c r="H174" s="65"/>
      <c r="I174" s="103"/>
    </row>
    <row r="175" spans="1:9" x14ac:dyDescent="0.25">
      <c r="A175" s="47" t="s">
        <v>73</v>
      </c>
      <c r="B175" s="81"/>
      <c r="C175" s="65"/>
      <c r="D175" s="65"/>
      <c r="E175" s="70"/>
      <c r="F175" s="65"/>
      <c r="G175" s="71"/>
      <c r="H175" s="71"/>
      <c r="I175" s="72"/>
    </row>
    <row r="176" spans="1:9" x14ac:dyDescent="0.25">
      <c r="A176" s="73" t="s">
        <v>74</v>
      </c>
      <c r="B176" s="81"/>
      <c r="C176" s="65"/>
      <c r="F176" s="65"/>
      <c r="G176" s="65"/>
      <c r="H176" s="65"/>
      <c r="I176" s="51"/>
    </row>
    <row r="177" spans="1:9" x14ac:dyDescent="0.25">
      <c r="A177" s="47" t="s">
        <v>75</v>
      </c>
      <c r="B177" s="81"/>
      <c r="C177" s="65"/>
      <c r="F177" s="65"/>
      <c r="G177" s="65"/>
      <c r="H177" s="65"/>
      <c r="I177" s="51"/>
    </row>
    <row r="178" spans="1:9" x14ac:dyDescent="0.25">
      <c r="A178" s="73" t="s">
        <v>76</v>
      </c>
      <c r="B178" s="81"/>
      <c r="C178" s="65"/>
      <c r="F178" s="65"/>
      <c r="G178" s="65"/>
      <c r="H178" s="65"/>
      <c r="I178" s="51"/>
    </row>
    <row r="179" spans="1:9" x14ac:dyDescent="0.25">
      <c r="A179" s="73" t="s">
        <v>77</v>
      </c>
      <c r="B179" s="81"/>
      <c r="C179" s="65"/>
      <c r="F179" s="65"/>
      <c r="G179" s="65"/>
      <c r="H179" s="65"/>
      <c r="I179" s="51"/>
    </row>
    <row r="180" spans="1:9" x14ac:dyDescent="0.25">
      <c r="A180" s="73" t="s">
        <v>78</v>
      </c>
      <c r="B180" s="81"/>
      <c r="C180" s="65"/>
      <c r="F180" s="65"/>
      <c r="G180" s="65"/>
      <c r="H180" s="65"/>
      <c r="I180" s="51"/>
    </row>
    <row r="181" spans="1:9" x14ac:dyDescent="0.25">
      <c r="A181" s="73" t="s">
        <v>79</v>
      </c>
      <c r="B181" s="81"/>
      <c r="C181" s="65"/>
      <c r="F181" s="65"/>
      <c r="G181" s="65"/>
      <c r="H181" s="65"/>
      <c r="I181" s="51"/>
    </row>
    <row r="182" spans="1:9" x14ac:dyDescent="0.25">
      <c r="A182" s="73"/>
      <c r="B182" s="92"/>
      <c r="C182" s="65"/>
      <c r="D182" s="65"/>
      <c r="E182" s="45"/>
      <c r="F182" s="65"/>
      <c r="G182" s="65"/>
      <c r="H182" s="65"/>
      <c r="I182" s="51"/>
    </row>
    <row r="183" spans="1:9" s="76" customFormat="1" ht="30" x14ac:dyDescent="0.25">
      <c r="A183" s="75" t="s">
        <v>39</v>
      </c>
      <c r="B183" s="75" t="s">
        <v>47</v>
      </c>
      <c r="C183" s="75" t="s">
        <v>41</v>
      </c>
      <c r="D183" s="75" t="s">
        <v>42</v>
      </c>
      <c r="E183" s="75" t="s">
        <v>43</v>
      </c>
      <c r="F183" s="75" t="s">
        <v>18</v>
      </c>
      <c r="G183" s="75" t="s">
        <v>20</v>
      </c>
      <c r="H183" s="75" t="s">
        <v>45</v>
      </c>
      <c r="I183" s="75" t="s">
        <v>131</v>
      </c>
    </row>
    <row r="184" spans="1:9" x14ac:dyDescent="0.25">
      <c r="A184" s="63">
        <v>1</v>
      </c>
      <c r="B184" s="82"/>
      <c r="C184" s="83"/>
      <c r="D184" s="83"/>
      <c r="E184" s="82"/>
      <c r="F184" s="65" t="str">
        <f>IF(E184&gt;0,VLOOKUP(E184,Misc!$A$4:$E$11,5,FALSE), " ")</f>
        <v xml:space="preserve"> </v>
      </c>
      <c r="G184" s="65" t="str">
        <f>IF(E184&gt;0,VLOOKUP(E184,Misc!$A$4:$B$11,2,FALSE)," ")</f>
        <v xml:space="preserve"> </v>
      </c>
      <c r="H184" s="84"/>
      <c r="I184" s="72" t="str">
        <f>IF(H184&gt;0,VLOOKUP(E184,Misc!$A$2:$G$11,6,FALSE)*H184, " ")</f>
        <v xml:space="preserve"> </v>
      </c>
    </row>
    <row r="185" spans="1:9" x14ac:dyDescent="0.25">
      <c r="A185" s="63">
        <v>2</v>
      </c>
      <c r="B185" s="82"/>
      <c r="C185" s="83"/>
      <c r="D185" s="83"/>
      <c r="E185" s="82"/>
      <c r="F185" s="65" t="str">
        <f>IF(E185&gt;0,VLOOKUP(E185,Misc!$A$4:$E$11,5,FALSE), " ")</f>
        <v xml:space="preserve"> </v>
      </c>
      <c r="G185" s="65" t="str">
        <f>IF(E185&gt;0,VLOOKUP(E185,Misc!$A$4:$B$11,2,FALSE)," ")</f>
        <v xml:space="preserve"> </v>
      </c>
      <c r="H185" s="84"/>
      <c r="I185" s="72" t="str">
        <f>IF(H185&gt;0,VLOOKUP(E185,Misc!$A$2:$G$11,6,FALSE)*H185, " ")</f>
        <v xml:space="preserve"> </v>
      </c>
    </row>
    <row r="186" spans="1:9" x14ac:dyDescent="0.25">
      <c r="A186" s="63">
        <v>3</v>
      </c>
      <c r="B186" s="82"/>
      <c r="C186" s="83"/>
      <c r="D186" s="83"/>
      <c r="E186" s="82"/>
      <c r="F186" s="65" t="str">
        <f>IF(E186&gt;0,VLOOKUP(E186,Misc!$A$4:$E$11,5,FALSE), " ")</f>
        <v xml:space="preserve"> </v>
      </c>
      <c r="G186" s="65" t="str">
        <f>IF(E186&gt;0,VLOOKUP(E186,Misc!$A$4:$B$11,2,FALSE)," ")</f>
        <v xml:space="preserve"> </v>
      </c>
      <c r="H186" s="84"/>
      <c r="I186" s="72" t="str">
        <f>IF(H186&gt;0,VLOOKUP(E186,Misc!$A$2:$G$11,6,FALSE)*H186, " ")</f>
        <v xml:space="preserve"> </v>
      </c>
    </row>
    <row r="187" spans="1:9" x14ac:dyDescent="0.25">
      <c r="A187" s="63">
        <v>4</v>
      </c>
      <c r="B187" s="82"/>
      <c r="C187" s="83"/>
      <c r="D187" s="83"/>
      <c r="E187" s="82"/>
      <c r="F187" s="65" t="str">
        <f>IF(E187&gt;0,VLOOKUP(E187,Misc!$A$4:$E$11,5,FALSE), " ")</f>
        <v xml:space="preserve"> </v>
      </c>
      <c r="G187" s="65" t="str">
        <f>IF(E187&gt;0,VLOOKUP(E187,Misc!$A$4:$B$11,2,FALSE)," ")</f>
        <v xml:space="preserve"> </v>
      </c>
      <c r="H187" s="84"/>
      <c r="I187" s="72" t="str">
        <f>IF(H187&gt;0,VLOOKUP(E187,Misc!$A$2:$G$11,6,FALSE)*H187, " ")</f>
        <v xml:space="preserve"> </v>
      </c>
    </row>
    <row r="188" spans="1:9" x14ac:dyDescent="0.25">
      <c r="A188" s="63">
        <v>5</v>
      </c>
      <c r="B188" s="82"/>
      <c r="C188" s="83"/>
      <c r="D188" s="83"/>
      <c r="E188" s="82"/>
      <c r="F188" s="65" t="str">
        <f>IF(E188&gt;0,VLOOKUP(E188,Misc!$A$4:$E$11,5,FALSE), " ")</f>
        <v xml:space="preserve"> </v>
      </c>
      <c r="G188" s="65" t="str">
        <f>IF(E188&gt;0,VLOOKUP(E188,Misc!$A$4:$B$11,2,FALSE)," ")</f>
        <v xml:space="preserve"> </v>
      </c>
      <c r="H188" s="84"/>
      <c r="I188" s="72" t="str">
        <f>IF(H188&gt;0,VLOOKUP(E188,Misc!$A$2:$G$11,6,FALSE)*H188, " ")</f>
        <v xml:space="preserve"> </v>
      </c>
    </row>
    <row r="189" spans="1:9" x14ac:dyDescent="0.25">
      <c r="A189" s="63">
        <v>6</v>
      </c>
      <c r="B189" s="82"/>
      <c r="C189" s="83"/>
      <c r="D189" s="83"/>
      <c r="E189" s="82"/>
      <c r="F189" s="65" t="str">
        <f>IF(E189&gt;0,VLOOKUP(E189,Misc!$A$4:$E$11,5,FALSE), " ")</f>
        <v xml:space="preserve"> </v>
      </c>
      <c r="G189" s="65" t="str">
        <f>IF(E189&gt;0,VLOOKUP(E189,Misc!$A$4:$B$11,2,FALSE)," ")</f>
        <v xml:space="preserve"> </v>
      </c>
      <c r="H189" s="84"/>
      <c r="I189" s="72" t="str">
        <f>IF(H189&gt;0,VLOOKUP(E189,Misc!$A$2:$G$11,6,FALSE)*H189, " ")</f>
        <v xml:space="preserve"> </v>
      </c>
    </row>
    <row r="190" spans="1:9" x14ac:dyDescent="0.25">
      <c r="A190" s="63">
        <v>7</v>
      </c>
      <c r="B190" s="82"/>
      <c r="C190" s="83"/>
      <c r="D190" s="83"/>
      <c r="E190" s="82"/>
      <c r="F190" s="65" t="str">
        <f>IF(E190&gt;0,VLOOKUP(E190,Misc!$A$4:$E$11,5,FALSE), " ")</f>
        <v xml:space="preserve"> </v>
      </c>
      <c r="G190" s="65" t="str">
        <f>IF(E190&gt;0,VLOOKUP(E190,Misc!$A$4:$B$11,2,FALSE)," ")</f>
        <v xml:space="preserve"> </v>
      </c>
      <c r="H190" s="84"/>
      <c r="I190" s="72" t="str">
        <f>IF(H190&gt;0,VLOOKUP(E190,Misc!$A$2:$G$11,6,FALSE)*H190, " ")</f>
        <v xml:space="preserve"> </v>
      </c>
    </row>
    <row r="191" spans="1:9" x14ac:dyDescent="0.25">
      <c r="A191" s="63">
        <v>8</v>
      </c>
      <c r="B191" s="82"/>
      <c r="C191" s="83"/>
      <c r="D191" s="83"/>
      <c r="E191" s="82"/>
      <c r="F191" s="65" t="str">
        <f>IF(E191&gt;0,VLOOKUP(E191,Misc!$A$4:$E$11,5,FALSE), " ")</f>
        <v xml:space="preserve"> </v>
      </c>
      <c r="G191" s="65" t="str">
        <f>IF(E191&gt;0,VLOOKUP(E191,Misc!$A$4:$B$11,2,FALSE)," ")</f>
        <v xml:space="preserve"> </v>
      </c>
      <c r="H191" s="84"/>
      <c r="I191" s="72" t="str">
        <f>IF(H191&gt;0,VLOOKUP(E191,Misc!$A$2:$G$11,6,FALSE)*H191, " ")</f>
        <v xml:space="preserve"> </v>
      </c>
    </row>
    <row r="192" spans="1:9" x14ac:dyDescent="0.25">
      <c r="A192" s="63">
        <v>9</v>
      </c>
      <c r="B192" s="82"/>
      <c r="C192" s="83"/>
      <c r="D192" s="83"/>
      <c r="E192" s="82"/>
      <c r="F192" s="65" t="str">
        <f>IF(E192&gt;0,VLOOKUP(E192,Misc!$A$4:$E$11,5,FALSE), " ")</f>
        <v xml:space="preserve"> </v>
      </c>
      <c r="G192" s="65" t="str">
        <f>IF(E192&gt;0,VLOOKUP(E192,Misc!$A$4:$B$11,2,FALSE)," ")</f>
        <v xml:space="preserve"> </v>
      </c>
      <c r="H192" s="84"/>
      <c r="I192" s="72" t="str">
        <f>IF(H192&gt;0,VLOOKUP(E192,Misc!$A$2:$G$11,6,FALSE)*H192, " ")</f>
        <v xml:space="preserve"> </v>
      </c>
    </row>
    <row r="193" spans="1:9" x14ac:dyDescent="0.25">
      <c r="A193" s="63">
        <v>10</v>
      </c>
      <c r="B193" s="82"/>
      <c r="C193" s="83"/>
      <c r="D193" s="83"/>
      <c r="E193" s="82"/>
      <c r="F193" s="65" t="str">
        <f>IF(E193&gt;0,VLOOKUP(E193,Misc!$A$4:$E$11,5,FALSE), " ")</f>
        <v xml:space="preserve"> </v>
      </c>
      <c r="G193" s="65" t="str">
        <f>IF(E193&gt;0,VLOOKUP(E193,Misc!$A$4:$B$11,2,FALSE)," ")</f>
        <v xml:space="preserve"> </v>
      </c>
      <c r="H193" s="84"/>
      <c r="I193" s="72" t="str">
        <f>IF(H193&gt;0,VLOOKUP(E193,Misc!$A$2:$G$11,6,FALSE)*H193, " ")</f>
        <v xml:space="preserve"> </v>
      </c>
    </row>
    <row r="194" spans="1:9" x14ac:dyDescent="0.25">
      <c r="A194" s="63">
        <v>11</v>
      </c>
      <c r="B194" s="82"/>
      <c r="C194" s="83"/>
      <c r="D194" s="83"/>
      <c r="E194" s="82"/>
      <c r="F194" s="65" t="str">
        <f>IF(E194&gt;0,VLOOKUP(E194,Misc!$A$4:$E$11,5,FALSE), " ")</f>
        <v xml:space="preserve"> </v>
      </c>
      <c r="G194" s="65" t="str">
        <f>IF(E194&gt;0,VLOOKUP(E194,Misc!$A$4:$B$11,2,FALSE)," ")</f>
        <v xml:space="preserve"> </v>
      </c>
      <c r="H194" s="84"/>
      <c r="I194" s="72" t="str">
        <f>IF(H194&gt;0,VLOOKUP(E194,Misc!$A$2:$G$11,6,FALSE)*H194, " ")</f>
        <v xml:space="preserve"> </v>
      </c>
    </row>
    <row r="195" spans="1:9" x14ac:dyDescent="0.25">
      <c r="A195" s="63">
        <v>12</v>
      </c>
      <c r="B195" s="82"/>
      <c r="C195" s="83"/>
      <c r="D195" s="83"/>
      <c r="E195" s="82"/>
      <c r="F195" s="65" t="str">
        <f>IF(E195&gt;0,VLOOKUP(E195,Misc!$A$4:$E$11,5,FALSE), " ")</f>
        <v xml:space="preserve"> </v>
      </c>
      <c r="G195" s="65" t="str">
        <f>IF(E195&gt;0,VLOOKUP(E195,Misc!$A$4:$B$11,2,FALSE)," ")</f>
        <v xml:space="preserve"> </v>
      </c>
      <c r="H195" s="84"/>
      <c r="I195" s="72" t="str">
        <f>IF(H195&gt;0,VLOOKUP(E195,Misc!$A$2:$G$11,6,FALSE)*H195, " ")</f>
        <v xml:space="preserve"> </v>
      </c>
    </row>
    <row r="196" spans="1:9" x14ac:dyDescent="0.25">
      <c r="A196" s="63">
        <v>13</v>
      </c>
      <c r="B196" s="82"/>
      <c r="C196" s="83"/>
      <c r="D196" s="83"/>
      <c r="E196" s="82"/>
      <c r="F196" s="65" t="str">
        <f>IF(E196&gt;0,VLOOKUP(E196,Misc!$A$4:$E$11,5,FALSE), " ")</f>
        <v xml:space="preserve"> </v>
      </c>
      <c r="G196" s="65" t="str">
        <f>IF(E196&gt;0,VLOOKUP(E196,Misc!$A$4:$B$11,2,FALSE)," ")</f>
        <v xml:space="preserve"> </v>
      </c>
      <c r="H196" s="84"/>
      <c r="I196" s="72" t="str">
        <f>IF(H196&gt;0,VLOOKUP(E196,Misc!$A$2:$G$11,6,FALSE)*H196, " ")</f>
        <v xml:space="preserve"> </v>
      </c>
    </row>
    <row r="197" spans="1:9" x14ac:dyDescent="0.25">
      <c r="A197" s="63">
        <v>14</v>
      </c>
      <c r="B197" s="82"/>
      <c r="C197" s="83"/>
      <c r="D197" s="83"/>
      <c r="E197" s="82"/>
      <c r="F197" s="65" t="str">
        <f>IF(E197&gt;0,VLOOKUP(E197,Misc!$A$4:$E$11,5,FALSE), " ")</f>
        <v xml:space="preserve"> </v>
      </c>
      <c r="G197" s="65" t="str">
        <f>IF(E197&gt;0,VLOOKUP(E197,Misc!$A$4:$B$11,2,FALSE)," ")</f>
        <v xml:space="preserve"> </v>
      </c>
      <c r="H197" s="84"/>
      <c r="I197" s="72" t="str">
        <f>IF(H197&gt;0,VLOOKUP(E197,Misc!$A$2:$G$11,6,FALSE)*H197, " ")</f>
        <v xml:space="preserve"> </v>
      </c>
    </row>
    <row r="198" spans="1:9" x14ac:dyDescent="0.25">
      <c r="A198" s="63">
        <v>15</v>
      </c>
      <c r="B198" s="82"/>
      <c r="C198" s="83"/>
      <c r="D198" s="83"/>
      <c r="E198" s="82"/>
      <c r="F198" s="65" t="str">
        <f>IF(E198&gt;0,VLOOKUP(E198,Misc!$A$4:$E$11,5,FALSE), " ")</f>
        <v xml:space="preserve"> </v>
      </c>
      <c r="G198" s="65" t="str">
        <f>IF(E198&gt;0,VLOOKUP(E198,Misc!$A$4:$B$11,2,FALSE)," ")</f>
        <v xml:space="preserve"> </v>
      </c>
      <c r="H198" s="84"/>
      <c r="I198" s="72" t="str">
        <f>IF(H198&gt;0,VLOOKUP(E198,Misc!$A$2:$G$11,6,FALSE)*H198, " ")</f>
        <v xml:space="preserve"> </v>
      </c>
    </row>
    <row r="199" spans="1:9" x14ac:dyDescent="0.25">
      <c r="A199" s="63">
        <v>16</v>
      </c>
      <c r="B199" s="82"/>
      <c r="C199" s="83"/>
      <c r="D199" s="83"/>
      <c r="E199" s="82"/>
      <c r="F199" s="65" t="str">
        <f>IF(E199&gt;0,VLOOKUP(E199,Misc!$A$4:$E$11,5,FALSE), " ")</f>
        <v xml:space="preserve"> </v>
      </c>
      <c r="G199" s="65" t="str">
        <f>IF(E199&gt;0,VLOOKUP(E199,Misc!$A$4:$B$11,2,FALSE)," ")</f>
        <v xml:space="preserve"> </v>
      </c>
      <c r="H199" s="84"/>
      <c r="I199" s="72" t="str">
        <f>IF(H199&gt;0,VLOOKUP(E199,Misc!$A$2:$G$11,6,FALSE)*H199, " ")</f>
        <v xml:space="preserve"> </v>
      </c>
    </row>
    <row r="200" spans="1:9" x14ac:dyDescent="0.25">
      <c r="A200" s="63">
        <v>17</v>
      </c>
      <c r="B200" s="82"/>
      <c r="C200" s="83"/>
      <c r="D200" s="83"/>
      <c r="E200" s="82"/>
      <c r="F200" s="65" t="str">
        <f>IF(E200&gt;0,VLOOKUP(E200,Misc!$A$4:$E$11,5,FALSE), " ")</f>
        <v xml:space="preserve"> </v>
      </c>
      <c r="G200" s="65" t="str">
        <f>IF(E200&gt;0,VLOOKUP(E200,Misc!$A$4:$B$11,2,FALSE)," ")</f>
        <v xml:space="preserve"> </v>
      </c>
      <c r="H200" s="84"/>
      <c r="I200" s="72" t="str">
        <f>IF(H200&gt;0,VLOOKUP(E200,Misc!$A$2:$G$11,6,FALSE)*H200, " ")</f>
        <v xml:space="preserve"> </v>
      </c>
    </row>
    <row r="201" spans="1:9" x14ac:dyDescent="0.25">
      <c r="A201" s="63">
        <v>18</v>
      </c>
      <c r="B201" s="82"/>
      <c r="C201" s="83"/>
      <c r="D201" s="83"/>
      <c r="E201" s="82"/>
      <c r="F201" s="65" t="str">
        <f>IF(E201&gt;0,VLOOKUP(E201,Misc!$A$4:$E$11,5,FALSE), " ")</f>
        <v xml:space="preserve"> </v>
      </c>
      <c r="G201" s="65" t="str">
        <f>IF(E201&gt;0,VLOOKUP(E201,Misc!$A$4:$B$11,2,FALSE)," ")</f>
        <v xml:space="preserve"> </v>
      </c>
      <c r="H201" s="84"/>
      <c r="I201" s="72" t="str">
        <f>IF(H201&gt;0,VLOOKUP(E201,Misc!$A$2:$G$11,6,FALSE)*H201, " ")</f>
        <v xml:space="preserve"> </v>
      </c>
    </row>
    <row r="202" spans="1:9" x14ac:dyDescent="0.25">
      <c r="A202" s="63">
        <v>19</v>
      </c>
      <c r="B202" s="82"/>
      <c r="C202" s="83"/>
      <c r="D202" s="83"/>
      <c r="E202" s="82"/>
      <c r="F202" s="65" t="str">
        <f>IF(E202&gt;0,VLOOKUP(E202,Misc!$A$4:$E$11,5,FALSE), " ")</f>
        <v xml:space="preserve"> </v>
      </c>
      <c r="G202" s="65" t="str">
        <f>IF(E202&gt;0,VLOOKUP(E202,Misc!$A$4:$B$11,2,FALSE)," ")</f>
        <v xml:space="preserve"> </v>
      </c>
      <c r="H202" s="84"/>
      <c r="I202" s="72" t="str">
        <f>IF(H202&gt;0,VLOOKUP(E202,Misc!$A$2:$G$11,6,FALSE)*H202, " ")</f>
        <v xml:space="preserve"> </v>
      </c>
    </row>
    <row r="203" spans="1:9" x14ac:dyDescent="0.25">
      <c r="A203" s="63">
        <v>20</v>
      </c>
      <c r="B203" s="82"/>
      <c r="C203" s="83"/>
      <c r="D203" s="83"/>
      <c r="E203" s="82"/>
      <c r="F203" s="65" t="str">
        <f>IF(E203&gt;0,VLOOKUP(E203,Misc!$A$4:$E$11,5,FALSE), " ")</f>
        <v xml:space="preserve"> </v>
      </c>
      <c r="G203" s="65" t="str">
        <f>IF(E203&gt;0,VLOOKUP(E203,Misc!$A$4:$B$11,2,FALSE)," ")</f>
        <v xml:space="preserve"> </v>
      </c>
      <c r="H203" s="84"/>
      <c r="I203" s="72" t="str">
        <f>IF(H203&gt;0,VLOOKUP(E203,Misc!$A$2:$G$11,6,FALSE)*H203, " ")</f>
        <v xml:space="preserve"> </v>
      </c>
    </row>
    <row r="204" spans="1:9" x14ac:dyDescent="0.25">
      <c r="A204" s="63">
        <v>21</v>
      </c>
      <c r="B204" s="82"/>
      <c r="C204" s="83"/>
      <c r="D204" s="83"/>
      <c r="E204" s="82"/>
      <c r="F204" s="65" t="str">
        <f>IF(E204&gt;0,VLOOKUP(E204,Misc!$A$4:$E$11,5,FALSE), " ")</f>
        <v xml:space="preserve"> </v>
      </c>
      <c r="G204" s="65" t="str">
        <f>IF(E204&gt;0,VLOOKUP(E204,Misc!$A$4:$B$11,2,FALSE)," ")</f>
        <v xml:space="preserve"> </v>
      </c>
      <c r="H204" s="84"/>
      <c r="I204" s="72" t="str">
        <f>IF(H204&gt;0,VLOOKUP(E204,Misc!$A$2:$G$11,6,FALSE)*H204, " ")</f>
        <v xml:space="preserve"> </v>
      </c>
    </row>
    <row r="205" spans="1:9" x14ac:dyDescent="0.25">
      <c r="A205" s="63">
        <v>22</v>
      </c>
      <c r="B205" s="82"/>
      <c r="C205" s="83"/>
      <c r="D205" s="83"/>
      <c r="E205" s="82"/>
      <c r="F205" s="65" t="str">
        <f>IF(E205&gt;0,VLOOKUP(E205,Misc!$A$4:$E$11,5,FALSE), " ")</f>
        <v xml:space="preserve"> </v>
      </c>
      <c r="G205" s="65" t="str">
        <f>IF(E205&gt;0,VLOOKUP(E205,Misc!$A$4:$B$11,2,FALSE)," ")</f>
        <v xml:space="preserve"> </v>
      </c>
      <c r="H205" s="84"/>
      <c r="I205" s="72" t="str">
        <f>IF(H205&gt;0,VLOOKUP(E205,Misc!$A$2:$G$11,6,FALSE)*H205, " ")</f>
        <v xml:space="preserve"> </v>
      </c>
    </row>
    <row r="206" spans="1:9" x14ac:dyDescent="0.25">
      <c r="A206" s="63">
        <v>23</v>
      </c>
      <c r="B206" s="82"/>
      <c r="C206" s="83"/>
      <c r="D206" s="83"/>
      <c r="E206" s="82"/>
      <c r="F206" s="65" t="str">
        <f>IF(E206&gt;0,VLOOKUP(E206,Misc!$A$4:$E$11,5,FALSE), " ")</f>
        <v xml:space="preserve"> </v>
      </c>
      <c r="G206" s="65" t="str">
        <f>IF(E206&gt;0,VLOOKUP(E206,Misc!$A$4:$B$11,2,FALSE)," ")</f>
        <v xml:space="preserve"> </v>
      </c>
      <c r="H206" s="84"/>
      <c r="I206" s="72" t="str">
        <f>IF(H206&gt;0,VLOOKUP(E206,Misc!$A$2:$G$11,6,FALSE)*H206, " ")</f>
        <v xml:space="preserve"> </v>
      </c>
    </row>
    <row r="207" spans="1:9" x14ac:dyDescent="0.25">
      <c r="A207" s="63">
        <v>24</v>
      </c>
      <c r="B207" s="82"/>
      <c r="C207" s="83"/>
      <c r="D207" s="83"/>
      <c r="E207" s="82"/>
      <c r="F207" s="65" t="str">
        <f>IF(E207&gt;0,VLOOKUP(E207,Misc!$A$4:$E$11,5,FALSE), " ")</f>
        <v xml:space="preserve"> </v>
      </c>
      <c r="G207" s="65" t="str">
        <f>IF(E207&gt;0,VLOOKUP(E207,Misc!$A$4:$B$11,2,FALSE)," ")</f>
        <v xml:space="preserve"> </v>
      </c>
      <c r="H207" s="84"/>
      <c r="I207" s="72" t="str">
        <f>IF(H207&gt;0,VLOOKUP(E207,Misc!$A$2:$G$11,6,FALSE)*H207, " ")</f>
        <v xml:space="preserve"> </v>
      </c>
    </row>
    <row r="208" spans="1:9" x14ac:dyDescent="0.25">
      <c r="A208" s="77"/>
      <c r="B208" s="57" t="s">
        <v>132</v>
      </c>
      <c r="C208" s="78"/>
      <c r="D208" s="78"/>
      <c r="E208" s="57"/>
      <c r="F208" s="78"/>
      <c r="G208" s="78"/>
      <c r="H208" s="78"/>
      <c r="I208" s="58"/>
    </row>
    <row r="209" spans="7:7" ht="17.25" x14ac:dyDescent="0.3">
      <c r="G209" s="94" t="s">
        <v>134</v>
      </c>
    </row>
  </sheetData>
  <sheetProtection password="AD9B" sheet="1" objects="1" scenarios="1"/>
  <mergeCells count="5">
    <mergeCell ref="A8:I8"/>
    <mergeCell ref="A5:I5"/>
    <mergeCell ref="A7:I7"/>
    <mergeCell ref="C2:F3"/>
    <mergeCell ref="A6:I6"/>
  </mergeCells>
  <hyperlinks>
    <hyperlink ref="G59" location="'Compliance path'!A1" display="Back to Compliance path tab "/>
    <hyperlink ref="G209" location="'Option 1 Input sheet (Similar)'!A1" display="Back to the top"/>
    <hyperlink ref="G159" location="'Option 1 Input sheet (Similar)'!A1" display="Back to the top"/>
    <hyperlink ref="G109" location="'Option 1 Input sheet (Similar)'!A1" display="Back to the top"/>
    <hyperlink ref="A25" location="'Climate Zone'!A1" display="Climate zone "/>
  </hyperlinks>
  <pageMargins left="0.7" right="0.7" top="0.75" bottom="0.75" header="0.3" footer="0.3"/>
  <pageSetup paperSize="9" scale="54" orientation="landscape" r:id="rId1"/>
  <rowBreaks count="3" manualBreakCount="3">
    <brk id="58" max="16383" man="1"/>
    <brk id="108" max="7" man="1"/>
    <brk id="158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Misc!$A$3:$A$11</xm:f>
          </x14:formula1>
          <xm:sqref>E184:E207 E134:E157 E84:E107 E34:E57</xm:sqref>
        </x14:dataValidation>
        <x14:dataValidation type="list" allowBlank="1" showInputMessage="1" showErrorMessage="1">
          <x14:formula1>
            <xm:f>Misc!$B$24:$B$30</xm:f>
          </x14:formula1>
          <xm:sqref>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64"/>
  <sheetViews>
    <sheetView showGridLines="0" zoomScale="85" zoomScaleNormal="85" zoomScaleSheetLayoutView="85" zoomScalePageLayoutView="85" workbookViewId="0">
      <selection activeCell="B12" sqref="B12"/>
    </sheetView>
  </sheetViews>
  <sheetFormatPr defaultColWidth="8.85546875" defaultRowHeight="15" x14ac:dyDescent="0.25"/>
  <cols>
    <col min="1" max="1" width="27.140625" style="79" customWidth="1"/>
    <col min="2" max="2" width="32" style="43" customWidth="1"/>
    <col min="3" max="3" width="20.7109375" style="79" customWidth="1"/>
    <col min="4" max="4" width="26.28515625" style="79" customWidth="1"/>
    <col min="5" max="5" width="39.140625" style="43" bestFit="1" customWidth="1"/>
    <col min="6" max="6" width="11.28515625" style="79" customWidth="1"/>
    <col min="7" max="8" width="15.42578125" style="79" customWidth="1"/>
    <col min="9" max="9" width="16.7109375" style="43" customWidth="1"/>
    <col min="10" max="16384" width="8.85546875" style="43"/>
  </cols>
  <sheetData>
    <row r="1" spans="1:11" x14ac:dyDescent="0.25">
      <c r="A1" s="61"/>
      <c r="B1" s="42"/>
      <c r="C1" s="62"/>
      <c r="D1" s="62"/>
      <c r="E1" s="42"/>
      <c r="F1" s="62"/>
      <c r="G1" s="62"/>
      <c r="H1" s="62"/>
      <c r="I1" s="42"/>
      <c r="J1" s="45"/>
    </row>
    <row r="2" spans="1:11" ht="24" customHeight="1" x14ac:dyDescent="0.35">
      <c r="A2" s="63"/>
      <c r="B2" s="45"/>
      <c r="C2" s="177" t="s">
        <v>140</v>
      </c>
      <c r="D2" s="177"/>
      <c r="E2" s="177"/>
      <c r="F2" s="177"/>
      <c r="G2" s="46" t="s">
        <v>145</v>
      </c>
      <c r="H2" s="64"/>
      <c r="I2" s="64"/>
      <c r="J2" s="64"/>
      <c r="K2" s="64"/>
    </row>
    <row r="3" spans="1:11" ht="15.75" customHeight="1" x14ac:dyDescent="0.35">
      <c r="A3" s="63"/>
      <c r="B3" s="45"/>
      <c r="C3" s="177"/>
      <c r="D3" s="177"/>
      <c r="E3" s="177"/>
      <c r="F3" s="177"/>
      <c r="G3" s="64"/>
      <c r="H3" s="64"/>
      <c r="I3" s="64"/>
      <c r="J3" s="64"/>
      <c r="K3" s="64"/>
    </row>
    <row r="4" spans="1:11" ht="15.75" customHeight="1" x14ac:dyDescent="0.35">
      <c r="A4" s="63"/>
      <c r="B4" s="45"/>
      <c r="C4" s="87"/>
      <c r="D4" s="87"/>
      <c r="E4" s="87"/>
      <c r="F4" s="87"/>
      <c r="G4" s="64"/>
      <c r="H4" s="64"/>
      <c r="I4" s="64"/>
      <c r="J4" s="64"/>
      <c r="K4" s="64"/>
    </row>
    <row r="5" spans="1:11" ht="15.75" customHeight="1" x14ac:dyDescent="0.35">
      <c r="A5" s="173" t="s">
        <v>152</v>
      </c>
      <c r="B5" s="174"/>
      <c r="C5" s="174"/>
      <c r="D5" s="174"/>
      <c r="E5" s="174"/>
      <c r="F5" s="174"/>
      <c r="G5" s="174"/>
      <c r="H5" s="174"/>
      <c r="I5" s="174"/>
      <c r="J5" s="64"/>
      <c r="K5" s="64"/>
    </row>
    <row r="6" spans="1:11" ht="15.75" customHeight="1" x14ac:dyDescent="0.35">
      <c r="A6" s="178" t="s">
        <v>153</v>
      </c>
      <c r="B6" s="172"/>
      <c r="C6" s="172"/>
      <c r="D6" s="172"/>
      <c r="E6" s="172"/>
      <c r="F6" s="172"/>
      <c r="G6" s="172"/>
      <c r="H6" s="172"/>
      <c r="I6" s="172"/>
      <c r="J6" s="64"/>
      <c r="K6" s="64"/>
    </row>
    <row r="7" spans="1:11" ht="15.75" x14ac:dyDescent="0.25">
      <c r="A7" s="175" t="s">
        <v>148</v>
      </c>
      <c r="B7" s="176"/>
      <c r="C7" s="176"/>
      <c r="D7" s="176"/>
      <c r="E7" s="176"/>
      <c r="F7" s="176"/>
      <c r="G7" s="176"/>
      <c r="H7" s="176"/>
      <c r="I7" s="176"/>
      <c r="J7" s="45"/>
    </row>
    <row r="8" spans="1:11" ht="15.75" x14ac:dyDescent="0.25">
      <c r="A8" s="179" t="s">
        <v>121</v>
      </c>
      <c r="B8" s="180"/>
      <c r="C8" s="180"/>
      <c r="D8" s="180"/>
      <c r="E8" s="180"/>
      <c r="F8" s="180"/>
      <c r="G8" s="180"/>
      <c r="H8" s="180"/>
      <c r="I8" s="180"/>
      <c r="J8" s="45"/>
    </row>
    <row r="9" spans="1:11" x14ac:dyDescent="0.25">
      <c r="A9" s="63"/>
      <c r="B9" s="45"/>
      <c r="C9" s="65"/>
      <c r="D9" s="65"/>
      <c r="E9" s="45"/>
      <c r="F9" s="65"/>
      <c r="G9" s="65"/>
      <c r="H9" s="65"/>
      <c r="I9" s="51"/>
    </row>
    <row r="10" spans="1:11" x14ac:dyDescent="0.25">
      <c r="A10" s="52" t="s">
        <v>80</v>
      </c>
      <c r="B10" s="53"/>
      <c r="C10" s="65"/>
      <c r="D10" s="65"/>
      <c r="E10" s="45"/>
      <c r="F10" s="65"/>
      <c r="G10" s="65"/>
      <c r="H10" s="65"/>
      <c r="I10" s="51"/>
    </row>
    <row r="11" spans="1:11" x14ac:dyDescent="0.25">
      <c r="A11" s="52"/>
      <c r="B11" s="53"/>
      <c r="C11" s="65"/>
      <c r="D11" s="65"/>
      <c r="E11" s="45"/>
      <c r="F11" s="65"/>
      <c r="G11" s="65"/>
      <c r="H11" s="65"/>
      <c r="I11" s="51"/>
    </row>
    <row r="12" spans="1:11" x14ac:dyDescent="0.25">
      <c r="A12" s="47" t="s">
        <v>3</v>
      </c>
      <c r="B12" s="60"/>
      <c r="C12" s="65"/>
      <c r="D12" s="65"/>
      <c r="E12" s="45"/>
      <c r="F12" s="65"/>
      <c r="G12" s="65"/>
      <c r="H12" s="65"/>
      <c r="I12" s="51"/>
    </row>
    <row r="13" spans="1:11" x14ac:dyDescent="0.25">
      <c r="A13" s="47"/>
      <c r="B13" s="60"/>
      <c r="C13" s="65"/>
      <c r="D13" s="65"/>
      <c r="E13" s="45"/>
      <c r="F13" s="65"/>
      <c r="G13" s="65"/>
      <c r="H13" s="65"/>
      <c r="I13" s="51"/>
    </row>
    <row r="14" spans="1:11" x14ac:dyDescent="0.25">
      <c r="A14" s="47"/>
      <c r="B14" s="60"/>
      <c r="C14" s="65"/>
      <c r="D14" s="65"/>
      <c r="E14" s="45"/>
      <c r="F14" s="65"/>
      <c r="G14" s="65"/>
      <c r="H14" s="65"/>
      <c r="I14" s="51"/>
    </row>
    <row r="15" spans="1:11" x14ac:dyDescent="0.25">
      <c r="A15" s="47" t="s">
        <v>4</v>
      </c>
      <c r="B15" s="60"/>
      <c r="C15" s="65"/>
      <c r="D15" s="65"/>
      <c r="E15" s="45"/>
      <c r="F15" s="65"/>
      <c r="G15" s="65"/>
      <c r="H15" s="65"/>
      <c r="I15" s="51"/>
    </row>
    <row r="16" spans="1:11" x14ac:dyDescent="0.25">
      <c r="A16" s="47" t="s">
        <v>5</v>
      </c>
      <c r="B16" s="60"/>
      <c r="C16" s="65"/>
      <c r="D16" s="65"/>
      <c r="E16" s="45"/>
      <c r="F16" s="65"/>
      <c r="G16" s="65"/>
      <c r="H16" s="65"/>
      <c r="I16" s="51"/>
    </row>
    <row r="17" spans="1:12" x14ac:dyDescent="0.25">
      <c r="A17" s="47" t="s">
        <v>6</v>
      </c>
      <c r="B17" s="60"/>
      <c r="C17" s="65"/>
      <c r="D17" s="65"/>
      <c r="E17" s="45"/>
      <c r="F17" s="65"/>
      <c r="G17" s="65"/>
      <c r="H17" s="65"/>
      <c r="I17" s="51"/>
    </row>
    <row r="18" spans="1:12" x14ac:dyDescent="0.25">
      <c r="A18" s="47" t="s">
        <v>7</v>
      </c>
      <c r="B18" s="100"/>
      <c r="C18" s="65"/>
      <c r="D18" s="65"/>
      <c r="E18" s="45"/>
      <c r="F18" s="65"/>
      <c r="G18" s="65"/>
      <c r="H18" s="65"/>
      <c r="I18" s="51"/>
    </row>
    <row r="19" spans="1:12" x14ac:dyDescent="0.25">
      <c r="A19" s="47"/>
      <c r="B19" s="45"/>
      <c r="C19" s="65"/>
      <c r="D19" s="65"/>
      <c r="E19" s="45"/>
      <c r="F19" s="65"/>
      <c r="G19" s="65"/>
      <c r="H19" s="65"/>
      <c r="I19" s="51"/>
    </row>
    <row r="20" spans="1:12" x14ac:dyDescent="0.25">
      <c r="A20" s="47"/>
      <c r="B20" s="45"/>
      <c r="C20" s="65"/>
      <c r="D20" s="65"/>
      <c r="E20" s="45"/>
      <c r="F20" s="65"/>
      <c r="G20" s="65"/>
      <c r="H20" s="65"/>
      <c r="I20" s="51"/>
    </row>
    <row r="21" spans="1:12" x14ac:dyDescent="0.25">
      <c r="A21" s="52" t="s">
        <v>8</v>
      </c>
      <c r="B21" s="45"/>
      <c r="C21" s="65"/>
      <c r="D21" s="68" t="s">
        <v>119</v>
      </c>
      <c r="E21" s="68"/>
      <c r="F21" s="65"/>
      <c r="G21" s="69"/>
      <c r="H21" s="69"/>
      <c r="I21" s="51"/>
    </row>
    <row r="22" spans="1:12" x14ac:dyDescent="0.25">
      <c r="A22" s="52"/>
      <c r="B22" s="45"/>
      <c r="C22" s="65"/>
      <c r="D22" s="68"/>
      <c r="E22" s="68"/>
      <c r="F22" s="65"/>
      <c r="G22" s="69"/>
      <c r="H22" s="69"/>
      <c r="I22" s="51"/>
    </row>
    <row r="23" spans="1:12" x14ac:dyDescent="0.25">
      <c r="A23" s="47" t="s">
        <v>71</v>
      </c>
      <c r="B23" s="81"/>
      <c r="C23" s="65"/>
      <c r="D23" s="65"/>
      <c r="E23" s="45"/>
      <c r="F23" s="65"/>
      <c r="G23" s="65"/>
      <c r="H23" s="65"/>
      <c r="I23" s="51"/>
    </row>
    <row r="24" spans="1:12" x14ac:dyDescent="0.25">
      <c r="A24" s="73" t="s">
        <v>72</v>
      </c>
      <c r="B24" s="81"/>
      <c r="C24" s="65"/>
      <c r="D24" s="65" t="s">
        <v>120</v>
      </c>
      <c r="E24" s="95" t="e">
        <f>(SUM(I50:I61)/B27)</f>
        <v>#DIV/0!</v>
      </c>
      <c r="F24" s="65" t="s">
        <v>61</v>
      </c>
      <c r="G24" s="65" t="s">
        <v>64</v>
      </c>
      <c r="H24" s="65"/>
      <c r="I24" s="96">
        <f>IFERROR(VLOOKUP(E28,Misc!A38:C84,2,TRUE),0)</f>
        <v>0</v>
      </c>
    </row>
    <row r="25" spans="1:12" ht="17.25" x14ac:dyDescent="0.3">
      <c r="A25" s="107" t="s">
        <v>73</v>
      </c>
      <c r="B25" s="81"/>
      <c r="C25" s="65"/>
      <c r="D25" s="65" t="s">
        <v>174</v>
      </c>
      <c r="E25" s="70" t="e">
        <f>SUM(I35:I46)/B27</f>
        <v>#DIV/0!</v>
      </c>
      <c r="F25" s="65" t="s">
        <v>61</v>
      </c>
      <c r="G25" s="71"/>
      <c r="H25" s="71"/>
      <c r="I25" s="72"/>
    </row>
    <row r="26" spans="1:12" x14ac:dyDescent="0.25">
      <c r="A26" s="73" t="s">
        <v>74</v>
      </c>
      <c r="B26" s="81"/>
      <c r="C26" s="65"/>
      <c r="D26" s="65"/>
      <c r="E26" s="70"/>
      <c r="F26" s="65"/>
      <c r="G26" s="65"/>
      <c r="H26" s="65"/>
      <c r="I26" s="51"/>
      <c r="L26" s="97"/>
    </row>
    <row r="27" spans="1:12" x14ac:dyDescent="0.25">
      <c r="A27" s="47" t="s">
        <v>75</v>
      </c>
      <c r="B27" s="81"/>
      <c r="C27" s="65"/>
      <c r="D27" s="65"/>
      <c r="E27" s="70"/>
      <c r="F27" s="65" t="s">
        <v>61</v>
      </c>
      <c r="G27" s="65"/>
      <c r="H27" s="65"/>
      <c r="I27" s="51"/>
    </row>
    <row r="28" spans="1:12" x14ac:dyDescent="0.25">
      <c r="A28" s="73" t="s">
        <v>76</v>
      </c>
      <c r="B28" s="81"/>
      <c r="C28" s="65"/>
      <c r="D28" s="65" t="s">
        <v>63</v>
      </c>
      <c r="E28" s="69" t="e">
        <f>((E25-E24)/E25)</f>
        <v>#DIV/0!</v>
      </c>
      <c r="F28" s="65"/>
      <c r="G28" s="65"/>
      <c r="H28" s="65"/>
      <c r="I28" s="51"/>
    </row>
    <row r="29" spans="1:12" x14ac:dyDescent="0.25">
      <c r="A29" s="73" t="s">
        <v>77</v>
      </c>
      <c r="B29" s="81"/>
      <c r="C29" s="65"/>
      <c r="D29" s="65"/>
      <c r="E29" s="45"/>
      <c r="F29" s="65"/>
      <c r="G29" s="65"/>
      <c r="H29" s="65"/>
      <c r="I29" s="51"/>
    </row>
    <row r="30" spans="1:12" x14ac:dyDescent="0.25">
      <c r="A30" s="73" t="s">
        <v>78</v>
      </c>
      <c r="B30" s="81"/>
      <c r="C30" s="65"/>
      <c r="D30" s="65"/>
      <c r="E30" s="45"/>
      <c r="F30" s="65"/>
      <c r="G30" s="65"/>
      <c r="H30" s="65"/>
      <c r="I30" s="51"/>
    </row>
    <row r="31" spans="1:12" x14ac:dyDescent="0.25">
      <c r="A31" s="73" t="s">
        <v>79</v>
      </c>
      <c r="B31" s="81"/>
      <c r="C31" s="65"/>
      <c r="D31" s="65"/>
      <c r="E31" s="45"/>
      <c r="F31" s="65"/>
      <c r="G31" s="65"/>
      <c r="H31" s="65"/>
      <c r="I31" s="51"/>
    </row>
    <row r="32" spans="1:12" x14ac:dyDescent="0.25">
      <c r="A32" s="138"/>
      <c r="B32" s="138"/>
      <c r="C32" s="65"/>
      <c r="D32" s="65"/>
      <c r="E32" s="45"/>
      <c r="F32" s="65"/>
      <c r="G32" s="65"/>
      <c r="H32" s="65"/>
      <c r="I32" s="51"/>
    </row>
    <row r="33" spans="1:9" ht="21" x14ac:dyDescent="0.35">
      <c r="A33" s="139" t="s">
        <v>175</v>
      </c>
      <c r="B33" s="92"/>
      <c r="C33" s="65"/>
      <c r="D33" s="65"/>
      <c r="E33" s="45"/>
      <c r="F33" s="65"/>
      <c r="G33" s="65"/>
      <c r="H33" s="65"/>
      <c r="I33" s="51"/>
    </row>
    <row r="34" spans="1:9" s="76" customFormat="1" ht="30" x14ac:dyDescent="0.25">
      <c r="A34" s="75" t="s">
        <v>39</v>
      </c>
      <c r="B34" s="75" t="s">
        <v>47</v>
      </c>
      <c r="C34" s="75" t="s">
        <v>41</v>
      </c>
      <c r="D34" s="75" t="s">
        <v>42</v>
      </c>
      <c r="E34" s="75" t="s">
        <v>43</v>
      </c>
      <c r="F34" s="75" t="s">
        <v>18</v>
      </c>
      <c r="G34" s="75" t="s">
        <v>20</v>
      </c>
      <c r="H34" s="75" t="s">
        <v>45</v>
      </c>
      <c r="I34" s="75" t="s">
        <v>131</v>
      </c>
    </row>
    <row r="35" spans="1:9" x14ac:dyDescent="0.25">
      <c r="A35" s="63" t="s">
        <v>177</v>
      </c>
      <c r="B35" s="82"/>
      <c r="C35" s="83"/>
      <c r="D35" s="83"/>
      <c r="E35" s="82"/>
      <c r="F35" s="65" t="str">
        <f>IF(E35&gt;0,VLOOKUP(E35,Misc!$A$4:$E$11,5,FALSE), " ")</f>
        <v xml:space="preserve"> </v>
      </c>
      <c r="G35" s="65" t="str">
        <f>IF(E35&gt;0,VLOOKUP(E35,Misc!$A$4:$B$11,2,FALSE)," ")</f>
        <v xml:space="preserve"> </v>
      </c>
      <c r="H35" s="84"/>
      <c r="I35" s="72" t="str">
        <f>IF(H35&gt;0,VLOOKUP(E35,Misc!$A$2:$G$11,6,FALSE)*H35, " ")</f>
        <v xml:space="preserve"> </v>
      </c>
    </row>
    <row r="36" spans="1:9" x14ac:dyDescent="0.25">
      <c r="A36" s="63">
        <v>2</v>
      </c>
      <c r="B36" s="82"/>
      <c r="C36" s="83"/>
      <c r="D36" s="83"/>
      <c r="E36" s="82"/>
      <c r="F36" s="65" t="str">
        <f>IF(E36&gt;0,VLOOKUP(E36,Misc!$A$4:$E$11,5,FALSE), " ")</f>
        <v xml:space="preserve"> </v>
      </c>
      <c r="G36" s="65" t="str">
        <f>IF(E36&gt;0,LOOKUP(E36,Misc!$A$3:$A$11,Misc!$B$3:$B$11), " ")</f>
        <v xml:space="preserve"> </v>
      </c>
      <c r="H36" s="84"/>
      <c r="I36" s="72" t="str">
        <f>IF(H36&gt;0,VLOOKUP(E36,Misc!$A$2:$G$11,6,FALSE)*H36, " ")</f>
        <v xml:space="preserve"> </v>
      </c>
    </row>
    <row r="37" spans="1:9" x14ac:dyDescent="0.25">
      <c r="A37" s="63">
        <v>3</v>
      </c>
      <c r="B37" s="82"/>
      <c r="C37" s="83"/>
      <c r="D37" s="83"/>
      <c r="E37" s="82"/>
      <c r="F37" s="65" t="str">
        <f>IF(E37&gt;0,VLOOKUP(E37,Misc!$A$4:$E$11,5,FALSE), " ")</f>
        <v xml:space="preserve"> </v>
      </c>
      <c r="G37" s="65" t="str">
        <f>IF(E37&gt;0,LOOKUP(E37,Misc!$A$3:$A$11,Misc!$B$3:$B$11), " ")</f>
        <v xml:space="preserve"> </v>
      </c>
      <c r="H37" s="84"/>
      <c r="I37" s="72" t="str">
        <f>IF(H37&gt;0,VLOOKUP(E37,Misc!$A$2:$G$11,6,FALSE)*H37, " ")</f>
        <v xml:space="preserve"> </v>
      </c>
    </row>
    <row r="38" spans="1:9" x14ac:dyDescent="0.25">
      <c r="A38" s="63">
        <v>4</v>
      </c>
      <c r="B38" s="82"/>
      <c r="C38" s="83"/>
      <c r="D38" s="83"/>
      <c r="E38" s="82"/>
      <c r="F38" s="65" t="str">
        <f>IF(E38&gt;0,VLOOKUP(E38,Misc!$A$4:$E$11,5,FALSE), " ")</f>
        <v xml:space="preserve"> </v>
      </c>
      <c r="G38" s="65" t="str">
        <f>IF(E38&gt;0,LOOKUP(E38,Misc!$A$3:$A$11,Misc!$B$3:$B$11), " ")</f>
        <v xml:space="preserve"> </v>
      </c>
      <c r="H38" s="84"/>
      <c r="I38" s="72" t="str">
        <f>IF(H38&gt;0,VLOOKUP(E38,Misc!$A$2:$G$11,6,FALSE)*H38, " ")</f>
        <v xml:space="preserve"> </v>
      </c>
    </row>
    <row r="39" spans="1:9" x14ac:dyDescent="0.25">
      <c r="A39" s="63">
        <v>5</v>
      </c>
      <c r="B39" s="82"/>
      <c r="C39" s="83"/>
      <c r="D39" s="83"/>
      <c r="E39" s="82"/>
      <c r="F39" s="65" t="str">
        <f>IF(E39&gt;0,VLOOKUP(E39,Misc!$A$4:$E$11,5,FALSE), " ")</f>
        <v xml:space="preserve"> </v>
      </c>
      <c r="G39" s="65" t="str">
        <f>IF(E39&gt;0,LOOKUP(E39,Misc!$A$3:$A$11,Misc!$B$3:$B$11), " ")</f>
        <v xml:space="preserve"> </v>
      </c>
      <c r="H39" s="84"/>
      <c r="I39" s="72" t="str">
        <f>IF(H39&gt;0,VLOOKUP(E39,Misc!$A$2:$G$11,6,FALSE)*H39, " ")</f>
        <v xml:space="preserve"> </v>
      </c>
    </row>
    <row r="40" spans="1:9" x14ac:dyDescent="0.25">
      <c r="A40" s="63">
        <v>6</v>
      </c>
      <c r="B40" s="82"/>
      <c r="C40" s="83"/>
      <c r="D40" s="83"/>
      <c r="E40" s="82"/>
      <c r="F40" s="65" t="str">
        <f>IF(E40&gt;0,VLOOKUP(E40,Misc!$A$4:$E$11,5,FALSE), " ")</f>
        <v xml:space="preserve"> </v>
      </c>
      <c r="G40" s="65" t="str">
        <f>IF(E40&gt;0,LOOKUP(E40,Misc!$A$3:$A$11,Misc!$B$3:$B$11), " ")</f>
        <v xml:space="preserve"> </v>
      </c>
      <c r="H40" s="84"/>
      <c r="I40" s="72" t="str">
        <f>IF(H40&gt;0,VLOOKUP(E40,Misc!$A$2:$G$11,6,FALSE)*H40, " ")</f>
        <v xml:space="preserve"> </v>
      </c>
    </row>
    <row r="41" spans="1:9" x14ac:dyDescent="0.25">
      <c r="A41" s="63">
        <v>7</v>
      </c>
      <c r="B41" s="82"/>
      <c r="C41" s="83"/>
      <c r="D41" s="83"/>
      <c r="E41" s="82"/>
      <c r="F41" s="65" t="str">
        <f>IF(E41&gt;0,VLOOKUP(E41,Misc!$A$4:$E$11,5,FALSE), " ")</f>
        <v xml:space="preserve"> </v>
      </c>
      <c r="G41" s="65" t="str">
        <f>IF(E41&gt;0,LOOKUP(E41,Misc!$A$3:$A$11,Misc!$B$3:$B$11), " ")</f>
        <v xml:space="preserve"> </v>
      </c>
      <c r="H41" s="84"/>
      <c r="I41" s="72" t="str">
        <f>IF(H41&gt;0,VLOOKUP(E41,Misc!$A$2:$G$11,6,FALSE)*H41, " ")</f>
        <v xml:space="preserve"> </v>
      </c>
    </row>
    <row r="42" spans="1:9" x14ac:dyDescent="0.25">
      <c r="A42" s="63">
        <v>8</v>
      </c>
      <c r="B42" s="82"/>
      <c r="C42" s="83"/>
      <c r="D42" s="83"/>
      <c r="E42" s="82"/>
      <c r="F42" s="65" t="str">
        <f>IF(E42&gt;0,VLOOKUP(E42,Misc!$A$4:$E$11,5,FALSE), " ")</f>
        <v xml:space="preserve"> </v>
      </c>
      <c r="G42" s="65" t="str">
        <f>IF(E42&gt;0,LOOKUP(E42,Misc!$A$3:$A$11,Misc!$B$3:$B$11), " ")</f>
        <v xml:space="preserve"> </v>
      </c>
      <c r="H42" s="84"/>
      <c r="I42" s="72" t="str">
        <f>IF(H42&gt;0,VLOOKUP(E42,Misc!$A$2:$G$11,6,FALSE)*H42, " ")</f>
        <v xml:space="preserve"> </v>
      </c>
    </row>
    <row r="43" spans="1:9" x14ac:dyDescent="0.25">
      <c r="A43" s="63">
        <v>9</v>
      </c>
      <c r="B43" s="82"/>
      <c r="C43" s="83"/>
      <c r="D43" s="83"/>
      <c r="E43" s="82"/>
      <c r="F43" s="65" t="str">
        <f>IF(E43&gt;0,VLOOKUP(E43,Misc!$A$4:$E$11,5,FALSE), " ")</f>
        <v xml:space="preserve"> </v>
      </c>
      <c r="G43" s="65" t="str">
        <f>IF(E43&gt;0,LOOKUP(E43,Misc!$A$3:$A$11,Misc!$B$3:$B$11), " ")</f>
        <v xml:space="preserve"> </v>
      </c>
      <c r="H43" s="84"/>
      <c r="I43" s="72" t="str">
        <f>IF(H43&gt;0,VLOOKUP(E43,Misc!$A$2:$G$11,6,FALSE)*H43, " ")</f>
        <v xml:space="preserve"> </v>
      </c>
    </row>
    <row r="44" spans="1:9" x14ac:dyDescent="0.25">
      <c r="A44" s="63">
        <v>10</v>
      </c>
      <c r="B44" s="82"/>
      <c r="C44" s="83"/>
      <c r="D44" s="83"/>
      <c r="E44" s="82"/>
      <c r="F44" s="65" t="str">
        <f>IF(E44&gt;0,VLOOKUP(E44,Misc!$A$4:$E$11,5,FALSE), " ")</f>
        <v xml:space="preserve"> </v>
      </c>
      <c r="G44" s="65" t="str">
        <f>IF(E44&gt;0,LOOKUP(E44,Misc!$A$3:$A$11,Misc!$B$3:$B$11), " ")</f>
        <v xml:space="preserve"> </v>
      </c>
      <c r="H44" s="84"/>
      <c r="I44" s="72" t="str">
        <f>IF(H44&gt;0,VLOOKUP(E44,Misc!$A$2:$G$11,6,FALSE)*H44, " ")</f>
        <v xml:space="preserve"> </v>
      </c>
    </row>
    <row r="45" spans="1:9" x14ac:dyDescent="0.25">
      <c r="A45" s="63">
        <v>11</v>
      </c>
      <c r="B45" s="82"/>
      <c r="C45" s="83"/>
      <c r="D45" s="83"/>
      <c r="E45" s="82"/>
      <c r="F45" s="65" t="str">
        <f>IF(E45&gt;0,VLOOKUP(E45,Misc!$A$4:$E$11,5,FALSE), " ")</f>
        <v xml:space="preserve"> </v>
      </c>
      <c r="G45" s="65" t="str">
        <f>IF(E45&gt;0,LOOKUP(E45,Misc!$A$3:$A$11,Misc!$B$3:$B$11), " ")</f>
        <v xml:space="preserve"> </v>
      </c>
      <c r="H45" s="84"/>
      <c r="I45" s="72" t="str">
        <f>IF(H45&gt;0,VLOOKUP(E45,Misc!$A$2:$G$11,6,FALSE)*H45, " ")</f>
        <v xml:space="preserve"> </v>
      </c>
    </row>
    <row r="46" spans="1:9" x14ac:dyDescent="0.25">
      <c r="A46" s="63">
        <v>12</v>
      </c>
      <c r="B46" s="82"/>
      <c r="C46" s="83"/>
      <c r="D46" s="83"/>
      <c r="E46" s="82"/>
      <c r="F46" s="65" t="str">
        <f>IF(E46&gt;0,VLOOKUP(E46,Misc!$A$4:$E$11,5,FALSE), " ")</f>
        <v xml:space="preserve"> </v>
      </c>
      <c r="G46" s="65" t="str">
        <f>IF(E46&gt;0,LOOKUP(E46,Misc!$A$3:$A$11,Misc!$B$3:$B$11), " ")</f>
        <v xml:space="preserve"> </v>
      </c>
      <c r="H46" s="84"/>
      <c r="I46" s="72" t="str">
        <f>IF(H46&gt;0,VLOOKUP(E46,Misc!$A$2:$G$11,6,FALSE)*H46, " ")</f>
        <v xml:space="preserve"> </v>
      </c>
    </row>
    <row r="47" spans="1:9" s="146" customFormat="1" x14ac:dyDescent="0.25">
      <c r="A47" s="140"/>
      <c r="B47" s="141"/>
      <c r="C47" s="142"/>
      <c r="D47" s="142"/>
      <c r="E47" s="141"/>
      <c r="F47" s="143"/>
      <c r="G47" s="143"/>
      <c r="H47" s="144"/>
      <c r="I47" s="145"/>
    </row>
    <row r="48" spans="1:9" s="146" customFormat="1" ht="21" x14ac:dyDescent="0.35">
      <c r="A48" s="147" t="s">
        <v>178</v>
      </c>
      <c r="B48" s="141"/>
      <c r="C48" s="142"/>
      <c r="D48" s="142"/>
      <c r="E48" s="141"/>
      <c r="F48" s="143"/>
      <c r="G48" s="143"/>
      <c r="H48" s="144"/>
      <c r="I48" s="145"/>
    </row>
    <row r="49" spans="1:9" s="146" customFormat="1" ht="30" x14ac:dyDescent="0.25">
      <c r="A49" s="75" t="s">
        <v>39</v>
      </c>
      <c r="B49" s="75" t="s">
        <v>47</v>
      </c>
      <c r="C49" s="75" t="s">
        <v>41</v>
      </c>
      <c r="D49" s="75" t="s">
        <v>42</v>
      </c>
      <c r="E49" s="75" t="s">
        <v>43</v>
      </c>
      <c r="F49" s="75" t="s">
        <v>18</v>
      </c>
      <c r="G49" s="75" t="s">
        <v>20</v>
      </c>
      <c r="H49" s="75" t="s">
        <v>45</v>
      </c>
      <c r="I49" s="75" t="s">
        <v>131</v>
      </c>
    </row>
    <row r="50" spans="1:9" x14ac:dyDescent="0.25">
      <c r="A50" s="63" t="s">
        <v>176</v>
      </c>
      <c r="B50" s="82"/>
      <c r="C50" s="83"/>
      <c r="D50" s="83"/>
      <c r="E50" s="82"/>
      <c r="F50" s="65" t="str">
        <f>IF(E50&gt;0,VLOOKUP(E50,Misc!$A$4:$E$11,5,FALSE), " ")</f>
        <v xml:space="preserve"> </v>
      </c>
      <c r="G50" s="65" t="str">
        <f>IF(E50&gt;0,LOOKUP(E50,Misc!$A$3:$A$11,Misc!$B$3:$B$11), " ")</f>
        <v xml:space="preserve"> </v>
      </c>
      <c r="H50" s="84"/>
      <c r="I50" s="72" t="str">
        <f>IF(H50&gt;0,VLOOKUP(E50,Misc!$A$2:$G$11,6,FALSE)*H50, " ")</f>
        <v xml:space="preserve"> </v>
      </c>
    </row>
    <row r="51" spans="1:9" x14ac:dyDescent="0.25">
      <c r="A51" s="63">
        <v>2</v>
      </c>
      <c r="B51" s="82"/>
      <c r="C51" s="83"/>
      <c r="D51" s="83"/>
      <c r="E51" s="82"/>
      <c r="F51" s="65" t="str">
        <f>IF(E51&gt;0,VLOOKUP(E51,Misc!$A$4:$E$11,5,FALSE), " ")</f>
        <v xml:space="preserve"> </v>
      </c>
      <c r="G51" s="65" t="str">
        <f>IF(E51&gt;0,LOOKUP(E51,Misc!$A$3:$A$11,Misc!$B$3:$B$11), " ")</f>
        <v xml:space="preserve"> </v>
      </c>
      <c r="H51" s="84"/>
      <c r="I51" s="72" t="str">
        <f>IF(H51&gt;0,VLOOKUP(E51,Misc!$A$2:$G$11,6,FALSE)*H51, " ")</f>
        <v xml:space="preserve"> </v>
      </c>
    </row>
    <row r="52" spans="1:9" x14ac:dyDescent="0.25">
      <c r="A52" s="63">
        <v>3</v>
      </c>
      <c r="B52" s="82"/>
      <c r="C52" s="83"/>
      <c r="D52" s="83"/>
      <c r="E52" s="82"/>
      <c r="F52" s="65" t="str">
        <f>IF(E52&gt;0,VLOOKUP(E52,Misc!$A$4:$E$11,5,FALSE), " ")</f>
        <v xml:space="preserve"> </v>
      </c>
      <c r="G52" s="65" t="str">
        <f>IF(E52&gt;0,LOOKUP(E52,Misc!$A$3:$A$11,Misc!$B$3:$B$11), " ")</f>
        <v xml:space="preserve"> </v>
      </c>
      <c r="H52" s="84"/>
      <c r="I52" s="72" t="str">
        <f>IF(H52&gt;0,VLOOKUP(E52,Misc!$A$2:$G$11,6,FALSE)*H52, " ")</f>
        <v xml:space="preserve"> </v>
      </c>
    </row>
    <row r="53" spans="1:9" x14ac:dyDescent="0.25">
      <c r="A53" s="63">
        <v>4</v>
      </c>
      <c r="B53" s="82"/>
      <c r="C53" s="83"/>
      <c r="D53" s="83"/>
      <c r="E53" s="82"/>
      <c r="F53" s="65" t="str">
        <f>IF(E53&gt;0,VLOOKUP(E53,Misc!$A$4:$E$11,5,FALSE), " ")</f>
        <v xml:space="preserve"> </v>
      </c>
      <c r="G53" s="65" t="str">
        <f>IF(E53&gt;0,LOOKUP(E53,Misc!$A$3:$A$11,Misc!$B$3:$B$11), " ")</f>
        <v xml:space="preserve"> </v>
      </c>
      <c r="H53" s="84"/>
      <c r="I53" s="72" t="str">
        <f>IF(H53&gt;0,VLOOKUP(E53,Misc!$A$2:$G$11,6,FALSE)*H53, " ")</f>
        <v xml:space="preserve"> </v>
      </c>
    </row>
    <row r="54" spans="1:9" x14ac:dyDescent="0.25">
      <c r="A54" s="63">
        <v>5</v>
      </c>
      <c r="B54" s="82"/>
      <c r="C54" s="83"/>
      <c r="D54" s="83"/>
      <c r="E54" s="82"/>
      <c r="F54" s="65" t="str">
        <f>IF(E54&gt;0,VLOOKUP(E54,Misc!$A$4:$E$11,5,FALSE), " ")</f>
        <v xml:space="preserve"> </v>
      </c>
      <c r="G54" s="65" t="str">
        <f>IF(E54&gt;0,LOOKUP(E54,Misc!$A$3:$A$11,Misc!$B$3:$B$11), " ")</f>
        <v xml:space="preserve"> </v>
      </c>
      <c r="H54" s="84"/>
      <c r="I54" s="72" t="str">
        <f>IF(H54&gt;0,VLOOKUP(E54,Misc!$A$2:$G$11,6,FALSE)*H54, " ")</f>
        <v xml:space="preserve"> </v>
      </c>
    </row>
    <row r="55" spans="1:9" x14ac:dyDescent="0.25">
      <c r="A55" s="63">
        <v>6</v>
      </c>
      <c r="B55" s="82"/>
      <c r="C55" s="83"/>
      <c r="D55" s="83"/>
      <c r="E55" s="82"/>
      <c r="F55" s="65" t="str">
        <f>IF(E55&gt;0,VLOOKUP(E55,Misc!$A$4:$E$11,5,FALSE), " ")</f>
        <v xml:space="preserve"> </v>
      </c>
      <c r="G55" s="65" t="str">
        <f>IF(E55&gt;0,LOOKUP(E55,Misc!$A$3:$A$11,Misc!$B$3:$B$11), " ")</f>
        <v xml:space="preserve"> </v>
      </c>
      <c r="H55" s="84"/>
      <c r="I55" s="72" t="str">
        <f>IF(H55&gt;0,VLOOKUP(E55,Misc!$A$2:$G$11,6,FALSE)*H55, " ")</f>
        <v xml:space="preserve"> </v>
      </c>
    </row>
    <row r="56" spans="1:9" x14ac:dyDescent="0.25">
      <c r="A56" s="63">
        <v>7</v>
      </c>
      <c r="B56" s="82"/>
      <c r="C56" s="83"/>
      <c r="D56" s="83"/>
      <c r="E56" s="82"/>
      <c r="F56" s="65" t="str">
        <f>IF(E56&gt;0,VLOOKUP(E56,Misc!$A$4:$E$11,5,FALSE), " ")</f>
        <v xml:space="preserve"> </v>
      </c>
      <c r="G56" s="65" t="str">
        <f>IF(E56&gt;0,LOOKUP(E56,Misc!$A$3:$A$11,Misc!$B$3:$B$11), " ")</f>
        <v xml:space="preserve"> </v>
      </c>
      <c r="H56" s="84"/>
      <c r="I56" s="72" t="str">
        <f>IF(H56&gt;0,VLOOKUP(E56,Misc!$A$2:$G$11,6,FALSE)*H56, " ")</f>
        <v xml:space="preserve"> </v>
      </c>
    </row>
    <row r="57" spans="1:9" x14ac:dyDescent="0.25">
      <c r="A57" s="63">
        <v>8</v>
      </c>
      <c r="B57" s="82"/>
      <c r="C57" s="83"/>
      <c r="D57" s="83"/>
      <c r="E57" s="82"/>
      <c r="F57" s="65" t="str">
        <f>IF(E57&gt;0,VLOOKUP(E57,Misc!$A$4:$E$11,5,FALSE), " ")</f>
        <v xml:space="preserve"> </v>
      </c>
      <c r="G57" s="65" t="str">
        <f>IF(E57&gt;0,LOOKUP(E57,Misc!$A$3:$A$11,Misc!$B$3:$B$11), " ")</f>
        <v xml:space="preserve"> </v>
      </c>
      <c r="H57" s="84"/>
      <c r="I57" s="72" t="str">
        <f>IF(H57&gt;0,VLOOKUP(E57,Misc!$A$2:$G$11,6,FALSE)*H57, " ")</f>
        <v xml:space="preserve"> </v>
      </c>
    </row>
    <row r="58" spans="1:9" x14ac:dyDescent="0.25">
      <c r="A58" s="63">
        <v>9</v>
      </c>
      <c r="B58" s="82"/>
      <c r="C58" s="83"/>
      <c r="D58" s="83"/>
      <c r="E58" s="82"/>
      <c r="F58" s="65" t="str">
        <f>IF(E58&gt;0,VLOOKUP(E58,Misc!$A$4:$E$11,5,FALSE), " ")</f>
        <v xml:space="preserve"> </v>
      </c>
      <c r="G58" s="65" t="str">
        <f>IF(E58&gt;0,LOOKUP(E58,Misc!$A$3:$A$11,Misc!$B$3:$B$11), " ")</f>
        <v xml:space="preserve"> </v>
      </c>
      <c r="H58" s="84"/>
      <c r="I58" s="72" t="str">
        <f>IF(H58&gt;0,VLOOKUP(E58,Misc!$A$2:$G$11,6,FALSE)*H58, " ")</f>
        <v xml:space="preserve"> </v>
      </c>
    </row>
    <row r="59" spans="1:9" x14ac:dyDescent="0.25">
      <c r="A59" s="63">
        <v>10</v>
      </c>
      <c r="B59" s="82"/>
      <c r="C59" s="83"/>
      <c r="D59" s="83"/>
      <c r="E59" s="82"/>
      <c r="F59" s="65" t="str">
        <f>IF(E59&gt;0,VLOOKUP(E59,Misc!$A$4:$E$11,5,FALSE), " ")</f>
        <v xml:space="preserve"> </v>
      </c>
      <c r="G59" s="65" t="str">
        <f>IF(E59&gt;0,LOOKUP(E59,Misc!$A$3:$A$11,Misc!$B$3:$B$11), " ")</f>
        <v xml:space="preserve"> </v>
      </c>
      <c r="H59" s="84"/>
      <c r="I59" s="72" t="str">
        <f>IF(H59&gt;0,VLOOKUP(E59,Misc!$A$2:$G$11,6,FALSE)*H59, " ")</f>
        <v xml:space="preserve"> </v>
      </c>
    </row>
    <row r="60" spans="1:9" x14ac:dyDescent="0.25">
      <c r="A60" s="63">
        <v>11</v>
      </c>
      <c r="B60" s="82"/>
      <c r="C60" s="83"/>
      <c r="D60" s="83"/>
      <c r="E60" s="82"/>
      <c r="F60" s="65" t="str">
        <f>IF(E60&gt;0,VLOOKUP(E60,Misc!$A$4:$E$11,5,FALSE), " ")</f>
        <v xml:space="preserve"> </v>
      </c>
      <c r="G60" s="65" t="str">
        <f>IF(E60&gt;0,LOOKUP(E60,Misc!$A$3:$A$11,Misc!$B$3:$B$11), " ")</f>
        <v xml:space="preserve"> </v>
      </c>
      <c r="H60" s="84"/>
      <c r="I60" s="72" t="str">
        <f>IF(H60&gt;0,VLOOKUP(E60,Misc!$A$2:$G$11,6,FALSE)*H60, " ")</f>
        <v xml:space="preserve"> </v>
      </c>
    </row>
    <row r="61" spans="1:9" x14ac:dyDescent="0.25">
      <c r="A61" s="63">
        <v>12</v>
      </c>
      <c r="B61" s="82"/>
      <c r="C61" s="83"/>
      <c r="D61" s="83"/>
      <c r="E61" s="82"/>
      <c r="F61" s="65" t="str">
        <f>IF(E61&gt;0,VLOOKUP(E61,Misc!$A$4:$E$11,5,FALSE), " ")</f>
        <v xml:space="preserve"> </v>
      </c>
      <c r="G61" s="65" t="str">
        <f>IF(E61&gt;0,LOOKUP(E61,Misc!$A$3:$A$11,Misc!$B$3:$B$11), " ")</f>
        <v xml:space="preserve"> </v>
      </c>
      <c r="H61" s="84"/>
      <c r="I61" s="72" t="str">
        <f>IF(H61&gt;0,VLOOKUP(E61,Misc!$A$2:$G$11,6,FALSE)*H61, " ")</f>
        <v xml:space="preserve"> </v>
      </c>
    </row>
    <row r="62" spans="1:9" x14ac:dyDescent="0.25">
      <c r="A62" s="63"/>
      <c r="B62" s="45"/>
      <c r="C62" s="65"/>
      <c r="D62" s="65"/>
      <c r="E62" s="45"/>
      <c r="F62" s="65"/>
      <c r="G62" s="65"/>
      <c r="H62" s="65"/>
      <c r="I62" s="51"/>
    </row>
    <row r="63" spans="1:9" x14ac:dyDescent="0.25">
      <c r="A63" s="77"/>
      <c r="B63" s="57"/>
      <c r="C63" s="78"/>
      <c r="D63" s="78"/>
      <c r="E63" s="57"/>
      <c r="F63" s="78"/>
      <c r="G63" s="78"/>
      <c r="H63" s="78"/>
      <c r="I63" s="58"/>
    </row>
    <row r="64" spans="1:9" ht="17.25" x14ac:dyDescent="0.3">
      <c r="G64" s="80" t="s">
        <v>133</v>
      </c>
    </row>
  </sheetData>
  <sheetProtection password="AD9B" sheet="1" objects="1" scenarios="1"/>
  <mergeCells count="5">
    <mergeCell ref="A8:I8"/>
    <mergeCell ref="C2:F3"/>
    <mergeCell ref="A5:I5"/>
    <mergeCell ref="A6:I6"/>
    <mergeCell ref="A7:I7"/>
  </mergeCells>
  <hyperlinks>
    <hyperlink ref="G64" location="'Compliance path'!A1" display="Back to Compliance path tab "/>
    <hyperlink ref="A25" location="'Climate Zone'!A1" display="Climate zone "/>
  </hyperlinks>
  <pageMargins left="0.7" right="0.7" top="0.75" bottom="0.75" header="0.3" footer="0.3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Misc!$B$24:$B$30</xm:f>
          </x14:formula1>
          <xm:sqref>B25</xm:sqref>
        </x14:dataValidation>
        <x14:dataValidation type="list" allowBlank="1" showInputMessage="1" showErrorMessage="1">
          <x14:formula1>
            <xm:f>Misc!$A$3:$A$11</xm:f>
          </x14:formula1>
          <xm:sqref>E35:E48 E50:E61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Tool Navigation </vt:lpstr>
      <vt:lpstr>Tool</vt:lpstr>
      <vt:lpstr>Compliance Path &amp; Change Log</vt:lpstr>
      <vt:lpstr>Compliance Route 1 (Offices)</vt:lpstr>
      <vt:lpstr>Building Zone Breakdown</vt:lpstr>
      <vt:lpstr>Compliance Route 2 (SANS Bench)</vt:lpstr>
      <vt:lpstr>Climate Zone</vt:lpstr>
      <vt:lpstr>Compliance Route 3 (Comparable)</vt:lpstr>
      <vt:lpstr>Compliance Route 4 (Historical)</vt:lpstr>
      <vt:lpstr>Results</vt:lpstr>
      <vt:lpstr>Misc</vt:lpstr>
      <vt:lpstr>'Compliance Route 3 (Comparable)'!Print_Area</vt:lpstr>
      <vt:lpstr>'Compliance Route 4 (Historical)'!Print_Area</vt:lpstr>
      <vt:lpstr>'Compliance Route 3 (Comparable)'!Print_Titles</vt:lpstr>
      <vt:lpstr>'Compliance Route 4 (Historical)'!Print_Titles</vt:lpstr>
    </vt:vector>
  </TitlesOfParts>
  <Company>SSI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MartinLZ</dc:creator>
  <cp:lastModifiedBy>Francois Retief</cp:lastModifiedBy>
  <cp:lastPrinted>2013-08-26T08:40:45Z</cp:lastPrinted>
  <dcterms:created xsi:type="dcterms:W3CDTF">2013-08-13T10:09:55Z</dcterms:created>
  <dcterms:modified xsi:type="dcterms:W3CDTF">2014-11-03T07:55:31Z</dcterms:modified>
</cp:coreProperties>
</file>