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ctrlProps/ctrlProp9.xml" ContentType="application/vnd.ms-excel.controlproperties+xml"/>
  <Override PartName="/xl/comments2.xml" ContentType="application/vnd.openxmlformats-officedocument.spreadsheetml.comments+xml"/>
  <Override PartName="/xl/drawings/drawing11.xml" ContentType="application/vnd.openxmlformats-officedocument.drawing+xml"/>
  <Override PartName="/xl/ctrlProps/ctrlProp10.xml" ContentType="application/vnd.ms-excel.controlproperties+xml"/>
  <Override PartName="/xl/comments3.xml" ContentType="application/vnd.openxmlformats-officedocument.spreadsheetml.comments+xml"/>
  <Override PartName="/xl/drawings/drawing12.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5.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6.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drawings/drawing16.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7.xml" ContentType="application/vnd.openxmlformats-officedocument.spreadsheetml.comments+xml"/>
  <Override PartName="/xl/drawings/drawing1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8.xml" ContentType="application/vnd.openxmlformats-officedocument.drawing+xml"/>
  <Override PartName="/xl/ctrlProps/ctrlProp121.xml" ContentType="application/vnd.ms-excel.controlproperties+xml"/>
  <Override PartName="/xl/comments9.xml" ContentType="application/vnd.openxmlformats-officedocument.spreadsheetml.comments+xml"/>
  <Override PartName="/xl/drawings/drawing19.xml" ContentType="application/vnd.openxmlformats-officedocument.drawing+xml"/>
  <Override PartName="/xl/activeX/activeX1.xml" ContentType="application/vnd.ms-office.activeX+xml"/>
  <Override PartName="/xl/activeX/activeX1.bin" ContentType="application/vnd.ms-office.activeX"/>
  <Override PartName="/xl/ctrlProps/ctrlProp122.xml" ContentType="application/vnd.ms-excel.controlproperties+xml"/>
  <Override PartName="/xl/ctrlProps/ctrlProp123.xml" ContentType="application/vnd.ms-excel.controlproperties+xml"/>
  <Override PartName="/xl/comments10.xml" ContentType="application/vnd.openxmlformats-officedocument.spreadsheetml.comments+xml"/>
  <Override PartName="/xl/drawings/drawing20.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omments11.xml" ContentType="application/vnd.openxmlformats-officedocument.spreadsheetml.comments+xml"/>
  <Override PartName="/xl/drawings/drawing21.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omments12.xml" ContentType="application/vnd.openxmlformats-officedocument.spreadsheetml.comments+xml"/>
  <Override PartName="/xl/drawings/drawing22.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3.xml" ContentType="application/vnd.openxmlformats-officedocument.drawing+xml"/>
  <Override PartName="/xl/ctrlProps/ctrlProp132.xml" ContentType="application/vnd.ms-excel.controlproperties+xml"/>
  <Override PartName="/xl/drawings/drawing2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25.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AD9B" lockStructure="1"/>
  <bookViews>
    <workbookView xWindow="375" yWindow="-180" windowWidth="15480" windowHeight="8025" tabRatio="898" firstSheet="6" activeTab="15"/>
  </bookViews>
  <sheets>
    <sheet name="Green Star SA" sheetId="60" r:id="rId1"/>
    <sheet name="Introduction" sheetId="61" r:id="rId2"/>
    <sheet name="How to Use" sheetId="62" r:id="rId3"/>
    <sheet name="Disclaimer" sheetId="63" r:id="rId4"/>
    <sheet name="Change Log" sheetId="85" r:id="rId5"/>
    <sheet name="R1 Pre-Submission Checklist" sheetId="86" r:id="rId6"/>
    <sheet name="R2 Pre-Submission Checklist" sheetId="87" r:id="rId7"/>
    <sheet name="Applicant Declaration" sheetId="88" r:id="rId8"/>
    <sheet name="Building Input" sheetId="56" r:id="rId9"/>
    <sheet name="Management" sheetId="40" r:id="rId10"/>
    <sheet name="IEQ" sheetId="25" r:id="rId11"/>
    <sheet name="Energy" sheetId="47" r:id="rId12"/>
    <sheet name="Energy Calculator" sheetId="81" r:id="rId13"/>
    <sheet name="Transport" sheetId="50" r:id="rId14"/>
    <sheet name="Transport Calculator" sheetId="68" r:id="rId15"/>
    <sheet name="Water" sheetId="51" r:id="rId16"/>
    <sheet name="Potable Water Calculator" sheetId="76" r:id="rId17"/>
    <sheet name="Materials" sheetId="42" r:id="rId18"/>
    <sheet name="Land Use &amp; Ecology" sheetId="65" r:id="rId19"/>
    <sheet name="Ecology Calculator" sheetId="83" r:id="rId20"/>
    <sheet name="Emissions" sheetId="23" r:id="rId21"/>
    <sheet name="Sewage Calculator" sheetId="78" r:id="rId22"/>
    <sheet name="Innovation" sheetId="41" r:id="rId23"/>
    <sheet name="Credit Summary" sheetId="66" r:id="rId24"/>
    <sheet name="Graphical Summary" sheetId="48" r:id="rId25"/>
    <sheet name="Calculation" sheetId="64" state="hidden" r:id="rId26"/>
    <sheet name="Rainfall data" sheetId="84" state="hidden" r:id="rId27"/>
  </sheets>
  <externalReferences>
    <externalReference r:id="rId28"/>
    <externalReference r:id="rId29"/>
    <externalReference r:id="rId30"/>
    <externalReference r:id="rId31"/>
    <externalReference r:id="rId32"/>
    <externalReference r:id="rId33"/>
  </externalReferences>
  <definedNames>
    <definedName name="Albany_Alluvial_Vegetation" localSheetId="7">#REF!</definedName>
    <definedName name="Albany_Alluvial_Vegetation" localSheetId="19">'Ecology Calculator'!$B$67</definedName>
    <definedName name="Albany_Alluvial_Vegetation" localSheetId="5">#REF!</definedName>
    <definedName name="Albany_Alluvial_Vegetation" localSheetId="6">#REF!</definedName>
    <definedName name="Albany_Alluvial_Vegetation">#REF!</definedName>
    <definedName name="Albany_Thicket_Strandveld" localSheetId="7">#REF!</definedName>
    <definedName name="Albany_Thicket_Strandveld" localSheetId="19">'Ecology Calculator'!$B$69:$B$76</definedName>
    <definedName name="Albany_Thicket_Strandveld" localSheetId="5">#REF!</definedName>
    <definedName name="Albany_Thicket_Strandveld" localSheetId="6">#REF!</definedName>
    <definedName name="Albany_Thicket_Strandveld">#REF!</definedName>
    <definedName name="Albany_Thickets" localSheetId="7">#REF!</definedName>
    <definedName name="Albany_Thickets" localSheetId="19">'Ecology Calculator'!$B$51:$B$64</definedName>
    <definedName name="Albany_Thickets" localSheetId="5">#REF!</definedName>
    <definedName name="Albany_Thickets" localSheetId="6">#REF!</definedName>
    <definedName name="Albany_Thickets">#REF!</definedName>
    <definedName name="Albany_Thickets_Alluvial_Vegetation" localSheetId="7">#REF!</definedName>
    <definedName name="Albany_Thickets_Alluvial_Vegetation" localSheetId="19">'Ecology Calculator'!$B$66:$B$67</definedName>
    <definedName name="Albany_Thickets_Alluvial_Vegetation" localSheetId="5">#REF!</definedName>
    <definedName name="Albany_Thickets_Alluvial_Vegetation" localSheetId="6">#REF!</definedName>
    <definedName name="Albany_Thickets_Alluvial_Vegetation">#REF!</definedName>
    <definedName name="Albany_Thickets_Strandveld" localSheetId="7">#REF!</definedName>
    <definedName name="Albany_Thickets_Strandveld" localSheetId="19">'Ecology Calculator'!$B$69:$B$73</definedName>
    <definedName name="Albany_Thickets_Strandveld" localSheetId="5">#REF!</definedName>
    <definedName name="Albany_Thickets_Strandveld" localSheetId="6">#REF!</definedName>
    <definedName name="Albany_Thickets_Strandveld">#REF!</definedName>
    <definedName name="AlbanyThickets" localSheetId="7">#REF!</definedName>
    <definedName name="AlbanyThickets" localSheetId="19">'Ecology Calculator'!$B$51:$B$64</definedName>
    <definedName name="AlbanyThickets" localSheetId="5">#REF!</definedName>
    <definedName name="AlbanyThickets" localSheetId="6">#REF!</definedName>
    <definedName name="AlbanyThickets">#REF!</definedName>
    <definedName name="Bioregion" localSheetId="7">#REF!</definedName>
    <definedName name="Bioregion" localSheetId="19">'Ecology Calculator'!$N$50:$N$101</definedName>
    <definedName name="Bioregion" localSheetId="5">#REF!</definedName>
    <definedName name="Bioregion" localSheetId="6">#REF!</definedName>
    <definedName name="Bioregion">#REF!</definedName>
    <definedName name="Bushmanland_and_West_Griqualand" localSheetId="7">#REF!</definedName>
    <definedName name="Bushmanland_and_West_Griqualand" localSheetId="19">'Ecology Calculator'!$B$342:$B$348</definedName>
    <definedName name="Bushmanland_and_West_Griqualand" localSheetId="5">#REF!</definedName>
    <definedName name="Bushmanland_and_West_Griqualand" localSheetId="6">#REF!</definedName>
    <definedName name="Bushmanland_and_West_Griqualand">#REF!</definedName>
    <definedName name="Bushmanland_West_Griqualand" localSheetId="7">#REF!</definedName>
    <definedName name="Bushmanland_West_Griqualand" localSheetId="19">'Ecology Calculator'!$B$342:$B$348</definedName>
    <definedName name="Bushmanland_West_Griqualand" localSheetId="5">#REF!</definedName>
    <definedName name="Bushmanland_West_Griqualand" localSheetId="6">#REF!</definedName>
    <definedName name="Bushmanland_West_Griqualand">#REF!</definedName>
    <definedName name="Central_Bushveld" localSheetId="7">#REF!</definedName>
    <definedName name="Central_Bushveld" localSheetId="19">'Ecology Calculator'!$B$367:$B$379</definedName>
    <definedName name="Central_Bushveld" localSheetId="5">#REF!</definedName>
    <definedName name="Central_Bushveld" localSheetId="6">#REF!</definedName>
    <definedName name="Central_Bushveld">#REF!</definedName>
    <definedName name="Central_Succulent_Karoo" localSheetId="7">#REF!</definedName>
    <definedName name="Central_Succulent_Karoo" localSheetId="19">'Ecology Calculator'!$B$461:$B$468</definedName>
    <definedName name="Central_Succulent_Karoo" localSheetId="5">#REF!</definedName>
    <definedName name="Central_Succulent_Karoo" localSheetId="6">#REF!</definedName>
    <definedName name="Central_Succulent_Karoo">#REF!</definedName>
    <definedName name="cities" localSheetId="26">'Rainfall data'!$B$4:$B$33</definedName>
    <definedName name="cities">'Rainfall data'!$B$2:$B$33</definedName>
    <definedName name="cities_list" localSheetId="4">cities</definedName>
    <definedName name="cities_list" localSheetId="5">[0]!cities</definedName>
    <definedName name="cities_list" localSheetId="26">'Rainfall data'!cities</definedName>
    <definedName name="cities_list">cities</definedName>
    <definedName name="cities_rainfall">'Rainfall data'!$B$3:$B$33</definedName>
    <definedName name="Coastal_Grassland" localSheetId="7">#REF!</definedName>
    <definedName name="Coastal_Grassland" localSheetId="19">'Ecology Calculator'!$B$250:$B$255</definedName>
    <definedName name="Coastal_Grassland" localSheetId="5">#REF!</definedName>
    <definedName name="Coastal_Grassland" localSheetId="6">#REF!</definedName>
    <definedName name="Coastal_Grassland">#REF!</definedName>
    <definedName name="Current" localSheetId="7">INDIRECT(SUBSTITUTE(#REF!," ","_"))</definedName>
    <definedName name="Current" localSheetId="19">INDIRECT(SUBSTITUTE('Ecology Calculator'!$L$8," ","_"))</definedName>
    <definedName name="Current" localSheetId="5">INDIRECT(SUBSTITUTE(#REF!," ","_"))</definedName>
    <definedName name="Current" localSheetId="6">INDIRECT(SUBSTITUTE(#REF!," ","_"))</definedName>
    <definedName name="Current">INDIRECT(SUBSTITUTE(#REF!," ","_"))</definedName>
    <definedName name="Desert_Alluvial_Vegetation" localSheetId="7">#REF!</definedName>
    <definedName name="Desert_Alluvial_Vegetation" localSheetId="19">'Ecology Calculator'!$B$75:$B$76</definedName>
    <definedName name="Desert_Alluvial_Vegetation" localSheetId="5">#REF!</definedName>
    <definedName name="Desert_Alluvial_Vegetation" localSheetId="6">#REF!</definedName>
    <definedName name="Desert_Alluvial_Vegetation">#REF!</definedName>
    <definedName name="Drakensburg_Grassland" localSheetId="7">#REF!</definedName>
    <definedName name="Drakensburg_Grassland" localSheetId="19">'Ecology Calculator'!$B$257:$B$273</definedName>
    <definedName name="Drakensburg_Grassland" localSheetId="5">#REF!</definedName>
    <definedName name="Drakensburg_Grassland" localSheetId="6">#REF!</definedName>
    <definedName name="Drakensburg_Grassland">#REF!</definedName>
    <definedName name="Eastern_Gariep" localSheetId="7">#REF!</definedName>
    <definedName name="Eastern_Gariep" localSheetId="19">'Ecology Calculator'!$B$78:$B$90</definedName>
    <definedName name="Eastern_Gariep" localSheetId="5">#REF!</definedName>
    <definedName name="Eastern_Gariep" localSheetId="6">#REF!</definedName>
    <definedName name="Eastern_Gariep">#REF!</definedName>
    <definedName name="energy_calc">'[1]Building Input'!$C$5:$C$9,'[1]Building Input'!$C$12:$C$13,'[1]Building Input'!$C$15,'[1]Building Input'!$C$16:$C$28,'[1]Building Input'!$C$30:$C$36,'[1]Building Input'!$C$39,'[1]Building Input'!$C$41,'[1]Building Input'!$C$43:$C$44</definedName>
    <definedName name="Estuarine_Salt_Marshes" localSheetId="7">#REF!</definedName>
    <definedName name="Estuarine_Salt_Marshes" localSheetId="19">'Ecology Calculator'!$B$543:$B$546</definedName>
    <definedName name="Estuarine_Salt_Marshes" localSheetId="5">#REF!</definedName>
    <definedName name="Estuarine_Salt_Marshes" localSheetId="6">#REF!</definedName>
    <definedName name="Estuarine_Salt_Marshes">#REF!</definedName>
    <definedName name="Fields" localSheetId="19">'[2]Building Input'!$C$7:$C$11,'[2]Building Input'!$C$14:$C$15,'[2]Building Input'!$C$17,'[2]Building Input'!$C$19:$C$28,'[2]Building Input'!$C$30:$C$32,'[2]Building Input'!$C$34,'[2]Building Input'!$C$36,'[2]Building Input'!$C$38:$C$39</definedName>
    <definedName name="Fields" localSheetId="12">'[3]Building Input'!$C$8:$C$12,'[3]Building Input'!$C$15:$C$16,'[3]Building Input'!$C$18,'[3]Building Input'!$C$19:$C$28,'[3]Building Input'!$C$30:$C$32,'[3]Building Input'!$C$35,'[3]Building Input'!$C$37,'[3]Building Input'!$C$39:$C$40</definedName>
    <definedName name="Fields" localSheetId="16">'[4]Building Input'!$C$8:$C$12,'[4]Building Input'!$C$15:$C$16,'[4]Building Input'!$C$18,'[4]Building Input'!$C$19:$C$28,'[4]Building Input'!$C$30:$C$32,'[4]Building Input'!$C$35,'[4]Building Input'!$C$37,'[4]Building Input'!$C$39:$C$40</definedName>
    <definedName name="Fields" localSheetId="26">#REF!,#REF!,#REF!,#REF!,#REF!,#REF!,#REF!,#REF!</definedName>
    <definedName name="Fields" localSheetId="21">'[5]Building Input'!$C$7:$C$11,'[5]Building Input'!$C$14:$C$15,'[5]Building Input'!$C$17,'[5]Building Input'!$C$19:$C$28,'[5]Building Input'!$C$30:$C$32,'[5]Building Input'!$C$34,'[5]Building Input'!$C$36,'[5]Building Input'!$C$38:$C$39</definedName>
    <definedName name="Fields" localSheetId="14">'[2]Building Input'!$C$7:$C$11,'[2]Building Input'!$C$14:$C$15,'[2]Building Input'!$C$17,'[2]Building Input'!$C$19:$C$28,'[2]Building Input'!$C$30:$C$32,'[2]Building Input'!$C$34,'[2]Building Input'!$C$36,'[2]Building Input'!$C$38:$C$39</definedName>
    <definedName name="Fields">'Building Input'!$C$5:$C$9,'Building Input'!$C$12:$C$13,'Building Input'!$C$15,'Building Input'!$C$16:$C$28,'Building Input'!$C$30:$C$36,'Building Input'!$C$39,'Building Input'!$C$41,'Building Input'!$C$43:$C$48</definedName>
    <definedName name="fields2">'[6]Building Input'!$C$7:$C$11,'[6]Building Input'!$C$14:$C$15,'[6]Building Input'!$C$17,'[6]Building Input'!$C$19:$C$28,'[6]Building Input'!$C$35:$C$37,'[6]Building Input'!$C$39,'[6]Building Input'!$C$41,'[6]Building Input'!$C$43:$C$44</definedName>
    <definedName name="Freshwater_Wetlands" localSheetId="7">#REF!</definedName>
    <definedName name="Freshwater_Wetlands" localSheetId="19">'Ecology Calculator'!$B$548:$B$554</definedName>
    <definedName name="Freshwater_Wetlands" localSheetId="5">#REF!</definedName>
    <definedName name="Freshwater_Wetlands" localSheetId="6">#REF!</definedName>
    <definedName name="Freshwater_Wetlands">#REF!</definedName>
    <definedName name="fuel" localSheetId="7">#REF!</definedName>
    <definedName name="fuel" localSheetId="12">'Energy Calculator'!$K$16:$L$32</definedName>
    <definedName name="fuel" localSheetId="5">#REF!</definedName>
    <definedName name="fuel" localSheetId="6">#REF!</definedName>
    <definedName name="fuel">#REF!</definedName>
    <definedName name="fuels" localSheetId="7">#REF!</definedName>
    <definedName name="fuels" localSheetId="12">'Energy Calculator'!$K$16:$K$32</definedName>
    <definedName name="fuels" localSheetId="5">#REF!</definedName>
    <definedName name="fuels" localSheetId="6">#REF!</definedName>
    <definedName name="fuels">#REF!</definedName>
    <definedName name="fueltype" localSheetId="26">#REF!</definedName>
    <definedName name="fueltype">'Energy Calculator'!$O$16:$P$27</definedName>
    <definedName name="Fynbos_Alluvial_Vegetation" localSheetId="7">#REF!</definedName>
    <definedName name="Fynbos_Alluvial_Vegetation" localSheetId="19">'Ecology Calculator'!$B$116:$B$117</definedName>
    <definedName name="Fynbos_Alluvial_Vegetation" localSheetId="5">#REF!</definedName>
    <definedName name="Fynbos_Alluvial_Vegetation" localSheetId="6">#REF!</definedName>
    <definedName name="Fynbos_Alluvial_Vegetation">#REF!</definedName>
    <definedName name="Fynbos_Kamiesberg_Centre" localSheetId="7">#REF!</definedName>
    <definedName name="Fynbos_Kamiesberg_Centre" localSheetId="19">'Ecology Calculator'!$B$119:$B$120</definedName>
    <definedName name="Fynbos_Kamiesberg_Centre" localSheetId="5">#REF!</definedName>
    <definedName name="Fynbos_Kamiesberg_Centre" localSheetId="6">#REF!</definedName>
    <definedName name="Fynbos_Kamiesberg_Centre">#REF!</definedName>
    <definedName name="Fynbos_Karoo_Mountain_Centre" localSheetId="7">#REF!</definedName>
    <definedName name="Fynbos_Karoo_Mountain_Centre" localSheetId="19">'Ecology Calculator'!$B$122:$B$133</definedName>
    <definedName name="Fynbos_Karoo_Mountain_Centre" localSheetId="5">#REF!</definedName>
    <definedName name="Fynbos_Karoo_Mountain_Centre" localSheetId="6">#REF!</definedName>
    <definedName name="Fynbos_Karoo_Mountain_Centre">#REF!</definedName>
    <definedName name="Fynbos_Northwest_Centre" localSheetId="7">#REF!</definedName>
    <definedName name="Fynbos_Northwest_Centre" localSheetId="19">'Ecology Calculator'!$B$135:$B$151</definedName>
    <definedName name="Fynbos_Northwest_Centre" localSheetId="5">#REF!</definedName>
    <definedName name="Fynbos_Northwest_Centre" localSheetId="6">#REF!</definedName>
    <definedName name="Fynbos_Northwest_Centre">#REF!</definedName>
    <definedName name="Fynbos_South_Coast_Centre" localSheetId="7">#REF!</definedName>
    <definedName name="Fynbos_South_Coast_Centre" localSheetId="19">'Ecology Calculator'!$B$153:$B$158</definedName>
    <definedName name="Fynbos_South_Coast_Centre" localSheetId="5">#REF!</definedName>
    <definedName name="Fynbos_South_Coast_Centre" localSheetId="6">#REF!</definedName>
    <definedName name="Fynbos_South_Coast_Centre">#REF!</definedName>
    <definedName name="Fynbos_Southeast_Centre" localSheetId="7">#REF!</definedName>
    <definedName name="Fynbos_Southeast_Centre" localSheetId="19">'Ecology Calculator'!$B$160:$B$173</definedName>
    <definedName name="Fynbos_Southeast_Centre" localSheetId="5">#REF!</definedName>
    <definedName name="Fynbos_Southeast_Centre" localSheetId="6">#REF!</definedName>
    <definedName name="Fynbos_Southeast_Centre">#REF!</definedName>
    <definedName name="Fynbos_Southwest_Centre" localSheetId="7">#REF!</definedName>
    <definedName name="Fynbos_Southwest_Centre" localSheetId="19">'Ecology Calculator'!$B$175:$B$187</definedName>
    <definedName name="Fynbos_Southwest_Centre" localSheetId="5">#REF!</definedName>
    <definedName name="Fynbos_Southwest_Centre" localSheetId="6">#REF!</definedName>
    <definedName name="Fynbos_Southwest_Centre">#REF!</definedName>
    <definedName name="Fynbos_Strandveld" localSheetId="7">#REF!</definedName>
    <definedName name="Fynbos_Strandveld" localSheetId="19">'Ecology Calculator'!$B$236:$B$237</definedName>
    <definedName name="Fynbos_Strandveld" localSheetId="5">#REF!</definedName>
    <definedName name="Fynbos_Strandveld" localSheetId="6">#REF!</definedName>
    <definedName name="Fynbos_Strandveld">#REF!</definedName>
    <definedName name="Grassland_Alluvial_Vegetation" localSheetId="7">#REF!</definedName>
    <definedName name="Grassland_Alluvial_Vegetation" localSheetId="19">'Ecology Calculator'!$B$247:$B$248</definedName>
    <definedName name="Grassland_Alluvial_Vegetation" localSheetId="5">#REF!</definedName>
    <definedName name="Grassland_Alluvial_Vegetation" localSheetId="6">#REF!</definedName>
    <definedName name="Grassland_Alluvial_Vegetation">#REF!</definedName>
    <definedName name="Grassland_Biome_Shrublands" localSheetId="7">#REF!</definedName>
    <definedName name="Grassland_Biome_Shrublands" localSheetId="19">'Ecology Calculator'!$B$275:$B$283</definedName>
    <definedName name="Grassland_Biome_Shrublands" localSheetId="5">#REF!</definedName>
    <definedName name="Grassland_Biome_Shrublands" localSheetId="6">#REF!</definedName>
    <definedName name="Grassland_Biome_Shrublands">#REF!</definedName>
    <definedName name="Headings" localSheetId="19">#REF!,#REF!,#REF!,#REF!,#REF!</definedName>
    <definedName name="Headings" localSheetId="12">#REF!,#REF!,#REF!,#REF!,#REF!</definedName>
    <definedName name="Headings" localSheetId="16">'[4]Transport Calculator'!$B$8:$B$14,'[4]Transport Calculator'!$C$8:$D$10,'[4]Transport Calculator'!$B$17:$B$23,'[4]Transport Calculator'!$C$17:$D$19,'[4]Transport Calculator'!$C$26:$D$26</definedName>
    <definedName name="Headings" localSheetId="26">#REF!,#REF!,#REF!,#REF!,#REF!</definedName>
    <definedName name="Headings" localSheetId="21">'[6]Transport Calculator'!$B$5:$B$11,'[6]Transport Calculator'!$C$5:$D$7,'[6]Transport Calculator'!$B$14:$B$20,'[6]Transport Calculator'!$C$14:$D$16,'[6]Transport Calculator'!$C$22:$D$22</definedName>
    <definedName name="Headings">'Transport Calculator'!$B$8:$B$15,'Transport Calculator'!$C$8:$D$11,'Transport Calculator'!$B$18:$B$24,'Transport Calculator'!$C$18:$D$20,'Transport Calculator'!$C$27:$D$27</definedName>
    <definedName name="HeadingsEC" localSheetId="7">#REF!,#REF!,#REF!,#REF!,#REF!</definedName>
    <definedName name="HeadingsEC" localSheetId="19">'Ecology Calculator'!$B$6,'Ecology Calculator'!$B$11,'Ecology Calculator'!$B$17:$H$18,'Ecology Calculator'!$B$19:$B$40,'Ecology Calculator'!$F$37:$H$40</definedName>
    <definedName name="HeadingsEC" localSheetId="16">'[4]Ecology Calculator'!$B$5,'[4]Ecology Calculator'!$B$7,'[4]Ecology Calculator'!$B$9:$F$10,'[4]Ecology Calculator'!$B$11:$B$31,'[4]Ecology Calculator'!$D$28:$F$31</definedName>
    <definedName name="HeadingsEC" localSheetId="5">#REF!,#REF!,#REF!,#REF!,#REF!</definedName>
    <definedName name="HeadingsEC" localSheetId="6">#REF!,#REF!,#REF!,#REF!,#REF!</definedName>
    <definedName name="HeadingsEC" localSheetId="21">'[6]Ecology Calculator'!$B$5,'[6]Ecology Calculator'!$B$7,'[6]Ecology Calculator'!$B$9:$F$10,'[6]Ecology Calculator'!$B$11:$B$31,'[6]Ecology Calculator'!$D$28:$F$31</definedName>
    <definedName name="HeadingsEC">#REF!,#REF!,#REF!,#REF!,#REF!</definedName>
    <definedName name="Highveld_Grassland" localSheetId="7">#REF!</definedName>
    <definedName name="Highveld_Grassland" localSheetId="19">'Ecology Calculator'!$B$285:$B$310</definedName>
    <definedName name="Highveld_Grassland" localSheetId="5">#REF!</definedName>
    <definedName name="Highveld_Grassland" localSheetId="6">#REF!</definedName>
    <definedName name="Highveld_Grassland">#REF!</definedName>
    <definedName name="Inland_Saline_Vegetation" localSheetId="7">#REF!</definedName>
    <definedName name="Inland_Saline_Vegetation" localSheetId="19">'Ecology Calculator'!$B$556:$B$565</definedName>
    <definedName name="Inland_Saline_Vegetation" localSheetId="5">#REF!</definedName>
    <definedName name="Inland_Saline_Vegetation" localSheetId="6">#REF!</definedName>
    <definedName name="Inland_Saline_Vegetation">#REF!</definedName>
    <definedName name="Kalahari_Dry_Savanna" localSheetId="7">#REF!</definedName>
    <definedName name="Kalahari_Dry_Savanna" localSheetId="19">'Ecology Calculator'!$B$381:$B$402</definedName>
    <definedName name="Kalahari_Dry_Savanna" localSheetId="5">#REF!</definedName>
    <definedName name="Kalahari_Dry_Savanna" localSheetId="6">#REF!</definedName>
    <definedName name="Kalahari_Dry_Savanna">#REF!</definedName>
    <definedName name="Labels" localSheetId="7">#REF!,#REF!</definedName>
    <definedName name="Labels" localSheetId="8">'Building Input'!$B$2,'Building Input'!$B$5:$B$10,'Building Input'!$B$12:$B$13,'Building Input'!$B$15,'Building Input'!$B$16:$B$28,'Building Input'!$B$30:$B$36,'Building Input'!$B$39,'Building Input'!$B$41,'Building Input'!$B$43:$B$48</definedName>
    <definedName name="Labels" localSheetId="19">[2]Summary!$B$4:$B$6,[2]Summary!$B$38:$G$38</definedName>
    <definedName name="Labels" localSheetId="5">#REF!,#REF!</definedName>
    <definedName name="Labels" localSheetId="6">#REF!,#REF!</definedName>
    <definedName name="Labels" localSheetId="21">[5]Summary!$B$4:$B$6,[5]Summary!$B$38:$G$38</definedName>
    <definedName name="Labels" localSheetId="14">[2]Summary!$B$4:$B$6,[2]Summary!$B$38:$G$38</definedName>
    <definedName name="Labels">#REF!,#REF!</definedName>
    <definedName name="Lower_Karoo" localSheetId="7">#REF!</definedName>
    <definedName name="Lower_Karoo" localSheetId="19">'Ecology Calculator'!$B$350:$B$354</definedName>
    <definedName name="Lower_Karoo" localSheetId="5">#REF!</definedName>
    <definedName name="Lower_Karoo" localSheetId="6">#REF!</definedName>
    <definedName name="Lower_Karoo">#REF!</definedName>
    <definedName name="Lowland_Forest" localSheetId="7">#REF!</definedName>
    <definedName name="Lowland_Forest" localSheetId="19">'Ecology Calculator'!$B$98:$B$102</definedName>
    <definedName name="Lowland_Forest" localSheetId="5">#REF!</definedName>
    <definedName name="Lowland_Forest" localSheetId="6">#REF!</definedName>
    <definedName name="Lowland_Forest">#REF!</definedName>
    <definedName name="Lowveld" localSheetId="7">#REF!</definedName>
    <definedName name="Lowveld" localSheetId="19">'Ecology Calculator'!$B$404:$B$429</definedName>
    <definedName name="Lowveld" localSheetId="5">#REF!</definedName>
    <definedName name="Lowveld" localSheetId="6">#REF!</definedName>
    <definedName name="Lowveld">#REF!</definedName>
    <definedName name="Macroalgal_Sea_Beds" localSheetId="7">#REF!</definedName>
    <definedName name="Macroalgal_Sea_Beds" localSheetId="19">'Ecology Calculator'!$B$567:$B$568</definedName>
    <definedName name="Macroalgal_Sea_Beds" localSheetId="5">#REF!</definedName>
    <definedName name="Macroalgal_Sea_Beds" localSheetId="6">#REF!</definedName>
    <definedName name="Macroalgal_Sea_Beds">#REF!</definedName>
    <definedName name="Mountain_Bushveld" localSheetId="7">#REF!</definedName>
    <definedName name="Mountain_Bushveld" localSheetId="19">'Ecology Calculator'!$B$431:$B$450</definedName>
    <definedName name="Mountain_Bushveld" localSheetId="5">#REF!</definedName>
    <definedName name="Mountain_Bushveld" localSheetId="6">#REF!</definedName>
    <definedName name="Mountain_Bushveld">#REF!</definedName>
    <definedName name="Nama_Karoo_Alluvial_Vegetation" localSheetId="7">#REF!</definedName>
    <definedName name="Nama_Karoo_Alluvial_Vegetation" localSheetId="19">'Ecology Calculator'!$B$339:$B$340</definedName>
    <definedName name="Nama_Karoo_Alluvial_Vegetation" localSheetId="5">#REF!</definedName>
    <definedName name="Nama_Karoo_Alluvial_Vegetation" localSheetId="6">#REF!</definedName>
    <definedName name="Nama_Karoo_Alluvial_Vegetation">#REF!</definedName>
    <definedName name="_xlnm.Print_Area" localSheetId="7">'Applicant Declaration'!$A$1:$C$26</definedName>
    <definedName name="_xlnm.Print_Area" localSheetId="8">'Building Input'!$A$1:$D$50</definedName>
    <definedName name="_xlnm.Print_Area" localSheetId="25">Calculation!$A$1</definedName>
    <definedName name="_xlnm.Print_Area" localSheetId="4">'Change Log'!$A$1:$D$34</definedName>
    <definedName name="_xlnm.Print_Area" localSheetId="23">'Credit Summary'!$A$1:$K$114</definedName>
    <definedName name="_xlnm.Print_Area" localSheetId="3">Disclaimer!$A$1:$C$31</definedName>
    <definedName name="_xlnm.Print_Area" localSheetId="19">'Ecology Calculator'!$A$2:$K$44</definedName>
    <definedName name="_xlnm.Print_Area" localSheetId="20">Emissions!$A$1:$I$29</definedName>
    <definedName name="_xlnm.Print_Area" localSheetId="11">Energy!$A$1:$I$25</definedName>
    <definedName name="_xlnm.Print_Area" localSheetId="12">'Energy Calculator'!$A$1:$K$78</definedName>
    <definedName name="_xlnm.Print_Area" localSheetId="24">'Graphical Summary'!$A$1:$J$111</definedName>
    <definedName name="_xlnm.Print_Area" localSheetId="0">'Green Star SA'!$A$1:$C$27</definedName>
    <definedName name="_xlnm.Print_Area" localSheetId="2">'How to Use'!$A$1:$C$23</definedName>
    <definedName name="_xlnm.Print_Area" localSheetId="10">IEQ!$A$1:$I$37</definedName>
    <definedName name="_xlnm.Print_Area" localSheetId="22">Innovation!$A$1:$H$19</definedName>
    <definedName name="_xlnm.Print_Area" localSheetId="1">Introduction!$A$1:$C$105</definedName>
    <definedName name="_xlnm.Print_Area" localSheetId="18">'Land Use &amp; Ecology'!$A$1:$I$24</definedName>
    <definedName name="_xlnm.Print_Area" localSheetId="9">Management!$A$1:$I$26</definedName>
    <definedName name="_xlnm.Print_Area" localSheetId="17">Materials!$A$1:$I$35</definedName>
    <definedName name="_xlnm.Print_Area" localSheetId="16">'Potable Water Calculator'!$A$1:$J$153</definedName>
    <definedName name="_xlnm.Print_Area" localSheetId="5">'R1 Pre-Submission Checklist'!$A$1:$E$56</definedName>
    <definedName name="_xlnm.Print_Area" localSheetId="6">'R2 Pre-Submission Checklist'!$A$1:$E$50</definedName>
    <definedName name="_xlnm.Print_Area" localSheetId="21">'Sewage Calculator'!$A$1:$F$42</definedName>
    <definedName name="_xlnm.Print_Area" localSheetId="13">Transport!$A$1:$I$22</definedName>
    <definedName name="_xlnm.Print_Area" localSheetId="14">'Transport Calculator'!$A$1:$J$36</definedName>
    <definedName name="_xlnm.Print_Area" localSheetId="15">Water!$A$1:$I$22</definedName>
    <definedName name="_xlnm.Print_Titles" localSheetId="23">'Credit Summary'!$3:$3</definedName>
    <definedName name="_xlnm.Print_Titles" localSheetId="20">Emissions!$4:$4</definedName>
    <definedName name="_xlnm.Print_Titles" localSheetId="11">Energy!$4:$4</definedName>
    <definedName name="_xlnm.Print_Titles" localSheetId="10">IEQ!$4:$4</definedName>
    <definedName name="_xlnm.Print_Titles" localSheetId="22">Innovation!$4:$4</definedName>
    <definedName name="_xlnm.Print_Titles" localSheetId="18">'Land Use &amp; Ecology'!$4:$4</definedName>
    <definedName name="_xlnm.Print_Titles" localSheetId="9">Management!$4:$4</definedName>
    <definedName name="_xlnm.Print_Titles" localSheetId="17">Materials!$4:$4</definedName>
    <definedName name="_xlnm.Print_Titles" localSheetId="13">Transport!$4:$4</definedName>
    <definedName name="_xlnm.Print_Titles" localSheetId="15">Water!$4:$4</definedName>
    <definedName name="Renosterveld_Eastern_Centre" localSheetId="7">#REF!</definedName>
    <definedName name="Renosterveld_Eastern_Centre" localSheetId="19">'Ecology Calculator'!$B$189:$B$195</definedName>
    <definedName name="Renosterveld_Eastern_Centre" localSheetId="5">#REF!</definedName>
    <definedName name="Renosterveld_Eastern_Centre" localSheetId="6">#REF!</definedName>
    <definedName name="Renosterveld_Eastern_Centre">#REF!</definedName>
    <definedName name="Renosterveld_Karoo_Centre" localSheetId="7">#REF!</definedName>
    <definedName name="Renosterveld_Karoo_Centre" localSheetId="19">'Ecology Calculator'!$B$197:$B$201</definedName>
    <definedName name="Renosterveld_Karoo_Centre" localSheetId="5">#REF!</definedName>
    <definedName name="Renosterveld_Karoo_Centre" localSheetId="6">#REF!</definedName>
    <definedName name="Renosterveld_Karoo_Centre">#REF!</definedName>
    <definedName name="Renosterveld_Mountain_Centre" localSheetId="7">#REF!</definedName>
    <definedName name="Renosterveld_Mountain_Centre" localSheetId="19">'Ecology Calculator'!$B$203:$B$210</definedName>
    <definedName name="Renosterveld_Mountain_Centre" localSheetId="5">#REF!</definedName>
    <definedName name="Renosterveld_Mountain_Centre" localSheetId="6">#REF!</definedName>
    <definedName name="Renosterveld_Mountain_Centre">#REF!</definedName>
    <definedName name="Renosterveld_South_Coast_Centre" localSheetId="7">#REF!</definedName>
    <definedName name="Renosterveld_South_Coast_Centre" localSheetId="19">'Ecology Calculator'!$B$212:$B$220</definedName>
    <definedName name="Renosterveld_South_Coast_Centre" localSheetId="5">#REF!</definedName>
    <definedName name="Renosterveld_South_Coast_Centre" localSheetId="6">#REF!</definedName>
    <definedName name="Renosterveld_South_Coast_Centre">#REF!</definedName>
    <definedName name="Renosterveld_West_Coast_Centre" localSheetId="7">#REF!</definedName>
    <definedName name="Renosterveld_West_Coast_Centre" localSheetId="19">'Ecology Calculator'!$B$222:$B$228</definedName>
    <definedName name="Renosterveld_West_Coast_Centre" localSheetId="5">#REF!</definedName>
    <definedName name="Renosterveld_West_Coast_Centre" localSheetId="6">#REF!</definedName>
    <definedName name="Renosterveld_West_Coast_Centre">#REF!</definedName>
    <definedName name="Savanna_Alluvial_Vegetation" localSheetId="7">#REF!</definedName>
    <definedName name="Savanna_Alluvial_Vegetation" localSheetId="19">'Ecology Calculator'!$B$362:$B$363</definedName>
    <definedName name="Savanna_Alluvial_Vegetation" localSheetId="5">#REF!</definedName>
    <definedName name="Savanna_Alluvial_Vegetation" localSheetId="6">#REF!</definedName>
    <definedName name="Savanna_Alluvial_Vegetation">#REF!</definedName>
    <definedName name="South_Strandveld" localSheetId="7">#REF!</definedName>
    <definedName name="South_Strandveld" localSheetId="19">'Ecology Calculator'!$B$230:$B$237</definedName>
    <definedName name="South_Strandveld" localSheetId="5">#REF!</definedName>
    <definedName name="South_Strandveld" localSheetId="6">#REF!</definedName>
    <definedName name="South_Strandveld">#REF!</definedName>
    <definedName name="Southern_Karoo" localSheetId="7">#REF!</definedName>
    <definedName name="Southern_Karoo" localSheetId="19">'Ecology Calculator'!$B$470:$B$479</definedName>
    <definedName name="Southern_Karoo" localSheetId="5">#REF!</definedName>
    <definedName name="Southern_Karoo" localSheetId="6">#REF!</definedName>
    <definedName name="Southern_Karoo">#REF!</definedName>
    <definedName name="Sub_Escarpment_Grassland" localSheetId="7">#REF!</definedName>
    <definedName name="Sub_Escarpment_Grassland" localSheetId="19">'Ecology Calculator'!$B$321:$B$337</definedName>
    <definedName name="Sub_Escarpment_Grassland" localSheetId="5">#REF!</definedName>
    <definedName name="Sub_Escarpment_Grassland" localSheetId="6">#REF!</definedName>
    <definedName name="Sub_Escarpment_Grassland">#REF!</definedName>
    <definedName name="Sub_Escarpment_Savanna" localSheetId="7">#REF!</definedName>
    <definedName name="Sub_Escarpment_Savanna" localSheetId="19">'Ecology Calculator'!$B$452:$B$459</definedName>
    <definedName name="Sub_Escarpment_Savanna" localSheetId="5">#REF!</definedName>
    <definedName name="Sub_Escarpment_Savanna" localSheetId="6">#REF!</definedName>
    <definedName name="Sub_Escarpment_Savanna">#REF!</definedName>
    <definedName name="Trans_Escarpment_Succulent_Karoo" localSheetId="7">#REF!</definedName>
    <definedName name="Trans_Escarpment_Succulent_Karoo" localSheetId="19">'Ecology Calculator'!$B$481:$B$485</definedName>
    <definedName name="Trans_Escarpment_Succulent_Karoo" localSheetId="5">#REF!</definedName>
    <definedName name="Trans_Escarpment_Succulent_Karoo" localSheetId="6">#REF!</definedName>
    <definedName name="Trans_Escarpment_Succulent_Karoo">#REF!</definedName>
    <definedName name="Upland_Forest" localSheetId="7">#REF!</definedName>
    <definedName name="Upland_Forest" localSheetId="19">'Ecology Calculator'!$B$104:$B$109</definedName>
    <definedName name="Upland_Forest" localSheetId="5">#REF!</definedName>
    <definedName name="Upland_Forest" localSheetId="6">#REF!</definedName>
    <definedName name="Upland_Forest">#REF!</definedName>
    <definedName name="Upper_Karoo" localSheetId="7">#REF!</definedName>
    <definedName name="Upper_Karoo" localSheetId="19">'Ecology Calculator'!$B$356:$B$360</definedName>
    <definedName name="Upper_Karoo" localSheetId="5">#REF!</definedName>
    <definedName name="Upper_Karoo" localSheetId="6">#REF!</definedName>
    <definedName name="Upper_Karoo">#REF!</definedName>
    <definedName name="Urban_Area_and_Unallocated" localSheetId="26">#REF!</definedName>
    <definedName name="Urban_Area_and_Unallocated">'Ecology Calculator'!$B$48:$B$49</definedName>
    <definedName name="West_Coast_Sandveld" localSheetId="7">#REF!</definedName>
    <definedName name="West_Coast_Sandveld" localSheetId="19">'Ecology Calculator'!$B$487:$B$503</definedName>
    <definedName name="West_Coast_Sandveld" localSheetId="5">#REF!</definedName>
    <definedName name="West_Coast_Sandveld" localSheetId="6">#REF!</definedName>
    <definedName name="West_Coast_Sandveld">#REF!</definedName>
    <definedName name="West_Strandveld" localSheetId="7">#REF!</definedName>
    <definedName name="West_Strandveld" localSheetId="19">'Ecology Calculator'!$B$239:$B$245</definedName>
    <definedName name="West_Strandveld" localSheetId="5">#REF!</definedName>
    <definedName name="West_Strandveld" localSheetId="6">#REF!</definedName>
    <definedName name="West_Strandveld">#REF!</definedName>
    <definedName name="Western_Gariep" localSheetId="7">#REF!</definedName>
    <definedName name="Western_Gariep" localSheetId="19">'Ecology Calculator'!$B$92:$B$96</definedName>
    <definedName name="Western_Gariep" localSheetId="5">#REF!</definedName>
    <definedName name="Western_Gariep" localSheetId="6">#REF!</definedName>
    <definedName name="Western_Gariep">#REF!</definedName>
    <definedName name="Western_Lowland_Karoo" localSheetId="7">#REF!</definedName>
    <definedName name="Western_Lowland_Karoo" localSheetId="19">'Ecology Calculator'!$B$505:$B$518</definedName>
    <definedName name="Western_Lowland_Karoo" localSheetId="5">#REF!</definedName>
    <definedName name="Western_Lowland_Karoo" localSheetId="6">#REF!</definedName>
    <definedName name="Western_Lowland_Karoo">#REF!</definedName>
    <definedName name="Western_Mountain_Shrubland" localSheetId="7">#REF!</definedName>
    <definedName name="Western_Mountain_Shrubland" localSheetId="19">'Ecology Calculator'!$B$520:$B$521</definedName>
    <definedName name="Western_Mountain_Shrubland" localSheetId="5">#REF!</definedName>
    <definedName name="Western_Mountain_Shrubland" localSheetId="6">#REF!</definedName>
    <definedName name="Western_Mountain_Shrubland">#REF!</definedName>
    <definedName name="Western_Upland_Karoo" localSheetId="7">#REF!</definedName>
    <definedName name="Western_Upland_Karoo" localSheetId="19">'Ecology Calculator'!$B$523:$B$541</definedName>
    <definedName name="Western_Upland_Karoo" localSheetId="5">#REF!</definedName>
    <definedName name="Western_Upland_Karoo" localSheetId="6">#REF!</definedName>
    <definedName name="Western_Upland_Karoo">#REF!</definedName>
    <definedName name="Wetland_Forest" localSheetId="7">#REF!</definedName>
    <definedName name="Wetland_Forest" localSheetId="19">'Ecology Calculator'!$B$111:$B$114</definedName>
    <definedName name="Wetland_Forest" localSheetId="5">#REF!</definedName>
    <definedName name="Wetland_Forest" localSheetId="6">#REF!</definedName>
    <definedName name="Wetland_Forest">#REF!</definedName>
    <definedName name="WhiteSpace" localSheetId="7">#REF!,#REF!</definedName>
    <definedName name="WhiteSpace" localSheetId="19">[2]Summary!$C$4:$G$6,[2]Summary!$B$39:$G$48</definedName>
    <definedName name="WhiteSpace" localSheetId="5">#REF!,#REF!</definedName>
    <definedName name="WhiteSpace" localSheetId="6">#REF!,#REF!</definedName>
    <definedName name="WhiteSpace" localSheetId="21">[5]Summary!$C$4:$G$6,[5]Summary!$B$39:$G$48</definedName>
    <definedName name="WhiteSpace" localSheetId="14">[2]Summary!$C$4:$G$6,[2]Summary!$B$39:$G$48</definedName>
    <definedName name="WhiteSpace">#REF!,#REF!</definedName>
    <definedName name="Z_00DD4A23_9D78_4194_8276_4BE70EE67CA6_.wvu.PrintArea" localSheetId="16" hidden="1">'Potable Water Calculator'!$A$1:$J$147</definedName>
    <definedName name="Z_00DD4A23_9D78_4194_8276_4BE70EE67CA6_.wvu.PrintTitles" localSheetId="16" hidden="1">'Potable Water Calculator'!$1:$1</definedName>
    <definedName name="Z_00DD4A23_9D78_4194_8276_4BE70EE67CA6_.wvu.Rows" localSheetId="16" hidden="1">'Potable Water Calculator'!$100:$100</definedName>
  </definedNames>
  <calcPr calcId="145621"/>
</workbook>
</file>

<file path=xl/calcChain.xml><?xml version="1.0" encoding="utf-8"?>
<calcChain xmlns="http://schemas.openxmlformats.org/spreadsheetml/2006/main">
  <c r="O130" i="76" l="1"/>
  <c r="N130" i="76"/>
  <c r="N129" i="76"/>
  <c r="O111" i="76"/>
  <c r="N111" i="76"/>
  <c r="N110" i="76"/>
  <c r="O75" i="76"/>
  <c r="O74" i="76"/>
  <c r="N75" i="76"/>
  <c r="N74" i="76"/>
  <c r="W119" i="76" l="1"/>
  <c r="AR195" i="76"/>
  <c r="AS195" i="76"/>
  <c r="AT195" i="76"/>
  <c r="AU195" i="76"/>
  <c r="AV195" i="76"/>
  <c r="AQ195" i="76"/>
  <c r="AL195" i="76"/>
  <c r="AM195" i="76"/>
  <c r="AN195" i="76"/>
  <c r="AO195" i="76"/>
  <c r="AP195" i="76"/>
  <c r="AK195" i="76"/>
  <c r="AL201" i="76" l="1"/>
  <c r="AM201" i="76"/>
  <c r="AN201" i="76"/>
  <c r="AO201" i="76"/>
  <c r="AP201" i="76"/>
  <c r="AQ201" i="76"/>
  <c r="AR201" i="76"/>
  <c r="AS201" i="76"/>
  <c r="AT201" i="76"/>
  <c r="AU201" i="76"/>
  <c r="AV201" i="76"/>
  <c r="AK201" i="76"/>
  <c r="AL200" i="76"/>
  <c r="AM200" i="76"/>
  <c r="AN200" i="76"/>
  <c r="AO200" i="76"/>
  <c r="AP200" i="76"/>
  <c r="AQ200" i="76"/>
  <c r="AR200" i="76"/>
  <c r="AS200" i="76"/>
  <c r="AT200" i="76"/>
  <c r="AU200" i="76"/>
  <c r="AV200" i="76"/>
  <c r="AK200" i="76"/>
  <c r="AL198" i="76"/>
  <c r="AM198" i="76"/>
  <c r="AN198" i="76"/>
  <c r="AO198" i="76"/>
  <c r="AP198" i="76"/>
  <c r="AQ198" i="76"/>
  <c r="AR198" i="76"/>
  <c r="AS198" i="76"/>
  <c r="AT198" i="76"/>
  <c r="AU198" i="76"/>
  <c r="AV198" i="76"/>
  <c r="AK198" i="76"/>
  <c r="N95" i="76" l="1"/>
  <c r="N94" i="76"/>
  <c r="N117" i="76"/>
  <c r="G11" i="66" l="1"/>
  <c r="E11" i="66"/>
  <c r="D11" i="66"/>
  <c r="J12" i="40"/>
  <c r="J11" i="40"/>
  <c r="H11" i="66" s="1"/>
  <c r="I7" i="41"/>
  <c r="I6" i="41"/>
  <c r="H97" i="66" s="1"/>
  <c r="I5" i="41"/>
  <c r="H96" i="66"/>
  <c r="E48" i="81"/>
  <c r="F28" i="81"/>
  <c r="I65" i="81" s="1"/>
  <c r="H5" i="65"/>
  <c r="C72" i="64" s="1"/>
  <c r="H4" i="76"/>
  <c r="F8" i="41"/>
  <c r="C83" i="76"/>
  <c r="Q77" i="76" s="1"/>
  <c r="H86" i="76"/>
  <c r="N81" i="76" s="1"/>
  <c r="AK104" i="76"/>
  <c r="AK106" i="76"/>
  <c r="AK107" i="76"/>
  <c r="AK130" i="76"/>
  <c r="AK131" i="76"/>
  <c r="AK133" i="76"/>
  <c r="AK134" i="76"/>
  <c r="AK156" i="76"/>
  <c r="AK157" i="76"/>
  <c r="AK159" i="76"/>
  <c r="AK160" i="76"/>
  <c r="AP80" i="76"/>
  <c r="E76" i="66"/>
  <c r="G76" i="66"/>
  <c r="D76" i="66"/>
  <c r="H12" i="65"/>
  <c r="I5" i="65"/>
  <c r="U126" i="81"/>
  <c r="I21" i="81" s="1"/>
  <c r="I76" i="81"/>
  <c r="D37" i="66"/>
  <c r="H14" i="47"/>
  <c r="F14" i="47"/>
  <c r="F2" i="47" s="1"/>
  <c r="G64" i="81"/>
  <c r="F38" i="81"/>
  <c r="Z126" i="81"/>
  <c r="O36" i="81" s="1"/>
  <c r="O37" i="81"/>
  <c r="Z119" i="81"/>
  <c r="Z122" i="81"/>
  <c r="AE121" i="81"/>
  <c r="AE120" i="81"/>
  <c r="Z120" i="81"/>
  <c r="AE119" i="81"/>
  <c r="L44" i="76"/>
  <c r="N99" i="76"/>
  <c r="T95" i="76" s="1"/>
  <c r="AL130" i="76"/>
  <c r="AL131" i="76"/>
  <c r="AL133" i="76"/>
  <c r="AL134" i="76"/>
  <c r="AM130" i="76"/>
  <c r="AM131" i="76"/>
  <c r="AM133" i="76"/>
  <c r="AM134" i="76"/>
  <c r="AN130" i="76"/>
  <c r="AN131" i="76"/>
  <c r="AN133" i="76"/>
  <c r="AN134" i="76"/>
  <c r="AO130" i="76"/>
  <c r="AO131" i="76"/>
  <c r="AO133" i="76"/>
  <c r="AO134" i="76"/>
  <c r="AP130" i="76"/>
  <c r="AP131" i="76"/>
  <c r="AP133" i="76"/>
  <c r="AP134" i="76"/>
  <c r="AQ130" i="76"/>
  <c r="AQ131" i="76"/>
  <c r="AQ133" i="76"/>
  <c r="AQ134" i="76"/>
  <c r="AR130" i="76"/>
  <c r="AR131" i="76"/>
  <c r="AR133" i="76"/>
  <c r="AR134" i="76"/>
  <c r="AS130" i="76"/>
  <c r="AS131" i="76"/>
  <c r="AS133" i="76"/>
  <c r="AS134" i="76"/>
  <c r="AT130" i="76"/>
  <c r="AT131" i="76"/>
  <c r="AT133" i="76"/>
  <c r="AT134" i="76"/>
  <c r="AU130" i="76"/>
  <c r="AU131" i="76"/>
  <c r="AU133" i="76"/>
  <c r="AU134" i="76"/>
  <c r="AV130" i="76"/>
  <c r="AV131" i="76"/>
  <c r="AV133" i="76"/>
  <c r="AV134" i="76"/>
  <c r="O94" i="76"/>
  <c r="O95" i="76"/>
  <c r="L22" i="76"/>
  <c r="I30" i="76"/>
  <c r="L13" i="76"/>
  <c r="AK80" i="76"/>
  <c r="AL80" i="76"/>
  <c r="AM80" i="76"/>
  <c r="AN80" i="76"/>
  <c r="AO80" i="76"/>
  <c r="AQ80" i="76"/>
  <c r="AR80" i="76"/>
  <c r="AS80" i="76"/>
  <c r="AT80" i="76"/>
  <c r="AU80" i="76"/>
  <c r="AV80" i="76"/>
  <c r="L16" i="76"/>
  <c r="L15" i="76"/>
  <c r="L14" i="76"/>
  <c r="L23" i="76"/>
  <c r="L24" i="76"/>
  <c r="L25" i="76"/>
  <c r="N28" i="76"/>
  <c r="Y28" i="76"/>
  <c r="AB28" i="76"/>
  <c r="L45" i="76"/>
  <c r="L46" i="76"/>
  <c r="L47" i="76"/>
  <c r="AL107" i="76"/>
  <c r="AM107" i="76"/>
  <c r="AN107" i="76"/>
  <c r="AO107" i="76"/>
  <c r="AP107" i="76"/>
  <c r="AQ107" i="76"/>
  <c r="AR107" i="76"/>
  <c r="AS107" i="76"/>
  <c r="AT107" i="76"/>
  <c r="AU107" i="76"/>
  <c r="AV107" i="76"/>
  <c r="AL106" i="76"/>
  <c r="AM106" i="76"/>
  <c r="AN106" i="76"/>
  <c r="AO106" i="76"/>
  <c r="AP106" i="76"/>
  <c r="AQ106" i="76"/>
  <c r="AR106" i="76"/>
  <c r="AS106" i="76"/>
  <c r="AT106" i="76"/>
  <c r="AU106" i="76"/>
  <c r="AV106" i="76"/>
  <c r="AL104" i="76"/>
  <c r="AM104" i="76"/>
  <c r="AN104" i="76"/>
  <c r="AO104" i="76"/>
  <c r="AP104" i="76"/>
  <c r="AQ104" i="76"/>
  <c r="AR104" i="76"/>
  <c r="AS104" i="76"/>
  <c r="AT104" i="76"/>
  <c r="AU104" i="76"/>
  <c r="AV104" i="76"/>
  <c r="AK81" i="76"/>
  <c r="AK82" i="76"/>
  <c r="AK83" i="76"/>
  <c r="N80" i="76"/>
  <c r="G78" i="76"/>
  <c r="M78" i="76" s="1"/>
  <c r="G79" i="76"/>
  <c r="M79" i="76" s="1"/>
  <c r="G80" i="76"/>
  <c r="M80" i="76" s="1"/>
  <c r="AL156" i="76"/>
  <c r="AL81" i="76"/>
  <c r="AL82" i="76"/>
  <c r="AL83" i="76"/>
  <c r="AL159" i="76"/>
  <c r="AL157" i="76"/>
  <c r="AL160" i="76"/>
  <c r="D83" i="76"/>
  <c r="R77" i="76" s="1"/>
  <c r="AM156" i="76"/>
  <c r="AM81" i="76"/>
  <c r="AM82" i="76"/>
  <c r="AM83" i="76"/>
  <c r="AM159" i="76"/>
  <c r="AM157" i="76"/>
  <c r="AM160" i="76"/>
  <c r="E83" i="76"/>
  <c r="S77" i="76" s="1"/>
  <c r="AN156" i="76"/>
  <c r="AN81" i="76"/>
  <c r="AN82" i="76"/>
  <c r="AN83" i="76"/>
  <c r="AN159" i="76"/>
  <c r="AN157" i="76"/>
  <c r="AN160" i="76"/>
  <c r="F83" i="76"/>
  <c r="T77" i="76" s="1"/>
  <c r="AO156" i="76"/>
  <c r="AO81" i="76"/>
  <c r="AO82" i="76"/>
  <c r="AO83" i="76"/>
  <c r="AO159" i="76"/>
  <c r="AO157" i="76"/>
  <c r="AO160" i="76"/>
  <c r="G83" i="76"/>
  <c r="U77" i="76"/>
  <c r="AP156" i="76"/>
  <c r="AP81" i="76"/>
  <c r="AP82" i="76"/>
  <c r="AP83" i="76"/>
  <c r="AP159" i="76"/>
  <c r="AP157" i="76"/>
  <c r="AP160" i="76"/>
  <c r="H83" i="76"/>
  <c r="V77" i="76" s="1"/>
  <c r="AQ156" i="76"/>
  <c r="AQ81" i="76"/>
  <c r="AQ82" i="76"/>
  <c r="AQ83" i="76"/>
  <c r="AQ159" i="76"/>
  <c r="AQ157" i="76"/>
  <c r="AQ160" i="76"/>
  <c r="C85" i="76"/>
  <c r="W77" i="76" s="1"/>
  <c r="AR156" i="76"/>
  <c r="AR81" i="76"/>
  <c r="AR82" i="76"/>
  <c r="AR83" i="76"/>
  <c r="AR159" i="76"/>
  <c r="AR157" i="76"/>
  <c r="AR160" i="76"/>
  <c r="D85" i="76"/>
  <c r="X77" i="76" s="1"/>
  <c r="AS156" i="76"/>
  <c r="AS81" i="76"/>
  <c r="AS82" i="76"/>
  <c r="AS83" i="76"/>
  <c r="AS159" i="76"/>
  <c r="AS157" i="76"/>
  <c r="AS160" i="76"/>
  <c r="E85" i="76"/>
  <c r="Y77" i="76" s="1"/>
  <c r="AT156" i="76"/>
  <c r="AT81" i="76"/>
  <c r="AT82" i="76"/>
  <c r="AT83" i="76"/>
  <c r="AT159" i="76"/>
  <c r="AT157" i="76"/>
  <c r="AT160" i="76"/>
  <c r="F85" i="76"/>
  <c r="Z77" i="76" s="1"/>
  <c r="AU156" i="76"/>
  <c r="AU81" i="76"/>
  <c r="AU82" i="76"/>
  <c r="AU83" i="76"/>
  <c r="AU159" i="76"/>
  <c r="AU157" i="76"/>
  <c r="AU160" i="76"/>
  <c r="G85" i="76"/>
  <c r="AA77" i="76" s="1"/>
  <c r="AV156" i="76"/>
  <c r="AV81" i="76"/>
  <c r="AV82" i="76"/>
  <c r="AV83" i="76"/>
  <c r="AV159" i="76"/>
  <c r="AV157" i="76"/>
  <c r="AV160" i="76"/>
  <c r="H85" i="76"/>
  <c r="AB77" i="76" s="1"/>
  <c r="AX72" i="76"/>
  <c r="L28" i="76"/>
  <c r="M28" i="76"/>
  <c r="AA28" i="76"/>
  <c r="AX71" i="76"/>
  <c r="L66" i="76"/>
  <c r="AD88" i="76"/>
  <c r="M64" i="76" s="1"/>
  <c r="AD85" i="76"/>
  <c r="M63" i="76" s="1"/>
  <c r="L63" i="76"/>
  <c r="L65" i="76"/>
  <c r="L64" i="76"/>
  <c r="I78" i="76"/>
  <c r="W89" i="76"/>
  <c r="X89" i="76"/>
  <c r="Y89" i="76"/>
  <c r="Z89" i="76"/>
  <c r="AA89" i="76"/>
  <c r="AB89" i="76"/>
  <c r="R89" i="76"/>
  <c r="S89" i="76"/>
  <c r="T89" i="76"/>
  <c r="U89" i="76"/>
  <c r="V89" i="76"/>
  <c r="Q89" i="76"/>
  <c r="G26" i="76"/>
  <c r="G29" i="76"/>
  <c r="N79" i="76"/>
  <c r="G48" i="76"/>
  <c r="B175" i="76" s="1"/>
  <c r="G8" i="41"/>
  <c r="G2" i="41"/>
  <c r="I3" i="41"/>
  <c r="A18" i="41"/>
  <c r="A17" i="41"/>
  <c r="A16" i="41"/>
  <c r="A15" i="41"/>
  <c r="A14" i="41"/>
  <c r="A13" i="41"/>
  <c r="A12" i="41"/>
  <c r="J5" i="23"/>
  <c r="J3" i="23"/>
  <c r="J16" i="23"/>
  <c r="J15" i="23"/>
  <c r="J11" i="23"/>
  <c r="J10" i="23"/>
  <c r="H88" i="66" s="1"/>
  <c r="J9" i="23"/>
  <c r="F8" i="23"/>
  <c r="F7" i="23"/>
  <c r="J7" i="23"/>
  <c r="H86" i="66" s="1"/>
  <c r="J6" i="23"/>
  <c r="A28" i="23"/>
  <c r="A27" i="23"/>
  <c r="A26" i="23"/>
  <c r="A25" i="23"/>
  <c r="A24" i="23"/>
  <c r="A23" i="23"/>
  <c r="A22" i="23"/>
  <c r="H1" i="23"/>
  <c r="H18" i="23"/>
  <c r="H2" i="23"/>
  <c r="J3" i="65"/>
  <c r="H2" i="65"/>
  <c r="F8" i="65"/>
  <c r="J8" i="65"/>
  <c r="H77" i="66" s="1"/>
  <c r="J9" i="65"/>
  <c r="H1" i="65"/>
  <c r="A22" i="65"/>
  <c r="A21" i="65"/>
  <c r="A20" i="65"/>
  <c r="A19" i="65"/>
  <c r="A18" i="65"/>
  <c r="A17" i="65"/>
  <c r="A16" i="65"/>
  <c r="J23" i="42"/>
  <c r="J16" i="42"/>
  <c r="J13" i="42"/>
  <c r="F10" i="42"/>
  <c r="F9" i="42"/>
  <c r="J9" i="42"/>
  <c r="J8" i="42"/>
  <c r="J7" i="42"/>
  <c r="H64" i="66" s="1"/>
  <c r="F6" i="42"/>
  <c r="J5" i="42"/>
  <c r="G24" i="42"/>
  <c r="H1" i="42"/>
  <c r="H24" i="42"/>
  <c r="G2" i="42"/>
  <c r="A34" i="42"/>
  <c r="A33" i="42"/>
  <c r="A32" i="42"/>
  <c r="A31" i="42"/>
  <c r="A30" i="42"/>
  <c r="A29" i="42"/>
  <c r="A28" i="42"/>
  <c r="F10" i="51"/>
  <c r="J10" i="51" s="1"/>
  <c r="H58" i="66" s="1"/>
  <c r="J9" i="51"/>
  <c r="H57" i="66"/>
  <c r="F8" i="51"/>
  <c r="J8" i="51"/>
  <c r="F7" i="51"/>
  <c r="J6" i="51"/>
  <c r="H55" i="66" s="1"/>
  <c r="H1" i="51"/>
  <c r="H11" i="51"/>
  <c r="H2" i="51" s="1"/>
  <c r="A21" i="51"/>
  <c r="A20" i="51"/>
  <c r="A19" i="51"/>
  <c r="A18" i="51"/>
  <c r="A17" i="51"/>
  <c r="A16" i="51"/>
  <c r="A15" i="51"/>
  <c r="J10" i="50"/>
  <c r="H50" i="66"/>
  <c r="J8" i="50"/>
  <c r="J7" i="50"/>
  <c r="H1" i="50"/>
  <c r="A21" i="50"/>
  <c r="A20" i="50"/>
  <c r="A19" i="50"/>
  <c r="A18" i="50"/>
  <c r="A17" i="50"/>
  <c r="A16" i="50"/>
  <c r="A15" i="50"/>
  <c r="J13" i="47"/>
  <c r="H42" i="66"/>
  <c r="J12" i="47"/>
  <c r="J11" i="47"/>
  <c r="H41" i="66" s="1"/>
  <c r="J10" i="47"/>
  <c r="H40" i="66" s="1"/>
  <c r="J9" i="47"/>
  <c r="J8" i="47"/>
  <c r="J7" i="47"/>
  <c r="J3" i="47"/>
  <c r="H1" i="47"/>
  <c r="H2" i="47"/>
  <c r="A24" i="47"/>
  <c r="A23" i="47"/>
  <c r="A22" i="47"/>
  <c r="A21" i="47"/>
  <c r="A20" i="47"/>
  <c r="A19" i="47"/>
  <c r="A18" i="47"/>
  <c r="J5" i="25"/>
  <c r="J25" i="25"/>
  <c r="H33" i="66" s="1"/>
  <c r="J24" i="25"/>
  <c r="J23" i="25"/>
  <c r="H31" i="66"/>
  <c r="J20" i="25"/>
  <c r="J19" i="25"/>
  <c r="J18" i="25"/>
  <c r="H28" i="66" s="1"/>
  <c r="J16" i="25"/>
  <c r="J13" i="25"/>
  <c r="H24" i="66" s="1"/>
  <c r="J12" i="25"/>
  <c r="H23" i="66"/>
  <c r="J11" i="25"/>
  <c r="J10" i="25"/>
  <c r="H21" i="66" s="1"/>
  <c r="J9" i="25"/>
  <c r="H20" i="66" s="1"/>
  <c r="J8" i="25"/>
  <c r="H19" i="66"/>
  <c r="F21" i="25"/>
  <c r="J21" i="25"/>
  <c r="F17" i="25"/>
  <c r="D27" i="66"/>
  <c r="G26" i="25"/>
  <c r="F35" i="64"/>
  <c r="I68" i="64" s="1"/>
  <c r="H1" i="25"/>
  <c r="H26" i="25"/>
  <c r="H2" i="25" s="1"/>
  <c r="G3" i="25" s="1"/>
  <c r="G2" i="25"/>
  <c r="A36" i="25"/>
  <c r="A35" i="25"/>
  <c r="A34" i="25"/>
  <c r="A33" i="25"/>
  <c r="A32" i="25"/>
  <c r="A31" i="25"/>
  <c r="A30" i="25"/>
  <c r="A25" i="40"/>
  <c r="A24" i="40"/>
  <c r="A23" i="40"/>
  <c r="A22" i="40"/>
  <c r="A21" i="40"/>
  <c r="A20" i="40"/>
  <c r="A19" i="40"/>
  <c r="F5" i="40"/>
  <c r="J5" i="40"/>
  <c r="J3" i="40" s="1"/>
  <c r="G15" i="40"/>
  <c r="F15" i="40"/>
  <c r="F2" i="40"/>
  <c r="E34" i="64"/>
  <c r="H65" i="64"/>
  <c r="J14" i="40"/>
  <c r="J13" i="40"/>
  <c r="H12" i="66" s="1"/>
  <c r="J10" i="40"/>
  <c r="H10" i="66" s="1"/>
  <c r="J9" i="40"/>
  <c r="H9" i="66" s="1"/>
  <c r="J8" i="40"/>
  <c r="H8" i="66" s="1"/>
  <c r="J7" i="40"/>
  <c r="J6" i="40"/>
  <c r="H7" i="66" s="1"/>
  <c r="H15" i="40"/>
  <c r="H1" i="40"/>
  <c r="O4" i="84"/>
  <c r="O5" i="84"/>
  <c r="O6" i="84"/>
  <c r="O7" i="84"/>
  <c r="O8" i="84"/>
  <c r="O9" i="84"/>
  <c r="O10" i="84"/>
  <c r="O11" i="84"/>
  <c r="O12" i="84"/>
  <c r="O13" i="84"/>
  <c r="O14" i="84"/>
  <c r="O15" i="84"/>
  <c r="O16" i="84"/>
  <c r="O17" i="84"/>
  <c r="O18" i="84"/>
  <c r="O19" i="84"/>
  <c r="O20" i="84"/>
  <c r="O21" i="84"/>
  <c r="O22" i="84"/>
  <c r="O23" i="84"/>
  <c r="O24" i="84"/>
  <c r="O25" i="84"/>
  <c r="O26" i="84"/>
  <c r="O27" i="84"/>
  <c r="O36" i="84" s="1"/>
  <c r="O28" i="84"/>
  <c r="O29" i="84"/>
  <c r="O30" i="84"/>
  <c r="O31" i="84"/>
  <c r="O32" i="84"/>
  <c r="O33" i="84"/>
  <c r="C36" i="84"/>
  <c r="D36" i="84"/>
  <c r="E36" i="84"/>
  <c r="F36" i="84"/>
  <c r="G36" i="84"/>
  <c r="H36" i="84"/>
  <c r="I36" i="84"/>
  <c r="J36" i="84"/>
  <c r="K36" i="84"/>
  <c r="L36" i="84"/>
  <c r="M36" i="84"/>
  <c r="N36" i="84"/>
  <c r="P36" i="84"/>
  <c r="B58" i="64"/>
  <c r="P16" i="68"/>
  <c r="P29" i="68" s="1"/>
  <c r="S24" i="68" s="1"/>
  <c r="D27" i="68" s="1"/>
  <c r="J43" i="78"/>
  <c r="J39" i="78" s="1"/>
  <c r="Q39" i="78" s="1"/>
  <c r="J40" i="78"/>
  <c r="Q40" i="78" s="1"/>
  <c r="J41" i="78"/>
  <c r="J42" i="78"/>
  <c r="F12" i="23"/>
  <c r="F14" i="23"/>
  <c r="F17" i="23"/>
  <c r="J17" i="23"/>
  <c r="H92" i="66" s="1"/>
  <c r="P17" i="68"/>
  <c r="P18" i="68"/>
  <c r="P19" i="68"/>
  <c r="P24" i="68"/>
  <c r="P25" i="68"/>
  <c r="P27" i="68"/>
  <c r="P28" i="68"/>
  <c r="F5" i="50"/>
  <c r="F6" i="50"/>
  <c r="F22" i="25"/>
  <c r="D30" i="66"/>
  <c r="F11" i="42"/>
  <c r="J11" i="42"/>
  <c r="H67" i="66" s="1"/>
  <c r="F14" i="42"/>
  <c r="J14" i="42" s="1"/>
  <c r="H69" i="66" s="1"/>
  <c r="F15" i="42"/>
  <c r="F37" i="83"/>
  <c r="F10" i="65"/>
  <c r="J10" i="65"/>
  <c r="H79" i="66" s="1"/>
  <c r="K6" i="50"/>
  <c r="B9" i="66"/>
  <c r="E56" i="66"/>
  <c r="E29" i="66"/>
  <c r="K39" i="78"/>
  <c r="K40" i="78"/>
  <c r="K41" i="78"/>
  <c r="Q41" i="78" s="1"/>
  <c r="K42" i="78"/>
  <c r="Q42" i="78"/>
  <c r="E88" i="66"/>
  <c r="E86" i="66"/>
  <c r="E66" i="66"/>
  <c r="E41" i="66"/>
  <c r="E39" i="66"/>
  <c r="E7" i="66"/>
  <c r="C36" i="56"/>
  <c r="C37" i="56" s="1"/>
  <c r="E8" i="41"/>
  <c r="A2" i="66"/>
  <c r="H37" i="83"/>
  <c r="I48" i="76"/>
  <c r="I39" i="76"/>
  <c r="I17" i="76"/>
  <c r="G88" i="66"/>
  <c r="G92" i="66"/>
  <c r="E92" i="66"/>
  <c r="D92" i="66"/>
  <c r="C92" i="66"/>
  <c r="B92" i="66"/>
  <c r="N31" i="64"/>
  <c r="D17" i="78"/>
  <c r="D16" i="78"/>
  <c r="D15" i="78"/>
  <c r="L8" i="83"/>
  <c r="Z28" i="76"/>
  <c r="O155" i="76"/>
  <c r="O156" i="76"/>
  <c r="O157" i="76"/>
  <c r="O158" i="76"/>
  <c r="N155" i="76"/>
  <c r="N156" i="76"/>
  <c r="N157" i="76"/>
  <c r="N158" i="76"/>
  <c r="O159" i="76"/>
  <c r="N159" i="76"/>
  <c r="S70" i="76"/>
  <c r="G39" i="76"/>
  <c r="I28" i="76"/>
  <c r="G17" i="76"/>
  <c r="N4" i="76"/>
  <c r="F30" i="81"/>
  <c r="F29" i="81"/>
  <c r="E45" i="81" s="1"/>
  <c r="F31" i="81"/>
  <c r="E46" i="81" s="1"/>
  <c r="G53" i="81"/>
  <c r="N25" i="64"/>
  <c r="G1" i="64"/>
  <c r="C2" i="64"/>
  <c r="B18" i="64"/>
  <c r="C18" i="64"/>
  <c r="D18" i="64"/>
  <c r="E18" i="64"/>
  <c r="F18" i="64"/>
  <c r="G18" i="64"/>
  <c r="H18" i="64"/>
  <c r="I18" i="64"/>
  <c r="J18" i="64"/>
  <c r="K18" i="64"/>
  <c r="N18" i="64"/>
  <c r="C34" i="64"/>
  <c r="O34" i="64"/>
  <c r="C35" i="64"/>
  <c r="D35" i="64" s="1"/>
  <c r="N68" i="64" s="1"/>
  <c r="O35" i="64"/>
  <c r="C36" i="64"/>
  <c r="D36" i="64" s="1"/>
  <c r="N70" i="64" s="1"/>
  <c r="I36" i="64"/>
  <c r="O36" i="64"/>
  <c r="C37" i="64"/>
  <c r="D37" i="64" s="1"/>
  <c r="N72" i="64" s="1"/>
  <c r="H11" i="50"/>
  <c r="O37" i="64"/>
  <c r="C38" i="64"/>
  <c r="I38" i="64"/>
  <c r="O38" i="64"/>
  <c r="C39" i="64"/>
  <c r="K39" i="64" s="1"/>
  <c r="P76" i="64" s="1"/>
  <c r="O39" i="64"/>
  <c r="C40" i="64"/>
  <c r="D40" i="64" s="1"/>
  <c r="N78" i="64" s="1"/>
  <c r="T29" i="83"/>
  <c r="I40" i="64"/>
  <c r="J78" i="64"/>
  <c r="O40" i="64"/>
  <c r="C41" i="64"/>
  <c r="I41" i="64"/>
  <c r="J80" i="64"/>
  <c r="O41" i="64"/>
  <c r="I43" i="64"/>
  <c r="K43" i="64" s="1"/>
  <c r="O43" i="64"/>
  <c r="M48" i="64"/>
  <c r="M49" i="64"/>
  <c r="G50" i="64"/>
  <c r="M50" i="64"/>
  <c r="G51" i="64"/>
  <c r="M51" i="64"/>
  <c r="G52" i="64"/>
  <c r="M52" i="64"/>
  <c r="G53" i="64"/>
  <c r="M53" i="64"/>
  <c r="G54" i="64"/>
  <c r="M54" i="64"/>
  <c r="G55" i="64"/>
  <c r="G56" i="64"/>
  <c r="G57" i="64"/>
  <c r="G65" i="64"/>
  <c r="M65" i="64"/>
  <c r="G69" i="64"/>
  <c r="M69" i="64"/>
  <c r="G71" i="64"/>
  <c r="M71" i="64"/>
  <c r="G73" i="64"/>
  <c r="M73" i="64"/>
  <c r="G75" i="64"/>
  <c r="M75" i="64"/>
  <c r="G77" i="64"/>
  <c r="M77" i="64"/>
  <c r="G79" i="64"/>
  <c r="M79" i="64"/>
  <c r="D3" i="48"/>
  <c r="C30" i="48"/>
  <c r="B6" i="66"/>
  <c r="C6" i="66"/>
  <c r="D6" i="66"/>
  <c r="E6" i="66"/>
  <c r="G6" i="66"/>
  <c r="B7" i="66"/>
  <c r="C7" i="66"/>
  <c r="D7" i="66"/>
  <c r="G7" i="66"/>
  <c r="B8" i="66"/>
  <c r="C8" i="66"/>
  <c r="D8" i="66"/>
  <c r="E8" i="66"/>
  <c r="G8" i="66"/>
  <c r="C9" i="66"/>
  <c r="D9" i="66"/>
  <c r="E9" i="66"/>
  <c r="G9" i="66"/>
  <c r="B10" i="66"/>
  <c r="C10" i="66"/>
  <c r="D10" i="66"/>
  <c r="E10" i="66"/>
  <c r="G10" i="66"/>
  <c r="B11" i="66"/>
  <c r="C11" i="66"/>
  <c r="B12" i="66"/>
  <c r="C12" i="66"/>
  <c r="D12" i="66"/>
  <c r="E12" i="66"/>
  <c r="G12" i="66"/>
  <c r="B13" i="66"/>
  <c r="C13" i="66"/>
  <c r="D13" i="66"/>
  <c r="E13" i="66"/>
  <c r="G13" i="66"/>
  <c r="H13" i="66"/>
  <c r="B17" i="66"/>
  <c r="C17" i="66"/>
  <c r="D17" i="66"/>
  <c r="E17" i="66"/>
  <c r="G17" i="66"/>
  <c r="B18" i="66"/>
  <c r="C18" i="66"/>
  <c r="D18" i="66"/>
  <c r="E18" i="66"/>
  <c r="G18" i="66"/>
  <c r="H18" i="66"/>
  <c r="B19" i="66"/>
  <c r="C19" i="66"/>
  <c r="D19" i="66"/>
  <c r="E19" i="66"/>
  <c r="G19" i="66"/>
  <c r="B20" i="66"/>
  <c r="C20" i="66"/>
  <c r="D20" i="66"/>
  <c r="E20" i="66"/>
  <c r="G20" i="66"/>
  <c r="B21" i="66"/>
  <c r="C21" i="66"/>
  <c r="D21" i="66"/>
  <c r="E21" i="66"/>
  <c r="G21" i="66"/>
  <c r="B22" i="66"/>
  <c r="C22" i="66"/>
  <c r="D22" i="66"/>
  <c r="E22" i="66"/>
  <c r="G22" i="66"/>
  <c r="H22" i="66"/>
  <c r="B23" i="66"/>
  <c r="C23" i="66"/>
  <c r="D23" i="66"/>
  <c r="E23" i="66"/>
  <c r="G23" i="66"/>
  <c r="B24" i="66"/>
  <c r="C24" i="66"/>
  <c r="D24" i="66"/>
  <c r="E24" i="66"/>
  <c r="G24" i="66"/>
  <c r="B25" i="66"/>
  <c r="C25" i="66"/>
  <c r="D25" i="66"/>
  <c r="E25" i="66"/>
  <c r="G25" i="66"/>
  <c r="H25" i="66"/>
  <c r="B26" i="66"/>
  <c r="C26" i="66"/>
  <c r="D26" i="66"/>
  <c r="E26" i="66"/>
  <c r="G26" i="66"/>
  <c r="H26" i="66"/>
  <c r="B27" i="66"/>
  <c r="C27" i="66"/>
  <c r="E27" i="66"/>
  <c r="G27" i="66"/>
  <c r="B28" i="66"/>
  <c r="C28" i="66"/>
  <c r="D28" i="66"/>
  <c r="E28" i="66"/>
  <c r="G28" i="66"/>
  <c r="B29" i="66"/>
  <c r="C29" i="66"/>
  <c r="D29" i="66"/>
  <c r="G29" i="66"/>
  <c r="B30" i="66"/>
  <c r="C30" i="66"/>
  <c r="E30" i="66"/>
  <c r="G30" i="66"/>
  <c r="B31" i="66"/>
  <c r="C31" i="66"/>
  <c r="D31" i="66"/>
  <c r="E31" i="66"/>
  <c r="G31" i="66"/>
  <c r="B32" i="66"/>
  <c r="C32" i="66"/>
  <c r="D32" i="66"/>
  <c r="E32" i="66"/>
  <c r="G32" i="66"/>
  <c r="H32" i="66"/>
  <c r="B33" i="66"/>
  <c r="C33" i="66"/>
  <c r="D33" i="66"/>
  <c r="E33" i="66"/>
  <c r="G33" i="66"/>
  <c r="G34" i="66"/>
  <c r="B37" i="66"/>
  <c r="C37" i="66"/>
  <c r="G37" i="66"/>
  <c r="H37" i="66"/>
  <c r="B38" i="66"/>
  <c r="C38" i="66"/>
  <c r="D38" i="66"/>
  <c r="G38" i="66"/>
  <c r="B39" i="66"/>
  <c r="C39" i="66"/>
  <c r="D39" i="66"/>
  <c r="G39" i="66"/>
  <c r="H39" i="66"/>
  <c r="B40" i="66"/>
  <c r="C40" i="66"/>
  <c r="D40" i="66"/>
  <c r="E40" i="66"/>
  <c r="G40" i="66"/>
  <c r="B41" i="66"/>
  <c r="C41" i="66"/>
  <c r="D41" i="66"/>
  <c r="G41" i="66"/>
  <c r="B42" i="66"/>
  <c r="C42" i="66"/>
  <c r="D42" i="66"/>
  <c r="E42" i="66"/>
  <c r="G42" i="66"/>
  <c r="G43" i="66"/>
  <c r="B46" i="66"/>
  <c r="C46" i="66"/>
  <c r="E46" i="66"/>
  <c r="G46" i="66"/>
  <c r="B47" i="66"/>
  <c r="C47" i="66"/>
  <c r="D47" i="66"/>
  <c r="E47" i="66"/>
  <c r="G47" i="66"/>
  <c r="B48" i="66"/>
  <c r="C48" i="66"/>
  <c r="D48" i="66"/>
  <c r="E48" i="66"/>
  <c r="G48" i="66"/>
  <c r="H48" i="66"/>
  <c r="B49" i="66"/>
  <c r="C49" i="66"/>
  <c r="D49" i="66"/>
  <c r="G49" i="66"/>
  <c r="B50" i="66"/>
  <c r="C50" i="66"/>
  <c r="D50" i="66"/>
  <c r="E50" i="66"/>
  <c r="G50" i="66"/>
  <c r="B54" i="66"/>
  <c r="C54" i="66"/>
  <c r="D54" i="66"/>
  <c r="G54" i="66"/>
  <c r="B55" i="66"/>
  <c r="C55" i="66"/>
  <c r="D55" i="66"/>
  <c r="E55" i="66"/>
  <c r="G55" i="66"/>
  <c r="B56" i="66"/>
  <c r="C56" i="66"/>
  <c r="G56" i="66"/>
  <c r="B57" i="66"/>
  <c r="C57" i="66"/>
  <c r="D57" i="66"/>
  <c r="E57" i="66"/>
  <c r="G57" i="66"/>
  <c r="B58" i="66"/>
  <c r="C58" i="66"/>
  <c r="D58" i="66"/>
  <c r="E58" i="66"/>
  <c r="G58" i="66"/>
  <c r="G59" i="66"/>
  <c r="B62" i="66"/>
  <c r="C62" i="66"/>
  <c r="D62" i="66"/>
  <c r="E62" i="66"/>
  <c r="G62" i="66"/>
  <c r="B63" i="66"/>
  <c r="C63" i="66"/>
  <c r="E63" i="66"/>
  <c r="G63" i="66"/>
  <c r="B64" i="66"/>
  <c r="C64" i="66"/>
  <c r="D64" i="66"/>
  <c r="E64" i="66"/>
  <c r="G64" i="66"/>
  <c r="B65" i="66"/>
  <c r="C65" i="66"/>
  <c r="D65" i="66"/>
  <c r="E65" i="66"/>
  <c r="G65" i="66"/>
  <c r="H65" i="66"/>
  <c r="B66" i="66"/>
  <c r="C66" i="66"/>
  <c r="D66" i="66"/>
  <c r="G66" i="66"/>
  <c r="B67" i="66"/>
  <c r="C67" i="66"/>
  <c r="D67" i="66"/>
  <c r="E67" i="66"/>
  <c r="G67" i="66"/>
  <c r="B68" i="66"/>
  <c r="C68" i="66"/>
  <c r="D68" i="66"/>
  <c r="E68" i="66"/>
  <c r="G68" i="66"/>
  <c r="H68" i="66"/>
  <c r="B69" i="66"/>
  <c r="C69" i="66"/>
  <c r="D69" i="66"/>
  <c r="E69" i="66"/>
  <c r="G69" i="66"/>
  <c r="B70" i="66"/>
  <c r="C70" i="66"/>
  <c r="E70" i="66"/>
  <c r="G70" i="66"/>
  <c r="B71" i="66"/>
  <c r="C71" i="66"/>
  <c r="D71" i="66"/>
  <c r="E71" i="66"/>
  <c r="G71" i="66"/>
  <c r="H71" i="66"/>
  <c r="B72" i="66"/>
  <c r="C72" i="66"/>
  <c r="D72" i="66"/>
  <c r="E72" i="66"/>
  <c r="G72" i="66"/>
  <c r="H72" i="66"/>
  <c r="B76" i="66"/>
  <c r="C76" i="66"/>
  <c r="H76" i="66"/>
  <c r="B77" i="66"/>
  <c r="C77" i="66"/>
  <c r="D77" i="66"/>
  <c r="E77" i="66"/>
  <c r="G77" i="66"/>
  <c r="B78" i="66"/>
  <c r="C78" i="66"/>
  <c r="D78" i="66"/>
  <c r="E78" i="66"/>
  <c r="G78" i="66"/>
  <c r="H78" i="66"/>
  <c r="B79" i="66"/>
  <c r="C79" i="66"/>
  <c r="D79" i="66"/>
  <c r="E79" i="66"/>
  <c r="G79" i="66"/>
  <c r="B80" i="66"/>
  <c r="C80" i="66"/>
  <c r="D80" i="66"/>
  <c r="G80" i="66"/>
  <c r="G81" i="66"/>
  <c r="B84" i="66"/>
  <c r="C84" i="66"/>
  <c r="D84" i="66"/>
  <c r="E84" i="66"/>
  <c r="G84" i="66"/>
  <c r="H84" i="66"/>
  <c r="B85" i="66"/>
  <c r="C85" i="66"/>
  <c r="D85" i="66"/>
  <c r="E85" i="66"/>
  <c r="G85" i="66"/>
  <c r="H85" i="66"/>
  <c r="B86" i="66"/>
  <c r="C86" i="66"/>
  <c r="G86" i="66"/>
  <c r="B87" i="66"/>
  <c r="C87" i="66"/>
  <c r="D87" i="66"/>
  <c r="E87" i="66"/>
  <c r="G87" i="66"/>
  <c r="H87" i="66"/>
  <c r="B88" i="66"/>
  <c r="C88" i="66"/>
  <c r="B89" i="66"/>
  <c r="C89" i="66"/>
  <c r="G89" i="66"/>
  <c r="B90" i="66"/>
  <c r="C90" i="66"/>
  <c r="D90" i="66"/>
  <c r="E90" i="66"/>
  <c r="G90" i="66"/>
  <c r="H90" i="66"/>
  <c r="B91" i="66"/>
  <c r="C91" i="66"/>
  <c r="D91" i="66"/>
  <c r="E91" i="66"/>
  <c r="G91" i="66"/>
  <c r="H91" i="66"/>
  <c r="G93" i="66"/>
  <c r="B96" i="66"/>
  <c r="C96" i="66"/>
  <c r="D96" i="66"/>
  <c r="E96" i="66"/>
  <c r="G96" i="66"/>
  <c r="B97" i="66"/>
  <c r="C97" i="66"/>
  <c r="E97" i="66"/>
  <c r="G97" i="66"/>
  <c r="B98" i="66"/>
  <c r="C98" i="66"/>
  <c r="E98" i="66"/>
  <c r="G98" i="66"/>
  <c r="H98" i="66"/>
  <c r="F99" i="66"/>
  <c r="G99" i="66"/>
  <c r="A1" i="41"/>
  <c r="C3" i="41"/>
  <c r="C3" i="23"/>
  <c r="G6" i="83"/>
  <c r="C3" i="65"/>
  <c r="C3" i="42"/>
  <c r="C3" i="51"/>
  <c r="A1" i="50"/>
  <c r="C3" i="50"/>
  <c r="J16" i="81"/>
  <c r="E38" i="81"/>
  <c r="G38" i="81"/>
  <c r="P44" i="81"/>
  <c r="F50" i="81"/>
  <c r="F51" i="81"/>
  <c r="E52" i="81"/>
  <c r="F52" i="81" s="1"/>
  <c r="F53" i="81"/>
  <c r="H57" i="81"/>
  <c r="C3" i="47"/>
  <c r="C3" i="25"/>
  <c r="C3" i="40"/>
  <c r="B1" i="56"/>
  <c r="F49" i="81"/>
  <c r="F62" i="81" s="1"/>
  <c r="H6" i="66"/>
  <c r="J6" i="50"/>
  <c r="H47" i="66" s="1"/>
  <c r="D14" i="66"/>
  <c r="F26" i="25"/>
  <c r="D34" i="66"/>
  <c r="F12" i="65"/>
  <c r="F2" i="65" s="1"/>
  <c r="E34" i="66"/>
  <c r="I34" i="66" s="1"/>
  <c r="K34" i="66" s="1"/>
  <c r="I2" i="25" s="1"/>
  <c r="O35" i="81"/>
  <c r="D81" i="66"/>
  <c r="D34" i="64"/>
  <c r="F34" i="64"/>
  <c r="E14" i="66"/>
  <c r="I14" i="66"/>
  <c r="K14" i="66" s="1"/>
  <c r="G2" i="40"/>
  <c r="F11" i="51"/>
  <c r="D56" i="66"/>
  <c r="E2" i="41"/>
  <c r="E43" i="64"/>
  <c r="D99" i="66"/>
  <c r="H2" i="40"/>
  <c r="G14" i="66"/>
  <c r="B1" i="48"/>
  <c r="A1" i="42"/>
  <c r="B1" i="81"/>
  <c r="A1" i="65"/>
  <c r="A1" i="40"/>
  <c r="A1" i="51"/>
  <c r="D39" i="64"/>
  <c r="N76" i="64" s="1"/>
  <c r="J70" i="64"/>
  <c r="J15" i="42"/>
  <c r="H70" i="66"/>
  <c r="D70" i="66"/>
  <c r="I34" i="64"/>
  <c r="J7" i="51"/>
  <c r="H56" i="66"/>
  <c r="E40" i="64"/>
  <c r="J74" i="64"/>
  <c r="J17" i="25"/>
  <c r="H27" i="66" s="1"/>
  <c r="F24" i="42"/>
  <c r="J10" i="42"/>
  <c r="H66" i="66"/>
  <c r="F2" i="25"/>
  <c r="E35" i="64"/>
  <c r="D38" i="64"/>
  <c r="N74" i="64" s="1"/>
  <c r="J38" i="83"/>
  <c r="F11" i="50"/>
  <c r="D46" i="66"/>
  <c r="J5" i="50"/>
  <c r="J3" i="25"/>
  <c r="H17" i="66"/>
  <c r="H62" i="66"/>
  <c r="J3" i="42"/>
  <c r="D86" i="66"/>
  <c r="F3" i="41"/>
  <c r="D43" i="66"/>
  <c r="E36" i="64"/>
  <c r="J36" i="64" s="1"/>
  <c r="J52" i="64" s="1"/>
  <c r="E99" i="66"/>
  <c r="K99" i="66"/>
  <c r="H2" i="41" s="1"/>
  <c r="F43" i="64"/>
  <c r="H43" i="64" s="1"/>
  <c r="F2" i="41"/>
  <c r="J22" i="25"/>
  <c r="H30" i="66" s="1"/>
  <c r="H2" i="50"/>
  <c r="G51" i="66"/>
  <c r="I37" i="64"/>
  <c r="H2" i="42"/>
  <c r="I39" i="64"/>
  <c r="G73" i="66"/>
  <c r="J12" i="23"/>
  <c r="D88" i="66"/>
  <c r="L43" i="64"/>
  <c r="N43" i="64" s="1"/>
  <c r="F2" i="42"/>
  <c r="E39" i="64"/>
  <c r="D73" i="66"/>
  <c r="K36" i="64"/>
  <c r="P70" i="64" s="1"/>
  <c r="H77" i="64"/>
  <c r="J40" i="64"/>
  <c r="J66" i="64"/>
  <c r="J34" i="64"/>
  <c r="G3" i="42"/>
  <c r="H46" i="66"/>
  <c r="J3" i="50"/>
  <c r="G35" i="64"/>
  <c r="H67" i="64"/>
  <c r="J76" i="64"/>
  <c r="E37" i="64"/>
  <c r="H71" i="64"/>
  <c r="F2" i="50"/>
  <c r="D51" i="66"/>
  <c r="I2" i="40"/>
  <c r="H75" i="64"/>
  <c r="J39" i="64"/>
  <c r="J55" i="64" s="1"/>
  <c r="J56" i="64"/>
  <c r="I51" i="64"/>
  <c r="L9" i="83"/>
  <c r="AN84" i="76" l="1"/>
  <c r="AX80" i="76"/>
  <c r="T117" i="76" s="1"/>
  <c r="W95" i="76"/>
  <c r="AX82" i="76"/>
  <c r="V117" i="76" s="1"/>
  <c r="AX81" i="76"/>
  <c r="U117" i="76" s="1"/>
  <c r="AA95" i="76"/>
  <c r="M66" i="76"/>
  <c r="N66" i="76" s="1"/>
  <c r="AD77" i="76"/>
  <c r="AR84" i="76"/>
  <c r="AL84" i="76"/>
  <c r="G30" i="76"/>
  <c r="L31" i="76" s="1"/>
  <c r="N63" i="76"/>
  <c r="AT84" i="76"/>
  <c r="AX83" i="76"/>
  <c r="Y117" i="76" s="1"/>
  <c r="AK84" i="76"/>
  <c r="AM84" i="76"/>
  <c r="AV84" i="76"/>
  <c r="AP84" i="76"/>
  <c r="N64" i="76"/>
  <c r="J25" i="78"/>
  <c r="E39" i="78" s="1"/>
  <c r="B172" i="76"/>
  <c r="AD89" i="76"/>
  <c r="B173" i="76"/>
  <c r="M81" i="76"/>
  <c r="Q78" i="76" s="1"/>
  <c r="AQ84" i="76"/>
  <c r="M65" i="76"/>
  <c r="N65" i="76" s="1"/>
  <c r="B176" i="76"/>
  <c r="S95" i="76"/>
  <c r="AS84" i="76"/>
  <c r="B174" i="76"/>
  <c r="AU84" i="76"/>
  <c r="AO84" i="76"/>
  <c r="H73" i="81"/>
  <c r="T76" i="81" s="1"/>
  <c r="I57" i="81"/>
  <c r="N5" i="76"/>
  <c r="M46" i="76" s="1"/>
  <c r="N46" i="76" s="1"/>
  <c r="H5" i="76"/>
  <c r="X127" i="81"/>
  <c r="H24" i="81" s="1"/>
  <c r="H20" i="81"/>
  <c r="H72" i="81"/>
  <c r="H74" i="81" s="1"/>
  <c r="F40" i="83"/>
  <c r="G38" i="83"/>
  <c r="H40" i="83"/>
  <c r="H65" i="81"/>
  <c r="F65" i="81"/>
  <c r="G2" i="68"/>
  <c r="G9" i="50"/>
  <c r="E38" i="64"/>
  <c r="F2" i="51"/>
  <c r="D59" i="66"/>
  <c r="G34" i="64"/>
  <c r="L34" i="64"/>
  <c r="I66" i="64"/>
  <c r="J50" i="64"/>
  <c r="K34" i="64"/>
  <c r="P66" i="64" s="1"/>
  <c r="J72" i="64"/>
  <c r="J37" i="64"/>
  <c r="F39" i="83"/>
  <c r="T28" i="83" s="1"/>
  <c r="T30" i="83" s="1"/>
  <c r="T34" i="83" s="1"/>
  <c r="H69" i="64"/>
  <c r="O44" i="64"/>
  <c r="C55" i="64" s="1"/>
  <c r="C29" i="48" s="1"/>
  <c r="B1" i="76"/>
  <c r="B1" i="68"/>
  <c r="A1" i="47"/>
  <c r="A1" i="66"/>
  <c r="A1" i="25"/>
  <c r="A1" i="23"/>
  <c r="B2" i="83"/>
  <c r="B1" i="78"/>
  <c r="F39" i="64"/>
  <c r="E73" i="66"/>
  <c r="I73" i="66" s="1"/>
  <c r="K73" i="66" s="1"/>
  <c r="I2" i="42" s="1"/>
  <c r="F18" i="23"/>
  <c r="D89" i="66"/>
  <c r="J14" i="23"/>
  <c r="H29" i="66"/>
  <c r="E53" i="81"/>
  <c r="H68" i="81" s="1"/>
  <c r="G3" i="40"/>
  <c r="D63" i="66"/>
  <c r="J6" i="42"/>
  <c r="H63" i="66" s="1"/>
  <c r="Z95" i="76"/>
  <c r="V95" i="76"/>
  <c r="R95" i="76"/>
  <c r="F88" i="81"/>
  <c r="F90" i="81" s="1"/>
  <c r="F91" i="81" s="1"/>
  <c r="F94" i="81" s="1"/>
  <c r="H69" i="81"/>
  <c r="Y95" i="76"/>
  <c r="U95" i="76"/>
  <c r="Q95" i="76"/>
  <c r="I35" i="64"/>
  <c r="AB95" i="76"/>
  <c r="X95" i="76"/>
  <c r="H71" i="81"/>
  <c r="C42" i="64"/>
  <c r="H35" i="64"/>
  <c r="O68" i="64" s="1"/>
  <c r="K40" i="64"/>
  <c r="P78" i="64" s="1"/>
  <c r="N66" i="64"/>
  <c r="D41" i="64"/>
  <c r="N80" i="64" s="1"/>
  <c r="C26" i="83"/>
  <c r="D27" i="83"/>
  <c r="C33" i="83"/>
  <c r="I34" i="83"/>
  <c r="C32" i="83"/>
  <c r="C19" i="83"/>
  <c r="D35" i="83"/>
  <c r="I31" i="83"/>
  <c r="C36" i="83"/>
  <c r="C28" i="83"/>
  <c r="C29" i="83"/>
  <c r="D30" i="83"/>
  <c r="D34" i="83"/>
  <c r="D36" i="83"/>
  <c r="C35" i="83"/>
  <c r="C27" i="83"/>
  <c r="C30" i="83"/>
  <c r="C20" i="83"/>
  <c r="C25" i="83"/>
  <c r="C24" i="83"/>
  <c r="C34" i="83"/>
  <c r="C22" i="83"/>
  <c r="D29" i="83"/>
  <c r="C21" i="83"/>
  <c r="Q27" i="83"/>
  <c r="Q29" i="83" s="1"/>
  <c r="C31" i="83"/>
  <c r="C23" i="83"/>
  <c r="N27" i="76" l="1"/>
  <c r="AX84" i="76"/>
  <c r="AY82" i="76" s="1"/>
  <c r="E38" i="78"/>
  <c r="E41" i="78"/>
  <c r="E40" i="78"/>
  <c r="M13" i="76"/>
  <c r="N13" i="76" s="1"/>
  <c r="M67" i="76"/>
  <c r="M68" i="76" s="1"/>
  <c r="H70" i="81"/>
  <c r="M25" i="76"/>
  <c r="N25" i="76" s="1"/>
  <c r="M36" i="76"/>
  <c r="N36" i="76" s="1"/>
  <c r="M44" i="76"/>
  <c r="N44" i="76" s="1"/>
  <c r="M24" i="76"/>
  <c r="N24" i="76" s="1"/>
  <c r="M38" i="76"/>
  <c r="N38" i="76" s="1"/>
  <c r="M14" i="76"/>
  <c r="N14" i="76" s="1"/>
  <c r="M35" i="76"/>
  <c r="N35" i="76" s="1"/>
  <c r="M23" i="76"/>
  <c r="N23" i="76" s="1"/>
  <c r="M16" i="76"/>
  <c r="N16" i="76" s="1"/>
  <c r="M47" i="76"/>
  <c r="N47" i="76" s="1"/>
  <c r="M22" i="76"/>
  <c r="N22" i="76" s="1"/>
  <c r="I5" i="81"/>
  <c r="E37" i="66" s="1"/>
  <c r="M45" i="76"/>
  <c r="N45" i="76" s="1"/>
  <c r="M15" i="76"/>
  <c r="N15" i="76" s="1"/>
  <c r="M37" i="76"/>
  <c r="N37" i="76" s="1"/>
  <c r="W93" i="81"/>
  <c r="W87" i="81"/>
  <c r="W97" i="81"/>
  <c r="W101" i="81"/>
  <c r="W84" i="81"/>
  <c r="W85" i="81"/>
  <c r="W90" i="81"/>
  <c r="W89" i="81"/>
  <c r="W82" i="81"/>
  <c r="W88" i="81"/>
  <c r="W99" i="81"/>
  <c r="W95" i="81"/>
  <c r="W86" i="81"/>
  <c r="W92" i="81"/>
  <c r="W81" i="81"/>
  <c r="W98" i="81"/>
  <c r="W83" i="81"/>
  <c r="W96" i="81"/>
  <c r="W100" i="81"/>
  <c r="W91" i="81"/>
  <c r="W94" i="81"/>
  <c r="J53" i="64"/>
  <c r="K37" i="64"/>
  <c r="P72" i="64" s="1"/>
  <c r="AD95" i="76"/>
  <c r="F2" i="23"/>
  <c r="E41" i="64"/>
  <c r="D93" i="66"/>
  <c r="I50" i="64"/>
  <c r="H34" i="64"/>
  <c r="O66" i="64" s="1"/>
  <c r="G11" i="50"/>
  <c r="J9" i="50"/>
  <c r="H49" i="66" s="1"/>
  <c r="E49" i="66"/>
  <c r="M34" i="64"/>
  <c r="N34" i="64" s="1"/>
  <c r="J38" i="64"/>
  <c r="H73" i="64"/>
  <c r="J68" i="64"/>
  <c r="J35" i="64"/>
  <c r="I42" i="64"/>
  <c r="L35" i="64"/>
  <c r="M35" i="64" s="1"/>
  <c r="N35" i="64" s="1"/>
  <c r="L39" i="64"/>
  <c r="M39" i="64" s="1"/>
  <c r="N39" i="64" s="1"/>
  <c r="I76" i="64"/>
  <c r="G39" i="64"/>
  <c r="J3" i="83"/>
  <c r="G11" i="65"/>
  <c r="D42" i="64"/>
  <c r="G25" i="83"/>
  <c r="J25" i="83"/>
  <c r="G29" i="83"/>
  <c r="J29" i="83"/>
  <c r="G31" i="83"/>
  <c r="J31" i="83"/>
  <c r="J21" i="83"/>
  <c r="G21" i="83"/>
  <c r="G24" i="83"/>
  <c r="J24" i="83"/>
  <c r="J27" i="83"/>
  <c r="G27" i="83"/>
  <c r="G23" i="83"/>
  <c r="J23" i="83"/>
  <c r="G35" i="83"/>
  <c r="J35" i="83"/>
  <c r="G33" i="83"/>
  <c r="J33" i="83"/>
  <c r="G22" i="83"/>
  <c r="J22" i="83"/>
  <c r="J20" i="83"/>
  <c r="G20" i="83"/>
  <c r="G28" i="83"/>
  <c r="J28" i="83"/>
  <c r="J19" i="83"/>
  <c r="G19" i="83"/>
  <c r="J34" i="83"/>
  <c r="G34" i="83"/>
  <c r="G30" i="83"/>
  <c r="J30" i="83"/>
  <c r="G36" i="83"/>
  <c r="J36" i="83"/>
  <c r="J32" i="83"/>
  <c r="G32" i="83"/>
  <c r="J26" i="83"/>
  <c r="G26" i="83"/>
  <c r="AY84" i="76" l="1"/>
  <c r="AY83" i="76"/>
  <c r="AY80" i="76"/>
  <c r="AY81" i="76"/>
  <c r="T78" i="81"/>
  <c r="G5" i="47"/>
  <c r="I5" i="47" s="1"/>
  <c r="C71" i="64"/>
  <c r="N40" i="76"/>
  <c r="N26" i="76"/>
  <c r="N30" i="76" s="1"/>
  <c r="N48" i="76"/>
  <c r="B65" i="64"/>
  <c r="K103" i="66" s="1"/>
  <c r="I2" i="81"/>
  <c r="G6" i="47" s="1"/>
  <c r="J6" i="47" s="1"/>
  <c r="H38" i="66" s="1"/>
  <c r="M48" i="76"/>
  <c r="N17" i="76"/>
  <c r="M17" i="76"/>
  <c r="J41" i="64"/>
  <c r="H79" i="64"/>
  <c r="E80" i="66"/>
  <c r="J11" i="65"/>
  <c r="H80" i="66" s="1"/>
  <c r="G12" i="65"/>
  <c r="F37" i="64"/>
  <c r="G2" i="50"/>
  <c r="G3" i="50" s="1"/>
  <c r="E51" i="66"/>
  <c r="I51" i="66" s="1"/>
  <c r="K51" i="66" s="1"/>
  <c r="I55" i="64"/>
  <c r="H39" i="64"/>
  <c r="O76" i="64" s="1"/>
  <c r="E42" i="64"/>
  <c r="J51" i="64"/>
  <c r="K35" i="64"/>
  <c r="K38" i="64"/>
  <c r="P74" i="64" s="1"/>
  <c r="J54" i="64"/>
  <c r="G37" i="83"/>
  <c r="J37" i="83"/>
  <c r="N114" i="76" l="1"/>
  <c r="N113" i="76"/>
  <c r="AK74" i="76"/>
  <c r="N116" i="76"/>
  <c r="N97" i="76"/>
  <c r="V93" i="76" s="1"/>
  <c r="N115" i="76"/>
  <c r="AR75" i="76"/>
  <c r="AV77" i="76"/>
  <c r="AL75" i="76"/>
  <c r="AQ77" i="76"/>
  <c r="I49" i="76"/>
  <c r="AU76" i="76"/>
  <c r="I40" i="76"/>
  <c r="AK76" i="76"/>
  <c r="G40" i="76"/>
  <c r="G56" i="76" s="1"/>
  <c r="E16" i="78" s="1"/>
  <c r="N31" i="76"/>
  <c r="I31" i="76"/>
  <c r="AO76" i="76"/>
  <c r="AM76" i="76"/>
  <c r="AL76" i="76"/>
  <c r="AR76" i="76"/>
  <c r="AV76" i="76"/>
  <c r="AN76" i="76"/>
  <c r="G18" i="76"/>
  <c r="I18" i="76"/>
  <c r="AN74" i="76"/>
  <c r="AN75" i="76"/>
  <c r="G31" i="76"/>
  <c r="G55" i="76" s="1"/>
  <c r="E15" i="78" s="1"/>
  <c r="AP75" i="76"/>
  <c r="AQ76" i="76"/>
  <c r="AS76" i="76"/>
  <c r="AQ75" i="76"/>
  <c r="AV75" i="76"/>
  <c r="AK75" i="76"/>
  <c r="AU75" i="76"/>
  <c r="AS75" i="76"/>
  <c r="N41" i="76"/>
  <c r="AT76" i="76"/>
  <c r="AP76" i="76"/>
  <c r="AT77" i="76"/>
  <c r="AO75" i="76"/>
  <c r="AT75" i="76"/>
  <c r="AM75" i="76"/>
  <c r="V119" i="81"/>
  <c r="AL77" i="76"/>
  <c r="N98" i="76"/>
  <c r="R94" i="76" s="1"/>
  <c r="G49" i="76"/>
  <c r="G57" i="76" s="1"/>
  <c r="E17" i="78" s="1"/>
  <c r="AU77" i="76"/>
  <c r="AN77" i="76"/>
  <c r="AP77" i="76"/>
  <c r="AR74" i="76"/>
  <c r="AS74" i="76"/>
  <c r="AM74" i="76"/>
  <c r="AO77" i="76"/>
  <c r="N49" i="76"/>
  <c r="AK77" i="76"/>
  <c r="AS77" i="76"/>
  <c r="AM77" i="76"/>
  <c r="AR77" i="76"/>
  <c r="AQ74" i="76"/>
  <c r="AV74" i="76"/>
  <c r="AL74" i="76"/>
  <c r="AO74" i="76"/>
  <c r="AU74" i="76"/>
  <c r="G14" i="47"/>
  <c r="E38" i="66"/>
  <c r="N51" i="76"/>
  <c r="N52" i="76" s="1"/>
  <c r="AT74" i="76"/>
  <c r="N18" i="76"/>
  <c r="AP74" i="76"/>
  <c r="P68" i="64"/>
  <c r="G37" i="64"/>
  <c r="L37" i="64"/>
  <c r="I72" i="64"/>
  <c r="G2" i="65"/>
  <c r="G3" i="65" s="1"/>
  <c r="E81" i="66"/>
  <c r="I81" i="66" s="1"/>
  <c r="K81" i="66" s="1"/>
  <c r="I2" i="65" s="1"/>
  <c r="F40" i="64"/>
  <c r="J57" i="64"/>
  <c r="K41" i="64"/>
  <c r="P80" i="64" s="1"/>
  <c r="I2" i="50"/>
  <c r="G54" i="76" l="1"/>
  <c r="E14" i="78" s="1"/>
  <c r="X93" i="76"/>
  <c r="N118" i="76"/>
  <c r="AQ100" i="76" s="1"/>
  <c r="Y94" i="76"/>
  <c r="N100" i="76"/>
  <c r="V94" i="76"/>
  <c r="V96" i="76" s="1"/>
  <c r="AA94" i="76"/>
  <c r="W93" i="76"/>
  <c r="Y93" i="76"/>
  <c r="AQ78" i="76"/>
  <c r="AQ88" i="76" s="1"/>
  <c r="Q94" i="76"/>
  <c r="AB94" i="76"/>
  <c r="S94" i="76"/>
  <c r="U94" i="76"/>
  <c r="T94" i="76"/>
  <c r="W94" i="76"/>
  <c r="X94" i="76"/>
  <c r="Z94" i="76"/>
  <c r="AT78" i="76"/>
  <c r="AT93" i="76" s="1"/>
  <c r="AN78" i="76"/>
  <c r="AN92" i="76" s="1"/>
  <c r="Z93" i="76"/>
  <c r="S93" i="76"/>
  <c r="AA93" i="76"/>
  <c r="Q93" i="76"/>
  <c r="AB93" i="76"/>
  <c r="U93" i="76"/>
  <c r="AX75" i="76"/>
  <c r="AX76" i="76"/>
  <c r="AK78" i="76"/>
  <c r="AK90" i="76" s="1"/>
  <c r="R93" i="76"/>
  <c r="R96" i="76" s="1"/>
  <c r="T93" i="76"/>
  <c r="AV78" i="76"/>
  <c r="AV94" i="76" s="1"/>
  <c r="AM78" i="76"/>
  <c r="AM98" i="76" s="1"/>
  <c r="AX77" i="76"/>
  <c r="AO78" i="76"/>
  <c r="AO91" i="76" s="1"/>
  <c r="AO105" i="76" s="1"/>
  <c r="AR78" i="76"/>
  <c r="AR97" i="76" s="1"/>
  <c r="AL78" i="76"/>
  <c r="AL87" i="76" s="1"/>
  <c r="AP78" i="76"/>
  <c r="AP88" i="76" s="1"/>
  <c r="AU78" i="76"/>
  <c r="AU87" i="76" s="1"/>
  <c r="AS78" i="76"/>
  <c r="AS97" i="76" s="1"/>
  <c r="AX74" i="76"/>
  <c r="G2" i="47"/>
  <c r="G3" i="47" s="1"/>
  <c r="F36" i="64"/>
  <c r="E43" i="66"/>
  <c r="I43" i="66" s="1"/>
  <c r="K43" i="66" s="1"/>
  <c r="I2" i="47" s="1"/>
  <c r="I53" i="64"/>
  <c r="H37" i="64"/>
  <c r="K42" i="64"/>
  <c r="K44" i="64" s="1"/>
  <c r="N56" i="64" s="1"/>
  <c r="L40" i="64"/>
  <c r="M40" i="64" s="1"/>
  <c r="N40" i="64" s="1"/>
  <c r="I78" i="64"/>
  <c r="G40" i="64"/>
  <c r="G52" i="76"/>
  <c r="G161" i="76" s="1"/>
  <c r="M37" i="64"/>
  <c r="N37" i="64" s="1"/>
  <c r="X96" i="76" l="1"/>
  <c r="AL128" i="76"/>
  <c r="AK128" i="76"/>
  <c r="S96" i="76"/>
  <c r="Y96" i="76"/>
  <c r="AA96" i="76"/>
  <c r="AQ92" i="76"/>
  <c r="Q96" i="76"/>
  <c r="Z96" i="76"/>
  <c r="AD94" i="76"/>
  <c r="AB96" i="76"/>
  <c r="AQ89" i="76"/>
  <c r="AQ93" i="76"/>
  <c r="AQ97" i="76"/>
  <c r="AQ90" i="76"/>
  <c r="W96" i="76"/>
  <c r="AP128" i="76"/>
  <c r="AQ87" i="76"/>
  <c r="AQ101" i="76" s="1"/>
  <c r="AQ98" i="76"/>
  <c r="AQ94" i="76"/>
  <c r="AQ96" i="76"/>
  <c r="AQ91" i="76"/>
  <c r="AQ105" i="76" s="1"/>
  <c r="AU128" i="76"/>
  <c r="AD93" i="76"/>
  <c r="AT94" i="76"/>
  <c r="AK89" i="76"/>
  <c r="AK102" i="76" s="1"/>
  <c r="U96" i="76"/>
  <c r="X117" i="76"/>
  <c r="AN94" i="76"/>
  <c r="AV87" i="76"/>
  <c r="AV89" i="76"/>
  <c r="AO100" i="76"/>
  <c r="AV91" i="76"/>
  <c r="AV105" i="76" s="1"/>
  <c r="AP100" i="76"/>
  <c r="AN93" i="76"/>
  <c r="AN87" i="76"/>
  <c r="AN97" i="76"/>
  <c r="AN90" i="76"/>
  <c r="AU94" i="76"/>
  <c r="AN89" i="76"/>
  <c r="AN91" i="76"/>
  <c r="AN105" i="76" s="1"/>
  <c r="AR96" i="76"/>
  <c r="AN96" i="76"/>
  <c r="AM92" i="76"/>
  <c r="AM96" i="76"/>
  <c r="AM89" i="76"/>
  <c r="AM97" i="76"/>
  <c r="AM87" i="76"/>
  <c r="AT96" i="76"/>
  <c r="AV88" i="76"/>
  <c r="AV98" i="76"/>
  <c r="AT97" i="76"/>
  <c r="AT90" i="76"/>
  <c r="AV92" i="76"/>
  <c r="AT89" i="76"/>
  <c r="AT92" i="76"/>
  <c r="AT88" i="76"/>
  <c r="AT87" i="76"/>
  <c r="AK92" i="76"/>
  <c r="AT98" i="76"/>
  <c r="AV90" i="76"/>
  <c r="AV97" i="76"/>
  <c r="AN88" i="76"/>
  <c r="AN98" i="76"/>
  <c r="AV93" i="76"/>
  <c r="AT91" i="76"/>
  <c r="AT105" i="76" s="1"/>
  <c r="AV96" i="76"/>
  <c r="AO92" i="76"/>
  <c r="AK100" i="76"/>
  <c r="AO93" i="76"/>
  <c r="AM90" i="76"/>
  <c r="AS128" i="76"/>
  <c r="AR128" i="76"/>
  <c r="AT128" i="76"/>
  <c r="T96" i="76"/>
  <c r="AK94" i="76"/>
  <c r="AK91" i="76"/>
  <c r="AK105" i="76" s="1"/>
  <c r="AS98" i="76"/>
  <c r="AL94" i="76"/>
  <c r="AK87" i="76"/>
  <c r="AO96" i="76"/>
  <c r="AK98" i="76"/>
  <c r="AK93" i="76"/>
  <c r="AM93" i="76"/>
  <c r="AM91" i="76"/>
  <c r="AM105" i="76" s="1"/>
  <c r="AL92" i="76"/>
  <c r="AL90" i="76"/>
  <c r="AO97" i="76"/>
  <c r="AK96" i="76"/>
  <c r="AM94" i="76"/>
  <c r="AK97" i="76"/>
  <c r="AO89" i="76"/>
  <c r="AK88" i="76"/>
  <c r="AN128" i="76"/>
  <c r="AO128" i="76"/>
  <c r="AQ128" i="76"/>
  <c r="AM88" i="76"/>
  <c r="AV128" i="76"/>
  <c r="AM128" i="76"/>
  <c r="AT100" i="76"/>
  <c r="AU100" i="76"/>
  <c r="AU90" i="76"/>
  <c r="AU97" i="76"/>
  <c r="AR92" i="76"/>
  <c r="AN100" i="76"/>
  <c r="AM100" i="76"/>
  <c r="AR93" i="76"/>
  <c r="AU93" i="76"/>
  <c r="AR100" i="76"/>
  <c r="AL100" i="76"/>
  <c r="AS100" i="76"/>
  <c r="AV100" i="76"/>
  <c r="AO90" i="76"/>
  <c r="AL98" i="76"/>
  <c r="AS91" i="76"/>
  <c r="AS105" i="76" s="1"/>
  <c r="AO87" i="76"/>
  <c r="AO88" i="76"/>
  <c r="AO98" i="76"/>
  <c r="AO94" i="76"/>
  <c r="AL89" i="76"/>
  <c r="W117" i="76"/>
  <c r="AP96" i="76"/>
  <c r="AU91" i="76"/>
  <c r="AU105" i="76" s="1"/>
  <c r="AR89" i="76"/>
  <c r="AR94" i="76"/>
  <c r="AU92" i="76"/>
  <c r="AU88" i="76"/>
  <c r="AU101" i="76" s="1"/>
  <c r="AR98" i="76"/>
  <c r="AR91" i="76"/>
  <c r="AR105" i="76" s="1"/>
  <c r="AX78" i="76"/>
  <c r="AY77" i="76" s="1"/>
  <c r="AU89" i="76"/>
  <c r="AU96" i="76"/>
  <c r="AP87" i="76"/>
  <c r="AP101" i="76" s="1"/>
  <c r="AP90" i="76"/>
  <c r="AU98" i="76"/>
  <c r="AR87" i="76"/>
  <c r="AR90" i="76"/>
  <c r="AR88" i="76"/>
  <c r="AS89" i="76"/>
  <c r="AP98" i="76"/>
  <c r="AS96" i="76"/>
  <c r="AS93" i="76"/>
  <c r="AL88" i="76"/>
  <c r="AL101" i="76" s="1"/>
  <c r="AL91" i="76"/>
  <c r="AL105" i="76" s="1"/>
  <c r="AL93" i="76"/>
  <c r="AP89" i="76"/>
  <c r="AP94" i="76"/>
  <c r="AS88" i="76"/>
  <c r="AS90" i="76"/>
  <c r="AS94" i="76"/>
  <c r="AP91" i="76"/>
  <c r="AP105" i="76" s="1"/>
  <c r="AS87" i="76"/>
  <c r="AP97" i="76"/>
  <c r="AS92" i="76"/>
  <c r="AL96" i="76"/>
  <c r="AP92" i="76"/>
  <c r="AP93" i="76"/>
  <c r="AL97" i="76"/>
  <c r="G36" i="64"/>
  <c r="L36" i="64"/>
  <c r="M36" i="64" s="1"/>
  <c r="N36" i="64" s="1"/>
  <c r="I70" i="64"/>
  <c r="O72" i="64"/>
  <c r="I56" i="64"/>
  <c r="H40" i="64"/>
  <c r="O78" i="64" s="1"/>
  <c r="E18" i="78"/>
  <c r="E31" i="78" s="1"/>
  <c r="E55" i="76"/>
  <c r="E54" i="76"/>
  <c r="E57" i="76"/>
  <c r="E56" i="76"/>
  <c r="AS101" i="76" l="1"/>
  <c r="AT101" i="76"/>
  <c r="AN102" i="76"/>
  <c r="AR102" i="76"/>
  <c r="AO102" i="76"/>
  <c r="AL102" i="76"/>
  <c r="AM102" i="76"/>
  <c r="AQ102" i="76"/>
  <c r="AP102" i="76"/>
  <c r="AV101" i="76"/>
  <c r="AV102" i="76"/>
  <c r="AT102" i="76"/>
  <c r="AR101" i="76"/>
  <c r="AO101" i="76"/>
  <c r="AK101" i="76"/>
  <c r="AQ113" i="76" s="1"/>
  <c r="AQ119" i="76" s="1"/>
  <c r="AM101" i="76"/>
  <c r="AN101" i="76"/>
  <c r="AU102" i="76"/>
  <c r="AS102" i="76"/>
  <c r="AD96" i="76"/>
  <c r="AX128" i="76"/>
  <c r="AX100" i="76"/>
  <c r="AY75" i="76"/>
  <c r="AY74" i="76"/>
  <c r="AY76" i="76"/>
  <c r="AY78" i="76"/>
  <c r="I52" i="64"/>
  <c r="H36" i="64"/>
  <c r="O70" i="64" s="1"/>
  <c r="AQ110" i="76" l="1"/>
  <c r="AQ116" i="76" s="1"/>
  <c r="AS108" i="76"/>
  <c r="AS114" i="76" s="1"/>
  <c r="AL111" i="76"/>
  <c r="AL117" i="76" s="1"/>
  <c r="AT108" i="76"/>
  <c r="AT114" i="76" s="1"/>
  <c r="AN110" i="76"/>
  <c r="AN116" i="76" s="1"/>
  <c r="AV112" i="76"/>
  <c r="AV118" i="76" s="1"/>
  <c r="AM113" i="76"/>
  <c r="AM119" i="76" s="1"/>
  <c r="AO110" i="76"/>
  <c r="AO116" i="76" s="1"/>
  <c r="AS113" i="76"/>
  <c r="AS119" i="76" s="1"/>
  <c r="AN111" i="76"/>
  <c r="AN117" i="76" s="1"/>
  <c r="AL110" i="76"/>
  <c r="AL116" i="76" s="1"/>
  <c r="AU110" i="76"/>
  <c r="AU116" i="76" s="1"/>
  <c r="AK110" i="76"/>
  <c r="AK116" i="76" s="1"/>
  <c r="AR111" i="76"/>
  <c r="AR117" i="76" s="1"/>
  <c r="AP112" i="76"/>
  <c r="AP118" i="76" s="1"/>
  <c r="AO109" i="76"/>
  <c r="AO115" i="76" s="1"/>
  <c r="AO112" i="76"/>
  <c r="AO118" i="76" s="1"/>
  <c r="AU113" i="76"/>
  <c r="AU119" i="76" s="1"/>
  <c r="AU111" i="76"/>
  <c r="AU117" i="76" s="1"/>
  <c r="AV111" i="76"/>
  <c r="AV117" i="76" s="1"/>
  <c r="AS111" i="76"/>
  <c r="AS117" i="76" s="1"/>
  <c r="AK109" i="76"/>
  <c r="AK115" i="76" s="1"/>
  <c r="AK108" i="76"/>
  <c r="AK114" i="76" s="1"/>
  <c r="AT113" i="76"/>
  <c r="AT119" i="76" s="1"/>
  <c r="AN113" i="76"/>
  <c r="AN119" i="76" s="1"/>
  <c r="AR113" i="76"/>
  <c r="AR119" i="76" s="1"/>
  <c r="AR110" i="76"/>
  <c r="AR116" i="76" s="1"/>
  <c r="AM110" i="76"/>
  <c r="AM116" i="76" s="1"/>
  <c r="AL108" i="76"/>
  <c r="AL114" i="76" s="1"/>
  <c r="AL113" i="76"/>
  <c r="AL119" i="76" s="1"/>
  <c r="AP111" i="76"/>
  <c r="AP117" i="76" s="1"/>
  <c r="AQ111" i="76"/>
  <c r="AQ117" i="76" s="1"/>
  <c r="AU109" i="76"/>
  <c r="AU115" i="76" s="1"/>
  <c r="AO108" i="76"/>
  <c r="AO114" i="76" s="1"/>
  <c r="AQ108" i="76"/>
  <c r="AQ114" i="76" s="1"/>
  <c r="AO111" i="76"/>
  <c r="AO117" i="76" s="1"/>
  <c r="AU112" i="76"/>
  <c r="AU118" i="76" s="1"/>
  <c r="AV110" i="76"/>
  <c r="AV116" i="76" s="1"/>
  <c r="AV113" i="76"/>
  <c r="AV119" i="76" s="1"/>
  <c r="AS112" i="76"/>
  <c r="AS118" i="76" s="1"/>
  <c r="AK113" i="76"/>
  <c r="AK119" i="76" s="1"/>
  <c r="AK111" i="76"/>
  <c r="AK117" i="76" s="1"/>
  <c r="AT111" i="76"/>
  <c r="AT117" i="76" s="1"/>
  <c r="AN112" i="76"/>
  <c r="AN118" i="76" s="1"/>
  <c r="AR112" i="76"/>
  <c r="AR118" i="76" s="1"/>
  <c r="AM112" i="76"/>
  <c r="AM118" i="76" s="1"/>
  <c r="AM111" i="76"/>
  <c r="AM117" i="76" s="1"/>
  <c r="AL109" i="76"/>
  <c r="AL115" i="76" s="1"/>
  <c r="AP110" i="76"/>
  <c r="AP116" i="76" s="1"/>
  <c r="AP113" i="76"/>
  <c r="AP119" i="76" s="1"/>
  <c r="AQ109" i="76"/>
  <c r="AQ115" i="76" s="1"/>
  <c r="AN108" i="76"/>
  <c r="AN114" i="76" s="1"/>
  <c r="AR108" i="76"/>
  <c r="AR114" i="76" s="1"/>
  <c r="AV108" i="76"/>
  <c r="AV114" i="76" s="1"/>
  <c r="AO113" i="76"/>
  <c r="AO119" i="76" s="1"/>
  <c r="AU108" i="76"/>
  <c r="AU114" i="76" s="1"/>
  <c r="AV109" i="76"/>
  <c r="AV115" i="76" s="1"/>
  <c r="AS109" i="76"/>
  <c r="AS115" i="76" s="1"/>
  <c r="AS110" i="76"/>
  <c r="AS116" i="76" s="1"/>
  <c r="AK112" i="76"/>
  <c r="AK118" i="76" s="1"/>
  <c r="AT110" i="76"/>
  <c r="AT116" i="76" s="1"/>
  <c r="AT112" i="76"/>
  <c r="AT118" i="76" s="1"/>
  <c r="AN109" i="76"/>
  <c r="AN115" i="76" s="1"/>
  <c r="AR109" i="76"/>
  <c r="AR115" i="76" s="1"/>
  <c r="AM109" i="76"/>
  <c r="AM115" i="76" s="1"/>
  <c r="AM108" i="76"/>
  <c r="AM114" i="76" s="1"/>
  <c r="AL112" i="76"/>
  <c r="AL118" i="76" s="1"/>
  <c r="AP108" i="76"/>
  <c r="AP114" i="76" s="1"/>
  <c r="AQ112" i="76"/>
  <c r="AQ118" i="76" s="1"/>
  <c r="AT109" i="76"/>
  <c r="AT115" i="76" s="1"/>
  <c r="AP109" i="76"/>
  <c r="AP115" i="76" s="1"/>
  <c r="AP125" i="76" l="1"/>
  <c r="AR121" i="76"/>
  <c r="AS125" i="76"/>
  <c r="AX112" i="76"/>
  <c r="V114" i="76" s="1"/>
  <c r="AL125" i="76"/>
  <c r="AS123" i="76"/>
  <c r="AT124" i="76"/>
  <c r="AT132" i="76" s="1"/>
  <c r="AR122" i="76"/>
  <c r="AU122" i="76"/>
  <c r="AX110" i="76"/>
  <c r="U114" i="76" s="1"/>
  <c r="AM120" i="76"/>
  <c r="AM129" i="76" s="1"/>
  <c r="AV125" i="76"/>
  <c r="AO123" i="76"/>
  <c r="AL126" i="76"/>
  <c r="AP121" i="76"/>
  <c r="AN125" i="76"/>
  <c r="AO126" i="76"/>
  <c r="AM124" i="76"/>
  <c r="AM132" i="76" s="1"/>
  <c r="AV124" i="76"/>
  <c r="AV132" i="76" s="1"/>
  <c r="AR120" i="76"/>
  <c r="AR129" i="76" s="1"/>
  <c r="AQ123" i="76"/>
  <c r="AP126" i="76"/>
  <c r="AS121" i="76"/>
  <c r="AX111" i="76"/>
  <c r="T114" i="76" s="1"/>
  <c r="N109" i="76" s="1"/>
  <c r="AL122" i="76"/>
  <c r="AR125" i="76"/>
  <c r="AO125" i="76"/>
  <c r="AM126" i="76"/>
  <c r="AO121" i="76"/>
  <c r="AQ126" i="76"/>
  <c r="AP123" i="76"/>
  <c r="AR126" i="76"/>
  <c r="AU125" i="76"/>
  <c r="AN123" i="76"/>
  <c r="AL121" i="76"/>
  <c r="AO124" i="76"/>
  <c r="AO132" i="76" s="1"/>
  <c r="AQ124" i="76"/>
  <c r="AQ132" i="76" s="1"/>
  <c r="AM122" i="76"/>
  <c r="AT126" i="76"/>
  <c r="AV123" i="76"/>
  <c r="AP120" i="76"/>
  <c r="AP129" i="76" s="1"/>
  <c r="AN120" i="76"/>
  <c r="AN129" i="76" s="1"/>
  <c r="AU124" i="76"/>
  <c r="AU132" i="76" s="1"/>
  <c r="AP124" i="76"/>
  <c r="AP132" i="76" s="1"/>
  <c r="AT125" i="76"/>
  <c r="AV120" i="76"/>
  <c r="AV129" i="76" s="1"/>
  <c r="AL120" i="76"/>
  <c r="AL129" i="76" s="1"/>
  <c r="AL123" i="76"/>
  <c r="AO122" i="76"/>
  <c r="AP122" i="76"/>
  <c r="AR123" i="76"/>
  <c r="AT121" i="76"/>
  <c r="AS126" i="76"/>
  <c r="AU126" i="76"/>
  <c r="AR124" i="76"/>
  <c r="AR132" i="76" s="1"/>
  <c r="AT122" i="76"/>
  <c r="AS122" i="76"/>
  <c r="AV121" i="76"/>
  <c r="AO120" i="76"/>
  <c r="AO129" i="76" s="1"/>
  <c r="AM123" i="76"/>
  <c r="AN126" i="76"/>
  <c r="AX113" i="76"/>
  <c r="Y114" i="76" s="1"/>
  <c r="AU120" i="76"/>
  <c r="AU129" i="76" s="1"/>
  <c r="AU136" i="76" s="1"/>
  <c r="AU143" i="76" s="1"/>
  <c r="AN122" i="76"/>
  <c r="AV122" i="76"/>
  <c r="AQ120" i="76"/>
  <c r="AQ129" i="76" s="1"/>
  <c r="AS124" i="76"/>
  <c r="AS132" i="76" s="1"/>
  <c r="AQ122" i="76"/>
  <c r="AM121" i="76"/>
  <c r="AN121" i="76"/>
  <c r="AM125" i="76"/>
  <c r="AU121" i="76"/>
  <c r="AN124" i="76"/>
  <c r="AN132" i="76" s="1"/>
  <c r="AV126" i="76"/>
  <c r="AX108" i="76"/>
  <c r="AL124" i="76"/>
  <c r="AL132" i="76" s="1"/>
  <c r="AQ121" i="76"/>
  <c r="AT120" i="76"/>
  <c r="AT129" i="76" s="1"/>
  <c r="AS120" i="76"/>
  <c r="AS129" i="76" s="1"/>
  <c r="AS138" i="76" s="1"/>
  <c r="AS145" i="76" s="1"/>
  <c r="AX109" i="76"/>
  <c r="X114" i="76" s="1"/>
  <c r="O110" i="76" s="1"/>
  <c r="AT123" i="76"/>
  <c r="AU123" i="76"/>
  <c r="AQ125" i="76"/>
  <c r="AX116" i="76"/>
  <c r="AK122" i="76"/>
  <c r="AK123" i="76"/>
  <c r="AX118" i="76"/>
  <c r="AK125" i="76"/>
  <c r="AX119" i="76"/>
  <c r="AK126" i="76"/>
  <c r="AK121" i="76"/>
  <c r="AX115" i="76"/>
  <c r="AY115" i="76" s="1"/>
  <c r="AX114" i="76"/>
  <c r="AK120" i="76"/>
  <c r="AK129" i="76" s="1"/>
  <c r="AX117" i="76"/>
  <c r="AK124" i="76"/>
  <c r="AK132" i="76" s="1"/>
  <c r="AT140" i="76" l="1"/>
  <c r="AT147" i="76" s="1"/>
  <c r="AN140" i="76"/>
  <c r="AN147" i="76" s="1"/>
  <c r="AN135" i="76"/>
  <c r="AN142" i="76" s="1"/>
  <c r="AP140" i="76"/>
  <c r="AP147" i="76" s="1"/>
  <c r="AY110" i="76"/>
  <c r="AO135" i="76"/>
  <c r="AO142" i="76" s="1"/>
  <c r="AR136" i="76"/>
  <c r="AR143" i="76" s="1"/>
  <c r="AL139" i="76"/>
  <c r="AL146" i="76" s="1"/>
  <c r="AV140" i="76"/>
  <c r="AV147" i="76" s="1"/>
  <c r="AM139" i="76"/>
  <c r="AM146" i="76" s="1"/>
  <c r="AT135" i="76"/>
  <c r="AT142" i="76" s="1"/>
  <c r="AQ136" i="76"/>
  <c r="AQ143" i="76" s="1"/>
  <c r="AN139" i="76"/>
  <c r="AN146" i="76" s="1"/>
  <c r="AP136" i="76"/>
  <c r="AP143" i="76" s="1"/>
  <c r="AN136" i="76"/>
  <c r="AN143" i="76" s="1"/>
  <c r="AM140" i="76"/>
  <c r="AM147" i="76" s="1"/>
  <c r="AT137" i="76"/>
  <c r="AT144" i="76" s="1"/>
  <c r="AV137" i="76"/>
  <c r="AV144" i="76" s="1"/>
  <c r="AM138" i="76"/>
  <c r="AM145" i="76" s="1"/>
  <c r="AT136" i="76"/>
  <c r="AT143" i="76" s="1"/>
  <c r="AV136" i="76"/>
  <c r="AV143" i="76" s="1"/>
  <c r="AM135" i="76"/>
  <c r="AM142" i="76" s="1"/>
  <c r="AM137" i="76"/>
  <c r="AM144" i="76" s="1"/>
  <c r="AT139" i="76"/>
  <c r="AT146" i="76" s="1"/>
  <c r="AV139" i="76"/>
  <c r="AV146" i="76" s="1"/>
  <c r="AT138" i="76"/>
  <c r="AT145" i="76" s="1"/>
  <c r="AV138" i="76"/>
  <c r="AV145" i="76" s="1"/>
  <c r="AN137" i="76"/>
  <c r="AN144" i="76" s="1"/>
  <c r="AU139" i="76"/>
  <c r="AU146" i="76" s="1"/>
  <c r="AM136" i="76"/>
  <c r="AM143" i="76" s="1"/>
  <c r="AQ140" i="76"/>
  <c r="AQ147" i="76" s="1"/>
  <c r="AS136" i="76"/>
  <c r="AS143" i="76" s="1"/>
  <c r="AO138" i="76"/>
  <c r="AO145" i="76" s="1"/>
  <c r="AQ139" i="76"/>
  <c r="AQ146" i="76" s="1"/>
  <c r="AR138" i="76"/>
  <c r="AR145" i="76" s="1"/>
  <c r="W114" i="76"/>
  <c r="O109" i="76" s="1"/>
  <c r="O112" i="76" s="1"/>
  <c r="AL135" i="76"/>
  <c r="AL142" i="76" s="1"/>
  <c r="AS139" i="76"/>
  <c r="AS146" i="76" s="1"/>
  <c r="AY113" i="76"/>
  <c r="AR139" i="76"/>
  <c r="AR146" i="76" s="1"/>
  <c r="AQ135" i="76"/>
  <c r="AQ142" i="76" s="1"/>
  <c r="AQ138" i="76"/>
  <c r="AQ145" i="76" s="1"/>
  <c r="AL137" i="76"/>
  <c r="AL144" i="76" s="1"/>
  <c r="AY108" i="76"/>
  <c r="AS137" i="76"/>
  <c r="AS144" i="76" s="1"/>
  <c r="AO139" i="76"/>
  <c r="AO146" i="76" s="1"/>
  <c r="AU140" i="76"/>
  <c r="AU147" i="76" s="1"/>
  <c r="AL140" i="76"/>
  <c r="AL147" i="76" s="1"/>
  <c r="AS135" i="76"/>
  <c r="AS142" i="76" s="1"/>
  <c r="AV135" i="76"/>
  <c r="AV142" i="76" s="1"/>
  <c r="AN138" i="76"/>
  <c r="AN145" i="76" s="1"/>
  <c r="AU137" i="76"/>
  <c r="AU144" i="76" s="1"/>
  <c r="AR137" i="76"/>
  <c r="AR144" i="76" s="1"/>
  <c r="AQ137" i="76"/>
  <c r="AQ144" i="76" s="1"/>
  <c r="AP139" i="76"/>
  <c r="AP146" i="76" s="1"/>
  <c r="AP138" i="76"/>
  <c r="AP145" i="76" s="1"/>
  <c r="AY109" i="76"/>
  <c r="AS140" i="76"/>
  <c r="AS147" i="76" s="1"/>
  <c r="AO140" i="76"/>
  <c r="AO147" i="76" s="1"/>
  <c r="AO136" i="76"/>
  <c r="AO143" i="76" s="1"/>
  <c r="AP135" i="76"/>
  <c r="AP142" i="76" s="1"/>
  <c r="AP137" i="76"/>
  <c r="AP144" i="76" s="1"/>
  <c r="AU135" i="76"/>
  <c r="AU142" i="76" s="1"/>
  <c r="AR135" i="76"/>
  <c r="AR142" i="76" s="1"/>
  <c r="AL138" i="76"/>
  <c r="AL145" i="76" s="1"/>
  <c r="AL136" i="76"/>
  <c r="AL143" i="76" s="1"/>
  <c r="AO137" i="76"/>
  <c r="AO144" i="76" s="1"/>
  <c r="AU138" i="76"/>
  <c r="AU145" i="76" s="1"/>
  <c r="AR140" i="76"/>
  <c r="AR147" i="76" s="1"/>
  <c r="AK139" i="76"/>
  <c r="AK140" i="76"/>
  <c r="AK136" i="76"/>
  <c r="AK138" i="76"/>
  <c r="AK137" i="76"/>
  <c r="AK135" i="76"/>
  <c r="AY114" i="76"/>
  <c r="AY116" i="76"/>
  <c r="AY119" i="76"/>
  <c r="AO149" i="76" l="1"/>
  <c r="AQ153" i="76"/>
  <c r="AT150" i="76"/>
  <c r="AV148" i="76"/>
  <c r="AV155" i="76" s="1"/>
  <c r="AV161" i="76" s="1"/>
  <c r="AM152" i="76"/>
  <c r="AP153" i="76"/>
  <c r="AN152" i="76"/>
  <c r="AU166" i="76"/>
  <c r="AU181" i="76" s="1"/>
  <c r="AL152" i="76"/>
  <c r="AS166" i="76"/>
  <c r="AS181" i="76" s="1"/>
  <c r="AR151" i="76"/>
  <c r="AR158" i="76" s="1"/>
  <c r="AR164" i="76" s="1"/>
  <c r="AV149" i="76"/>
  <c r="AR150" i="76"/>
  <c r="AU163" i="76"/>
  <c r="AU178" i="76" s="1"/>
  <c r="AP166" i="76"/>
  <c r="AP181" i="76" s="1"/>
  <c r="AL153" i="76"/>
  <c r="AP150" i="76"/>
  <c r="AU149" i="76"/>
  <c r="AU162" i="76"/>
  <c r="AU177" i="76" s="1"/>
  <c r="AP165" i="76"/>
  <c r="AP180" i="76" s="1"/>
  <c r="AU148" i="76"/>
  <c r="AU155" i="76" s="1"/>
  <c r="AU161" i="76" s="1"/>
  <c r="AP163" i="76"/>
  <c r="AP178" i="76" s="1"/>
  <c r="AU153" i="76"/>
  <c r="AU150" i="76"/>
  <c r="AS162" i="76"/>
  <c r="AS177" i="76" s="1"/>
  <c r="AV165" i="76"/>
  <c r="AV180" i="76" s="1"/>
  <c r="AR165" i="76"/>
  <c r="AR180" i="76" s="1"/>
  <c r="AL151" i="76"/>
  <c r="AL158" i="76" s="1"/>
  <c r="AL164" i="76" s="1"/>
  <c r="AV153" i="76"/>
  <c r="AS165" i="76"/>
  <c r="AS180" i="76" s="1"/>
  <c r="AS149" i="76"/>
  <c r="AV166" i="76"/>
  <c r="AV181" i="76" s="1"/>
  <c r="AV151" i="76"/>
  <c r="AV158" i="76" s="1"/>
  <c r="AV164" i="76" s="1"/>
  <c r="AM163" i="76"/>
  <c r="AM178" i="76" s="1"/>
  <c r="AS163" i="76"/>
  <c r="AS178" i="76" s="1"/>
  <c r="AL166" i="76"/>
  <c r="AL181" i="76" s="1"/>
  <c r="AV162" i="76"/>
  <c r="AV177" i="76" s="1"/>
  <c r="AS153" i="76"/>
  <c r="AM166" i="76"/>
  <c r="AM181" i="76" s="1"/>
  <c r="AM162" i="76"/>
  <c r="AM177" i="76" s="1"/>
  <c r="AO152" i="76"/>
  <c r="AM148" i="76"/>
  <c r="AM155" i="76" s="1"/>
  <c r="AM161" i="76" s="1"/>
  <c r="AN165" i="76"/>
  <c r="AN180" i="76" s="1"/>
  <c r="AO162" i="76"/>
  <c r="AO177" i="76" s="1"/>
  <c r="AN153" i="76"/>
  <c r="AR162" i="76"/>
  <c r="AR177" i="76" s="1"/>
  <c r="AT151" i="76"/>
  <c r="AT158" i="76" s="1"/>
  <c r="AT164" i="76" s="1"/>
  <c r="AM153" i="76"/>
  <c r="AO163" i="76"/>
  <c r="AO178" i="76" s="1"/>
  <c r="AT152" i="76"/>
  <c r="AT163" i="76"/>
  <c r="AT178" i="76" s="1"/>
  <c r="AM150" i="76"/>
  <c r="AM165" i="76"/>
  <c r="AM180" i="76" s="1"/>
  <c r="AR148" i="76"/>
  <c r="AR155" i="76" s="1"/>
  <c r="AR161" i="76" s="1"/>
  <c r="AU165" i="76"/>
  <c r="AU180" i="76" s="1"/>
  <c r="AP162" i="76"/>
  <c r="AP177" i="76" s="1"/>
  <c r="AO151" i="76"/>
  <c r="AO158" i="76" s="1"/>
  <c r="AO164" i="76" s="1"/>
  <c r="AS152" i="76"/>
  <c r="AN148" i="76"/>
  <c r="AN155" i="76" s="1"/>
  <c r="AN161" i="76" s="1"/>
  <c r="AP152" i="76"/>
  <c r="AS148" i="76"/>
  <c r="AS155" i="76" s="1"/>
  <c r="AS161" i="76" s="1"/>
  <c r="AL148" i="76"/>
  <c r="AL155" i="76" s="1"/>
  <c r="AL161" i="76" s="1"/>
  <c r="AU152" i="76"/>
  <c r="AS151" i="76"/>
  <c r="AS158" i="76" s="1"/>
  <c r="AS164" i="76" s="1"/>
  <c r="AM149" i="76"/>
  <c r="AN150" i="76"/>
  <c r="AT153" i="76"/>
  <c r="AN163" i="76"/>
  <c r="AN178" i="76" s="1"/>
  <c r="AO166" i="76"/>
  <c r="AO181" i="76" s="1"/>
  <c r="AT149" i="76"/>
  <c r="AN151" i="76"/>
  <c r="AN158" i="76" s="1"/>
  <c r="AN164" i="76" s="1"/>
  <c r="AT165" i="76"/>
  <c r="AT180" i="76" s="1"/>
  <c r="AR153" i="76"/>
  <c r="AN166" i="76"/>
  <c r="AN181" i="76" s="1"/>
  <c r="AO148" i="76"/>
  <c r="AO155" i="76" s="1"/>
  <c r="AO161" i="76" s="1"/>
  <c r="AO150" i="76"/>
  <c r="AR152" i="76"/>
  <c r="AV152" i="76"/>
  <c r="AV163" i="76"/>
  <c r="AV178" i="76" s="1"/>
  <c r="AR149" i="76"/>
  <c r="AQ149" i="76"/>
  <c r="AU151" i="76"/>
  <c r="AU158" i="76" s="1"/>
  <c r="AU164" i="76" s="1"/>
  <c r="AR166" i="76"/>
  <c r="AR181" i="76" s="1"/>
  <c r="AR163" i="76"/>
  <c r="AR178" i="76" s="1"/>
  <c r="AP148" i="76"/>
  <c r="AP155" i="76" s="1"/>
  <c r="AP161" i="76" s="1"/>
  <c r="AN149" i="76"/>
  <c r="AS150" i="76"/>
  <c r="AN162" i="76"/>
  <c r="AN177" i="76" s="1"/>
  <c r="AM151" i="76"/>
  <c r="AM158" i="76" s="1"/>
  <c r="AM164" i="76" s="1"/>
  <c r="AP151" i="76"/>
  <c r="AP158" i="76" s="1"/>
  <c r="AP164" i="76" s="1"/>
  <c r="AV150" i="76"/>
  <c r="AO165" i="76"/>
  <c r="AO180" i="76" s="1"/>
  <c r="AL162" i="76"/>
  <c r="AL177" i="76" s="1"/>
  <c r="AP149" i="76"/>
  <c r="AO153" i="76"/>
  <c r="AL150" i="76"/>
  <c r="AT148" i="76"/>
  <c r="AT155" i="76" s="1"/>
  <c r="AT161" i="76" s="1"/>
  <c r="AQ150" i="76"/>
  <c r="AQ166" i="76"/>
  <c r="AQ181" i="76" s="1"/>
  <c r="AQ163" i="76"/>
  <c r="AQ178" i="76" s="1"/>
  <c r="AQ152" i="76"/>
  <c r="AL149" i="76"/>
  <c r="AX195" i="76"/>
  <c r="AL163" i="76"/>
  <c r="AL178" i="76" s="1"/>
  <c r="AL165" i="76"/>
  <c r="AL180" i="76" s="1"/>
  <c r="AT162" i="76"/>
  <c r="AT177" i="76" s="1"/>
  <c r="AT166" i="76"/>
  <c r="AT181" i="76" s="1"/>
  <c r="AQ148" i="76"/>
  <c r="AQ155" i="76" s="1"/>
  <c r="AQ161" i="76" s="1"/>
  <c r="AQ165" i="76"/>
  <c r="AQ180" i="76" s="1"/>
  <c r="AQ151" i="76"/>
  <c r="AQ158" i="76" s="1"/>
  <c r="AQ164" i="76" s="1"/>
  <c r="AQ162" i="76"/>
  <c r="AQ177" i="76" s="1"/>
  <c r="AX136" i="76"/>
  <c r="AK143" i="76"/>
  <c r="AK142" i="76"/>
  <c r="AX135" i="76"/>
  <c r="AX140" i="76"/>
  <c r="Y113" i="76" s="1"/>
  <c r="AK147" i="76"/>
  <c r="AK144" i="76"/>
  <c r="AX137" i="76"/>
  <c r="AK146" i="76"/>
  <c r="AX139" i="76"/>
  <c r="V113" i="76" s="1"/>
  <c r="AX138" i="76"/>
  <c r="T113" i="76" s="1"/>
  <c r="N93" i="76" s="1"/>
  <c r="AK145" i="76"/>
  <c r="AM167" i="76" l="1"/>
  <c r="S79" i="76" s="1"/>
  <c r="AS167" i="76"/>
  <c r="Y79" i="76" s="1"/>
  <c r="AU167" i="76"/>
  <c r="AA79" i="76" s="1"/>
  <c r="AP167" i="76"/>
  <c r="V79" i="76" s="1"/>
  <c r="AO167" i="76"/>
  <c r="U79" i="76" s="1"/>
  <c r="AR167" i="76"/>
  <c r="X79" i="76" s="1"/>
  <c r="AN167" i="76"/>
  <c r="T79" i="76" s="1"/>
  <c r="AV167" i="76"/>
  <c r="AB79" i="76" s="1"/>
  <c r="AQ167" i="76"/>
  <c r="W79" i="76" s="1"/>
  <c r="AT167" i="76"/>
  <c r="Z79" i="76" s="1"/>
  <c r="AL167" i="76"/>
  <c r="R79" i="76" s="1"/>
  <c r="AX144" i="76"/>
  <c r="AK150" i="76"/>
  <c r="AX147" i="76"/>
  <c r="AK153" i="76"/>
  <c r="X113" i="76"/>
  <c r="AY136" i="76"/>
  <c r="AX145" i="76"/>
  <c r="AK151" i="76"/>
  <c r="AK158" i="76" s="1"/>
  <c r="AK164" i="76" s="1"/>
  <c r="AX164" i="76" s="1"/>
  <c r="AX146" i="76"/>
  <c r="AK152" i="76"/>
  <c r="W113" i="76"/>
  <c r="O93" i="76" s="1"/>
  <c r="O96" i="76" s="1"/>
  <c r="N105" i="76" s="1"/>
  <c r="E23" i="78" s="1"/>
  <c r="AY137" i="76"/>
  <c r="AY135" i="76"/>
  <c r="W99" i="76"/>
  <c r="X99" i="76"/>
  <c r="V99" i="76"/>
  <c r="R99" i="76"/>
  <c r="Z99" i="76"/>
  <c r="U99" i="76"/>
  <c r="T99" i="76"/>
  <c r="AB99" i="76"/>
  <c r="S99" i="76"/>
  <c r="Q99" i="76"/>
  <c r="Y99" i="76"/>
  <c r="AA99" i="76"/>
  <c r="U113" i="76"/>
  <c r="AY140" i="76"/>
  <c r="AK163" i="76"/>
  <c r="AK165" i="76"/>
  <c r="AK162" i="76"/>
  <c r="AK148" i="76"/>
  <c r="AK166" i="76"/>
  <c r="AX142" i="76"/>
  <c r="AX143" i="76"/>
  <c r="AY143" i="76" s="1"/>
  <c r="AK149" i="76"/>
  <c r="AK155" i="76" l="1"/>
  <c r="AK161" i="76" s="1"/>
  <c r="AY144" i="76"/>
  <c r="AY142" i="76"/>
  <c r="AX165" i="76"/>
  <c r="AX180" i="76" s="1"/>
  <c r="AK180" i="76"/>
  <c r="AK181" i="76"/>
  <c r="AX166" i="76"/>
  <c r="AX181" i="76" s="1"/>
  <c r="AK178" i="76"/>
  <c r="AX163" i="76"/>
  <c r="AX178" i="76" s="1"/>
  <c r="AY147" i="76"/>
  <c r="AK177" i="76"/>
  <c r="AX162" i="76"/>
  <c r="AD99" i="76"/>
  <c r="R98" i="76"/>
  <c r="S98" i="76"/>
  <c r="U98" i="76"/>
  <c r="AB98" i="76"/>
  <c r="Z98" i="76"/>
  <c r="V98" i="76"/>
  <c r="X98" i="76"/>
  <c r="T98" i="76"/>
  <c r="Y98" i="76"/>
  <c r="W98" i="76"/>
  <c r="N101" i="76"/>
  <c r="G104" i="76" s="1"/>
  <c r="G148" i="76" s="1"/>
  <c r="Q98" i="76"/>
  <c r="AA98" i="76"/>
  <c r="AX161" i="76" l="1"/>
  <c r="AY161" i="76" s="1"/>
  <c r="AK167" i="76"/>
  <c r="Q79" i="76" s="1"/>
  <c r="AY162" i="76"/>
  <c r="AX177" i="76"/>
  <c r="AY166" i="76"/>
  <c r="AD98" i="76"/>
  <c r="AY163" i="76" l="1"/>
  <c r="AX167" i="76"/>
  <c r="Q80" i="76"/>
  <c r="Q81" i="76" s="1"/>
  <c r="R78" i="76" s="1"/>
  <c r="Q84" i="76"/>
  <c r="AK168" i="76" s="1"/>
  <c r="AD79" i="76"/>
  <c r="AE79" i="76" s="1"/>
  <c r="Q82" i="76"/>
  <c r="AK172" i="76" l="1"/>
  <c r="AK184" i="76" s="1"/>
  <c r="AK174" i="76"/>
  <c r="AK186" i="76" s="1"/>
  <c r="AK169" i="76"/>
  <c r="AK171" i="76"/>
  <c r="AK183" i="76" s="1"/>
  <c r="AK175" i="76"/>
  <c r="AK187" i="76" s="1"/>
  <c r="AK196" i="76" s="1"/>
  <c r="AK170" i="76"/>
  <c r="AK182" i="76" s="1"/>
  <c r="AK173" i="76"/>
  <c r="R80" i="76"/>
  <c r="R81" i="76" s="1"/>
  <c r="S78" i="76" s="1"/>
  <c r="R82" i="76"/>
  <c r="R84" i="76"/>
  <c r="AL168" i="76" s="1"/>
  <c r="AL174" i="76" l="1"/>
  <c r="AL186" i="76" s="1"/>
  <c r="AL171" i="76"/>
  <c r="AL183" i="76" s="1"/>
  <c r="AL175" i="76"/>
  <c r="AL187" i="76" s="1"/>
  <c r="AL196" i="76" s="1"/>
  <c r="AL172" i="76"/>
  <c r="AL184" i="76" s="1"/>
  <c r="AL170" i="76"/>
  <c r="AL173" i="76"/>
  <c r="AL169" i="76"/>
  <c r="AK176" i="76"/>
  <c r="S84" i="76"/>
  <c r="AM168" i="76" s="1"/>
  <c r="S82" i="76"/>
  <c r="S80" i="76"/>
  <c r="AK179" i="76"/>
  <c r="AK185" i="76"/>
  <c r="AK189" i="76" s="1"/>
  <c r="AK188" i="76" l="1"/>
  <c r="AK197" i="76" s="1"/>
  <c r="AK190" i="76"/>
  <c r="AK192" i="76"/>
  <c r="AK191" i="76"/>
  <c r="AK199" i="76" s="1"/>
  <c r="AK193" i="76"/>
  <c r="AL182" i="76"/>
  <c r="AL176" i="76"/>
  <c r="S81" i="76"/>
  <c r="T78" i="76" s="1"/>
  <c r="AM174" i="76"/>
  <c r="AM186" i="76" s="1"/>
  <c r="AM172" i="76"/>
  <c r="AM184" i="76" s="1"/>
  <c r="AM170" i="76"/>
  <c r="AM169" i="76"/>
  <c r="AM171" i="76"/>
  <c r="AM183" i="76" s="1"/>
  <c r="AM173" i="76"/>
  <c r="AM175" i="76"/>
  <c r="AM187" i="76" s="1"/>
  <c r="AM196" i="76" s="1"/>
  <c r="AL179" i="76"/>
  <c r="AL185" i="76"/>
  <c r="AK204" i="76" l="1"/>
  <c r="AK202" i="76"/>
  <c r="AK206" i="76"/>
  <c r="AK203" i="76"/>
  <c r="AK207" i="76"/>
  <c r="AK205" i="76"/>
  <c r="AL189" i="76"/>
  <c r="AL191" i="76"/>
  <c r="AL199" i="76" s="1"/>
  <c r="AL188" i="76"/>
  <c r="AL197" i="76" s="1"/>
  <c r="AL190" i="76"/>
  <c r="AL193" i="76"/>
  <c r="AL192" i="76"/>
  <c r="AM179" i="76"/>
  <c r="AM185" i="76"/>
  <c r="AM182" i="76"/>
  <c r="AM176" i="76"/>
  <c r="T82" i="76"/>
  <c r="T80" i="76"/>
  <c r="T84" i="76"/>
  <c r="AN168" i="76" s="1"/>
  <c r="AK213" i="76" l="1"/>
  <c r="AK212" i="76"/>
  <c r="AK214" i="76"/>
  <c r="AK211" i="76"/>
  <c r="AL202" i="76"/>
  <c r="AL209" i="76" s="1"/>
  <c r="AL207" i="76"/>
  <c r="AL214" i="76" s="1"/>
  <c r="AL204" i="76"/>
  <c r="AL211" i="76" s="1"/>
  <c r="AL203" i="76"/>
  <c r="AL210" i="76" s="1"/>
  <c r="AL205" i="76"/>
  <c r="AL212" i="76" s="1"/>
  <c r="AL206" i="76"/>
  <c r="AL213" i="76" s="1"/>
  <c r="AK210" i="76"/>
  <c r="AM193" i="76"/>
  <c r="AM192" i="76"/>
  <c r="AM191" i="76"/>
  <c r="AM199" i="76" s="1"/>
  <c r="AM188" i="76"/>
  <c r="AM197" i="76" s="1"/>
  <c r="AM189" i="76"/>
  <c r="AM190" i="76"/>
  <c r="T81" i="76"/>
  <c r="U78" i="76" s="1"/>
  <c r="AN174" i="76"/>
  <c r="AN186" i="76" s="1"/>
  <c r="AN173" i="76"/>
  <c r="AN172" i="76"/>
  <c r="AN184" i="76" s="1"/>
  <c r="AN171" i="76"/>
  <c r="AN183" i="76" s="1"/>
  <c r="AN175" i="76"/>
  <c r="AN187" i="76" s="1"/>
  <c r="AN196" i="76" s="1"/>
  <c r="AN170" i="76"/>
  <c r="AN169" i="76"/>
  <c r="AM203" i="76" l="1"/>
  <c r="AM210" i="76" s="1"/>
  <c r="AM202" i="76"/>
  <c r="AM209" i="76" s="1"/>
  <c r="AM205" i="76"/>
  <c r="AM212" i="76" s="1"/>
  <c r="AM206" i="76"/>
  <c r="AM207" i="76"/>
  <c r="AM204" i="76"/>
  <c r="AM211" i="76" s="1"/>
  <c r="AN182" i="76"/>
  <c r="AN176" i="76"/>
  <c r="AN179" i="76"/>
  <c r="AN185" i="76"/>
  <c r="U84" i="76"/>
  <c r="AO168" i="76" s="1"/>
  <c r="U82" i="76"/>
  <c r="U80" i="76"/>
  <c r="AM214" i="76" l="1"/>
  <c r="AM213" i="76"/>
  <c r="AN188" i="76"/>
  <c r="AN197" i="76" s="1"/>
  <c r="AN189" i="76"/>
  <c r="AN191" i="76"/>
  <c r="AN199" i="76" s="1"/>
  <c r="AN192" i="76"/>
  <c r="AN190" i="76"/>
  <c r="AN193" i="76"/>
  <c r="AO173" i="76"/>
  <c r="AO170" i="76"/>
  <c r="AO174" i="76"/>
  <c r="AO186" i="76" s="1"/>
  <c r="AO169" i="76"/>
  <c r="AO172" i="76"/>
  <c r="AO184" i="76" s="1"/>
  <c r="AO171" i="76"/>
  <c r="AO183" i="76" s="1"/>
  <c r="AO175" i="76"/>
  <c r="AO187" i="76" s="1"/>
  <c r="AO196" i="76" s="1"/>
  <c r="U81" i="76"/>
  <c r="V78" i="76" s="1"/>
  <c r="AN207" i="76" l="1"/>
  <c r="AN204" i="76"/>
  <c r="AN206" i="76"/>
  <c r="AN203" i="76"/>
  <c r="AN202" i="76"/>
  <c r="AN209" i="76" s="1"/>
  <c r="AN205" i="76"/>
  <c r="V80" i="76"/>
  <c r="V84" i="76"/>
  <c r="AP168" i="76" s="1"/>
  <c r="V82" i="76"/>
  <c r="AO182" i="76"/>
  <c r="AO176" i="76"/>
  <c r="AO179" i="76"/>
  <c r="AO185" i="76"/>
  <c r="AN214" i="76" l="1"/>
  <c r="AN210" i="76"/>
  <c r="AN213" i="76"/>
  <c r="AN212" i="76"/>
  <c r="AN211" i="76"/>
  <c r="AO188" i="76"/>
  <c r="AO197" i="76" s="1"/>
  <c r="AO189" i="76"/>
  <c r="AO191" i="76"/>
  <c r="AO199" i="76" s="1"/>
  <c r="AO190" i="76"/>
  <c r="AO192" i="76"/>
  <c r="AO193" i="76"/>
  <c r="AP174" i="76"/>
  <c r="AP186" i="76" s="1"/>
  <c r="AP173" i="76"/>
  <c r="AP175" i="76"/>
  <c r="AP187" i="76" s="1"/>
  <c r="AP196" i="76" s="1"/>
  <c r="AP170" i="76"/>
  <c r="AP169" i="76"/>
  <c r="AP172" i="76"/>
  <c r="AP184" i="76" s="1"/>
  <c r="AP171" i="76"/>
  <c r="AP183" i="76" s="1"/>
  <c r="V81" i="76"/>
  <c r="W78" i="76" s="1"/>
  <c r="AO206" i="76" l="1"/>
  <c r="AO204" i="76"/>
  <c r="AO207" i="76"/>
  <c r="AO205" i="76"/>
  <c r="AO203" i="76"/>
  <c r="AO202" i="76"/>
  <c r="AO209" i="76" s="1"/>
  <c r="AP182" i="76"/>
  <c r="AP176" i="76"/>
  <c r="AP179" i="76"/>
  <c r="AP185" i="76"/>
  <c r="W84" i="76"/>
  <c r="AQ168" i="76" s="1"/>
  <c r="W82" i="76"/>
  <c r="W80" i="76"/>
  <c r="AO210" i="76" l="1"/>
  <c r="AO213" i="76"/>
  <c r="AO212" i="76"/>
  <c r="AO214" i="76"/>
  <c r="AO211" i="76"/>
  <c r="AP189" i="76"/>
  <c r="AP190" i="76"/>
  <c r="AP188" i="76"/>
  <c r="AP197" i="76" s="1"/>
  <c r="AP191" i="76"/>
  <c r="AP199" i="76" s="1"/>
  <c r="AP193" i="76"/>
  <c r="AP192" i="76"/>
  <c r="AQ169" i="76"/>
  <c r="AQ174" i="76"/>
  <c r="AQ186" i="76" s="1"/>
  <c r="AQ171" i="76"/>
  <c r="AQ183" i="76" s="1"/>
  <c r="AQ175" i="76"/>
  <c r="AQ187" i="76" s="1"/>
  <c r="AQ196" i="76" s="1"/>
  <c r="AQ173" i="76"/>
  <c r="AQ170" i="76"/>
  <c r="AQ172" i="76"/>
  <c r="AQ184" i="76" s="1"/>
  <c r="W81" i="76"/>
  <c r="X78" i="76" s="1"/>
  <c r="AP207" i="76" l="1"/>
  <c r="AP204" i="76"/>
  <c r="AP202" i="76"/>
  <c r="AP209" i="76" s="1"/>
  <c r="AP203" i="76"/>
  <c r="AP210" i="76" s="1"/>
  <c r="AP205" i="76"/>
  <c r="AP206" i="76"/>
  <c r="AQ179" i="76"/>
  <c r="AQ185" i="76"/>
  <c r="X82" i="76"/>
  <c r="X84" i="76"/>
  <c r="AR168" i="76" s="1"/>
  <c r="X80" i="76"/>
  <c r="AQ176" i="76"/>
  <c r="AQ182" i="76"/>
  <c r="AP212" i="76" l="1"/>
  <c r="AP214" i="76"/>
  <c r="AP213" i="76"/>
  <c r="AP211" i="76"/>
  <c r="AQ189" i="76"/>
  <c r="AQ192" i="76"/>
  <c r="AQ190" i="76"/>
  <c r="AQ191" i="76"/>
  <c r="AQ199" i="76" s="1"/>
  <c r="AQ188" i="76"/>
  <c r="AQ197" i="76" s="1"/>
  <c r="AQ193" i="76"/>
  <c r="AR172" i="76"/>
  <c r="AR184" i="76" s="1"/>
  <c r="AR175" i="76"/>
  <c r="AR187" i="76" s="1"/>
  <c r="AR196" i="76" s="1"/>
  <c r="AR173" i="76"/>
  <c r="AR174" i="76"/>
  <c r="AR186" i="76" s="1"/>
  <c r="AR169" i="76"/>
  <c r="AR171" i="76"/>
  <c r="AR183" i="76" s="1"/>
  <c r="AR170" i="76"/>
  <c r="X81" i="76"/>
  <c r="Y78" i="76" s="1"/>
  <c r="AQ202" i="76" l="1"/>
  <c r="AQ209" i="76" s="1"/>
  <c r="AQ206" i="76"/>
  <c r="AQ213" i="76" s="1"/>
  <c r="AQ207" i="76"/>
  <c r="AQ214" i="76" s="1"/>
  <c r="AQ205" i="76"/>
  <c r="AQ212" i="76" s="1"/>
  <c r="AQ203" i="76"/>
  <c r="AQ210" i="76" s="1"/>
  <c r="AQ204" i="76"/>
  <c r="AQ211" i="76" s="1"/>
  <c r="AR182" i="76"/>
  <c r="AR176" i="76"/>
  <c r="AR179" i="76"/>
  <c r="AR185" i="76"/>
  <c r="Y84" i="76"/>
  <c r="AS168" i="76" s="1"/>
  <c r="Y80" i="76"/>
  <c r="Y82" i="76"/>
  <c r="AR192" i="76" l="1"/>
  <c r="AR189" i="76"/>
  <c r="AR188" i="76"/>
  <c r="AR197" i="76" s="1"/>
  <c r="AR191" i="76"/>
  <c r="AR199" i="76" s="1"/>
  <c r="AR193" i="76"/>
  <c r="AR190" i="76"/>
  <c r="AS172" i="76"/>
  <c r="AS184" i="76" s="1"/>
  <c r="AS170" i="76"/>
  <c r="AS175" i="76"/>
  <c r="AS187" i="76" s="1"/>
  <c r="AS196" i="76" s="1"/>
  <c r="AS169" i="76"/>
  <c r="AS174" i="76"/>
  <c r="AS186" i="76" s="1"/>
  <c r="AS173" i="76"/>
  <c r="AS171" i="76"/>
  <c r="AS183" i="76" s="1"/>
  <c r="Y81" i="76"/>
  <c r="Z78" i="76" s="1"/>
  <c r="AR205" i="76" l="1"/>
  <c r="AR212" i="76" s="1"/>
  <c r="AR204" i="76"/>
  <c r="AR211" i="76" s="1"/>
  <c r="AR203" i="76"/>
  <c r="AR210" i="76" s="1"/>
  <c r="AR206" i="76"/>
  <c r="AR213" i="76" s="1"/>
  <c r="AR202" i="76"/>
  <c r="AR209" i="76" s="1"/>
  <c r="AR207" i="76"/>
  <c r="AR214" i="76" s="1"/>
  <c r="Z84" i="76"/>
  <c r="AT168" i="76" s="1"/>
  <c r="Z82" i="76"/>
  <c r="Z80" i="76"/>
  <c r="AS185" i="76"/>
  <c r="AS179" i="76"/>
  <c r="AS182" i="76"/>
  <c r="AS176" i="76"/>
  <c r="AS188" i="76" l="1"/>
  <c r="AS197" i="76" s="1"/>
  <c r="AS190" i="76"/>
  <c r="AS189" i="76"/>
  <c r="AS191" i="76"/>
  <c r="AS199" i="76" s="1"/>
  <c r="AS193" i="76"/>
  <c r="AS192" i="76"/>
  <c r="AT174" i="76"/>
  <c r="AT186" i="76" s="1"/>
  <c r="AT169" i="76"/>
  <c r="AT171" i="76"/>
  <c r="AT183" i="76" s="1"/>
  <c r="AT173" i="76"/>
  <c r="AT175" i="76"/>
  <c r="AT187" i="76" s="1"/>
  <c r="AT196" i="76" s="1"/>
  <c r="AT170" i="76"/>
  <c r="AT172" i="76"/>
  <c r="AT184" i="76" s="1"/>
  <c r="Z81" i="76"/>
  <c r="AA78" i="76" s="1"/>
  <c r="AS205" i="76" l="1"/>
  <c r="AS212" i="76" s="1"/>
  <c r="AS203" i="76"/>
  <c r="AS210" i="76" s="1"/>
  <c r="AS204" i="76"/>
  <c r="AS211" i="76" s="1"/>
  <c r="AS206" i="76"/>
  <c r="AS213" i="76" s="1"/>
  <c r="AS202" i="76"/>
  <c r="AS209" i="76" s="1"/>
  <c r="AS207" i="76"/>
  <c r="AS214" i="76" s="1"/>
  <c r="AA84" i="76"/>
  <c r="AA82" i="76"/>
  <c r="AA80" i="76"/>
  <c r="AT179" i="76"/>
  <c r="AT185" i="76"/>
  <c r="AT182" i="76"/>
  <c r="AT176" i="76"/>
  <c r="AT192" i="76" l="1"/>
  <c r="AT189" i="76"/>
  <c r="AT188" i="76"/>
  <c r="AT197" i="76" s="1"/>
  <c r="AT193" i="76"/>
  <c r="AT191" i="76"/>
  <c r="AT199" i="76" s="1"/>
  <c r="AT190" i="76"/>
  <c r="AA81" i="76"/>
  <c r="AB78" i="76" s="1"/>
  <c r="AU168" i="76"/>
  <c r="AT206" i="76" l="1"/>
  <c r="AT213" i="76" s="1"/>
  <c r="AT203" i="76"/>
  <c r="AT210" i="76" s="1"/>
  <c r="AT204" i="76"/>
  <c r="AT211" i="76" s="1"/>
  <c r="AT202" i="76"/>
  <c r="AT209" i="76" s="1"/>
  <c r="AT207" i="76"/>
  <c r="AT214" i="76" s="1"/>
  <c r="AT205" i="76"/>
  <c r="AT212" i="76" s="1"/>
  <c r="AU172" i="76"/>
  <c r="AU175" i="76"/>
  <c r="AU174" i="76"/>
  <c r="AU171" i="76"/>
  <c r="AU173" i="76"/>
  <c r="AU169" i="76"/>
  <c r="AU170" i="76"/>
  <c r="AB84" i="76"/>
  <c r="AB82" i="76"/>
  <c r="AD82" i="76" s="1"/>
  <c r="AB80" i="76"/>
  <c r="AD78" i="76"/>
  <c r="AU185" i="76" l="1"/>
  <c r="AU179" i="76"/>
  <c r="AU183" i="76"/>
  <c r="AD80" i="76"/>
  <c r="AE80" i="76" s="1"/>
  <c r="AB81" i="76"/>
  <c r="AU182" i="76"/>
  <c r="AU176" i="76"/>
  <c r="AU186" i="76"/>
  <c r="AV168" i="76"/>
  <c r="AD84" i="76"/>
  <c r="AD86" i="76" s="1"/>
  <c r="AU184" i="76"/>
  <c r="AE78" i="76"/>
  <c r="AE86" i="76"/>
  <c r="AE82" i="76"/>
  <c r="AU187" i="76"/>
  <c r="AU196" i="76" s="1"/>
  <c r="AU188" i="76" l="1"/>
  <c r="AU197" i="76" s="1"/>
  <c r="AU191" i="76"/>
  <c r="AU199" i="76" s="1"/>
  <c r="AU192" i="76"/>
  <c r="AU193" i="76"/>
  <c r="AU190" i="76"/>
  <c r="AU189" i="76"/>
  <c r="AV173" i="76"/>
  <c r="AV175" i="76"/>
  <c r="AV172" i="76"/>
  <c r="AV170" i="76"/>
  <c r="AV169" i="76"/>
  <c r="AV174" i="76"/>
  <c r="AV171" i="76"/>
  <c r="AX168" i="76"/>
  <c r="AX169" i="76" s="1"/>
  <c r="AU207" i="76" l="1"/>
  <c r="AU214" i="76" s="1"/>
  <c r="AU206" i="76"/>
  <c r="AU213" i="76" s="1"/>
  <c r="AU202" i="76"/>
  <c r="AU209" i="76" s="1"/>
  <c r="AU204" i="76"/>
  <c r="AU211" i="76" s="1"/>
  <c r="AU203" i="76"/>
  <c r="AU210" i="76" s="1"/>
  <c r="AU205" i="76"/>
  <c r="AU212" i="76" s="1"/>
  <c r="AV182" i="76"/>
  <c r="AV176" i="76"/>
  <c r="AX170" i="76"/>
  <c r="AV183" i="76"/>
  <c r="AX171" i="76"/>
  <c r="AV184" i="76"/>
  <c r="AX172" i="76"/>
  <c r="AV179" i="76"/>
  <c r="AV185" i="76"/>
  <c r="AX173" i="76"/>
  <c r="AV186" i="76"/>
  <c r="AX174" i="76"/>
  <c r="AV187" i="76"/>
  <c r="AV196" i="76" s="1"/>
  <c r="AX175" i="76"/>
  <c r="AV190" i="76" l="1"/>
  <c r="AV193" i="76"/>
  <c r="AV191" i="76"/>
  <c r="AV199" i="76" s="1"/>
  <c r="AV188" i="76"/>
  <c r="AV197" i="76" s="1"/>
  <c r="AV189" i="76"/>
  <c r="AV192" i="76"/>
  <c r="AX183" i="76"/>
  <c r="X112" i="76"/>
  <c r="V112" i="76"/>
  <c r="AX186" i="76"/>
  <c r="U112" i="76"/>
  <c r="AX184" i="76"/>
  <c r="W112" i="76"/>
  <c r="O73" i="76" s="1"/>
  <c r="AX182" i="76"/>
  <c r="AX176" i="76"/>
  <c r="Y112" i="76"/>
  <c r="AX187" i="76"/>
  <c r="T112" i="76"/>
  <c r="AX185" i="76"/>
  <c r="AX179" i="76"/>
  <c r="AV207" i="76" l="1"/>
  <c r="AV214" i="76" s="1"/>
  <c r="AX214" i="76" s="1"/>
  <c r="Y119" i="76" s="1"/>
  <c r="AV202" i="76"/>
  <c r="AV209" i="76" s="1"/>
  <c r="AV205" i="76"/>
  <c r="AV206" i="76"/>
  <c r="AV203" i="76"/>
  <c r="N73" i="76"/>
  <c r="AV204" i="76"/>
  <c r="T118" i="76"/>
  <c r="N85" i="76"/>
  <c r="G87" i="76" s="1"/>
  <c r="G147" i="76" s="1"/>
  <c r="W118" i="76"/>
  <c r="V118" i="76"/>
  <c r="U118" i="76"/>
  <c r="Y118" i="76"/>
  <c r="X118" i="76"/>
  <c r="AX207" i="76" l="1"/>
  <c r="Y115" i="76" s="1"/>
  <c r="Y116" i="76" s="1"/>
  <c r="AX203" i="76"/>
  <c r="AV210" i="76"/>
  <c r="AX210" i="76" s="1"/>
  <c r="AX204" i="76"/>
  <c r="AV211" i="76"/>
  <c r="AX211" i="76" s="1"/>
  <c r="AX206" i="76"/>
  <c r="V115" i="76" s="1"/>
  <c r="V116" i="76" s="1"/>
  <c r="AV213" i="76"/>
  <c r="AX213" i="76" s="1"/>
  <c r="V119" i="76" s="1"/>
  <c r="AX205" i="76"/>
  <c r="T115" i="76" s="1"/>
  <c r="N128" i="76" s="1"/>
  <c r="AV212" i="76"/>
  <c r="AX212" i="76" s="1"/>
  <c r="T119" i="76" s="1"/>
  <c r="AE84" i="76"/>
  <c r="O76" i="76"/>
  <c r="N78" i="76" s="1"/>
  <c r="U119" i="76" l="1"/>
  <c r="AY214" i="76"/>
  <c r="T116" i="76"/>
  <c r="U115" i="76"/>
  <c r="U116" i="76" s="1"/>
  <c r="AY207" i="76"/>
  <c r="AY210" i="76"/>
  <c r="X119" i="76"/>
  <c r="X115" i="76"/>
  <c r="O129" i="76" s="1"/>
  <c r="AY203" i="76"/>
  <c r="X116" i="76" l="1"/>
  <c r="G155" i="76"/>
  <c r="AX202" i="76" l="1"/>
  <c r="AK209" i="76"/>
  <c r="AX209" i="76" s="1"/>
  <c r="AY204" i="76" l="1"/>
  <c r="W115" i="76"/>
  <c r="O128" i="76" s="1"/>
  <c r="AY202" i="76"/>
  <c r="AY209" i="76"/>
  <c r="AY211" i="76"/>
  <c r="N138" i="76" l="1"/>
  <c r="G142" i="76" s="1"/>
  <c r="O131" i="76"/>
  <c r="W116" i="76"/>
  <c r="G163" i="76" l="1"/>
  <c r="G150" i="76"/>
  <c r="N119" i="76"/>
  <c r="G123" i="76" s="1"/>
  <c r="G149" i="76" s="1"/>
  <c r="N121" i="76"/>
  <c r="E24" i="78" s="1"/>
  <c r="E25" i="78" s="1"/>
  <c r="E32" i="78" s="1"/>
  <c r="E33" i="78" s="1"/>
  <c r="G145" i="76" l="1"/>
  <c r="G154" i="76" s="1"/>
  <c r="N42" i="78"/>
  <c r="N39" i="78"/>
  <c r="N40" i="78"/>
  <c r="O39" i="78"/>
  <c r="O40" i="78"/>
  <c r="O42" i="78"/>
  <c r="O41" i="78"/>
  <c r="N41" i="78"/>
  <c r="G156" i="76" l="1"/>
  <c r="G162" i="76" s="1"/>
  <c r="G164" i="76" s="1"/>
  <c r="G165" i="76" s="1"/>
  <c r="O44" i="78"/>
  <c r="L48" i="78" s="1"/>
  <c r="E34" i="78" s="1"/>
  <c r="N44" i="78"/>
  <c r="L47" i="78" s="1"/>
  <c r="R158" i="76" l="1"/>
  <c r="S156" i="76"/>
  <c r="R156" i="76"/>
  <c r="R157" i="76"/>
  <c r="S158" i="76"/>
  <c r="R155" i="76"/>
  <c r="S157" i="76"/>
  <c r="S155" i="76"/>
  <c r="F2" i="78"/>
  <c r="G13" i="23"/>
  <c r="G5" i="51"/>
  <c r="H2" i="76"/>
  <c r="S160" i="76" l="1"/>
  <c r="R160" i="76"/>
  <c r="E54" i="66"/>
  <c r="G11" i="51"/>
  <c r="J5" i="51"/>
  <c r="E89" i="66"/>
  <c r="G18" i="23"/>
  <c r="J13" i="23"/>
  <c r="H89" i="66" s="1"/>
  <c r="J3" i="51" l="1"/>
  <c r="H54" i="66"/>
  <c r="F38" i="64"/>
  <c r="E59" i="66"/>
  <c r="I59" i="66" s="1"/>
  <c r="K59" i="66" s="1"/>
  <c r="G2" i="51"/>
  <c r="F41" i="64"/>
  <c r="G2" i="23"/>
  <c r="G3" i="23" s="1"/>
  <c r="E93" i="66"/>
  <c r="I93" i="66" s="1"/>
  <c r="K93" i="66" s="1"/>
  <c r="I2" i="23" s="1"/>
  <c r="L38" i="64" l="1"/>
  <c r="G38" i="64"/>
  <c r="I74" i="64"/>
  <c r="F42" i="64"/>
  <c r="G41" i="64"/>
  <c r="L41" i="64"/>
  <c r="M41" i="64" s="1"/>
  <c r="N41" i="64" s="1"/>
  <c r="I80" i="64"/>
  <c r="I2" i="51"/>
  <c r="K94" i="66"/>
  <c r="K101" i="66" s="1"/>
  <c r="B5" i="48" s="1"/>
  <c r="G3" i="51"/>
  <c r="H38" i="64" l="1"/>
  <c r="I54" i="64"/>
  <c r="I57" i="64"/>
  <c r="H41" i="64"/>
  <c r="O80" i="64" s="1"/>
  <c r="M38" i="64"/>
  <c r="N38" i="64" s="1"/>
  <c r="N42" i="64" s="1"/>
  <c r="N44" i="64" s="1"/>
  <c r="C62" i="64" s="1"/>
  <c r="L42" i="64"/>
  <c r="L44" i="64" s="1"/>
  <c r="O74" i="64" l="1"/>
  <c r="H42" i="64"/>
  <c r="H44" i="64" s="1"/>
  <c r="N49" i="64" l="1"/>
  <c r="C61" i="64"/>
  <c r="N52" i="64"/>
  <c r="N48" i="64"/>
  <c r="N53" i="64"/>
  <c r="N51" i="64"/>
  <c r="N54" i="64"/>
  <c r="N50" i="64"/>
</calcChain>
</file>

<file path=xl/comments1.xml><?xml version="1.0" encoding="utf-8"?>
<comments xmlns="http://schemas.openxmlformats.org/spreadsheetml/2006/main">
  <authors>
    <author>abid</author>
    <author>dhclark</author>
  </authors>
  <commentList>
    <comment ref="B30" authorId="0">
      <text>
        <r>
          <rPr>
            <sz val="9"/>
            <color indexed="81"/>
            <rFont val="Tahoma"/>
            <family val="2"/>
          </rPr>
          <t xml:space="preserve">The Gross Floor Area refers to </t>
        </r>
        <r>
          <rPr>
            <i/>
            <sz val="9"/>
            <color indexed="81"/>
            <rFont val="Tahoma"/>
            <family val="2"/>
          </rPr>
          <t xml:space="preserve">all parts of a building that are permanently covered and can be protected from the elements. Car parking (including under-cover car parking) should not be included. </t>
        </r>
        <r>
          <rPr>
            <sz val="9"/>
            <color indexed="81"/>
            <rFont val="Tahoma"/>
            <family val="2"/>
          </rPr>
          <t>(GSSA Office: Technical Manual v1)</t>
        </r>
      </text>
    </comment>
    <comment ref="B31" authorId="0">
      <text>
        <r>
          <rPr>
            <sz val="9"/>
            <color indexed="81"/>
            <rFont val="Tahoma"/>
            <family val="2"/>
          </rPr>
          <t>The Total Commercial Office GFA refers to the total floor area used  specifically for office usage (versus for example, retail, residential, etc.). This includes all common areas, but excludes parking areas.</t>
        </r>
      </text>
    </comment>
    <comment ref="B32" authorId="0">
      <text>
        <r>
          <rPr>
            <sz val="9"/>
            <color indexed="81"/>
            <rFont val="Tahoma"/>
            <family val="2"/>
          </rPr>
          <t xml:space="preserve">Total Commercial Office Useable Area is defined as </t>
        </r>
        <r>
          <rPr>
            <i/>
            <sz val="9"/>
            <color indexed="81"/>
            <rFont val="Tahoma"/>
            <family val="2"/>
          </rPr>
          <t xml:space="preserve">the area capable of exclusive occupation by the tenant. The total area of the building enclosed by the Dominant face, adjusted by deducting all Common Areas and Major Vertical Penetrations. No deductions shall be made for columns. </t>
        </r>
        <r>
          <rPr>
            <sz val="9"/>
            <color indexed="81"/>
            <rFont val="Tahoma"/>
            <family val="2"/>
          </rPr>
          <t>(SAPOA)</t>
        </r>
      </text>
    </comment>
    <comment ref="B36" authorId="1">
      <text>
        <r>
          <rPr>
            <sz val="8"/>
            <color indexed="81"/>
            <rFont val="Tahoma"/>
            <family val="2"/>
          </rPr>
          <t xml:space="preserve">Enter % of gross floor area of development utilised for commercial office purposes.
</t>
        </r>
      </text>
    </comment>
  </commentList>
</comments>
</file>

<file path=xl/comments10.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r>
          <rPr>
            <sz val="9"/>
            <color indexed="81"/>
            <rFont val="Tahoma"/>
            <family val="2"/>
          </rPr>
          <t xml:space="preserve">
</t>
        </r>
      </text>
    </comment>
  </commentList>
</comments>
</file>

<file path=xl/comments11.xml><?xml version="1.0" encoding="utf-8"?>
<comments xmlns="http://schemas.openxmlformats.org/spreadsheetml/2006/main">
  <authors>
    <author>dhclark</author>
  </authors>
  <commentList>
    <comment ref="B9" authorId="0">
      <text>
        <r>
          <rPr>
            <sz val="8"/>
            <color indexed="81"/>
            <rFont val="Tahoma"/>
            <family val="2"/>
          </rPr>
          <t xml:space="preserve">This changes the ecological value of indigenous land types (marked *).
</t>
        </r>
      </text>
    </comment>
    <comment ref="E18" authorId="0">
      <text>
        <r>
          <rPr>
            <b/>
            <sz val="8"/>
            <color indexed="81"/>
            <rFont val="Tahoma"/>
            <family val="2"/>
          </rPr>
          <t>These values are shown in manual</t>
        </r>
        <r>
          <rPr>
            <sz val="8"/>
            <color indexed="81"/>
            <rFont val="Tahoma"/>
            <family val="2"/>
          </rPr>
          <t xml:space="preserve">
</t>
        </r>
      </text>
    </comment>
  </commentList>
</comments>
</file>

<file path=xl/comments12.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r>
          <rPr>
            <sz val="9"/>
            <color indexed="81"/>
            <rFont val="Tahoma"/>
            <family val="2"/>
          </rPr>
          <t xml:space="preserve">
</t>
        </r>
      </text>
    </comment>
  </commentList>
</comments>
</file>

<file path=xl/comments2.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text>
    </comment>
  </commentList>
</comments>
</file>

<file path=xl/comments3.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text>
    </comment>
  </commentList>
</comments>
</file>

<file path=xl/comments4.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text>
    </comment>
  </commentList>
</comments>
</file>

<file path=xl/comments5.xml><?xml version="1.0" encoding="utf-8"?>
<comments xmlns="http://schemas.openxmlformats.org/spreadsheetml/2006/main">
  <authors>
    <author>Jacob Knight</author>
    <author>stenford Mutaringe</author>
  </authors>
  <commentList>
    <comment ref="F39" authorId="0">
      <text>
        <r>
          <rPr>
            <sz val="9"/>
            <color indexed="81"/>
            <rFont val="Tahoma"/>
            <family val="2"/>
          </rPr>
          <t>Do not include heat from renewable sources (e.g. solar water heating) or "waste" heat from on site generation covered below.</t>
        </r>
        <r>
          <rPr>
            <sz val="8"/>
            <color indexed="81"/>
            <rFont val="Tahoma"/>
            <family val="2"/>
          </rPr>
          <t xml:space="preserve">
</t>
        </r>
      </text>
    </comment>
    <comment ref="G39" authorId="0">
      <text>
        <r>
          <rPr>
            <sz val="9"/>
            <color indexed="81"/>
            <rFont val="Tahoma"/>
            <family val="2"/>
          </rPr>
          <t>Do not include heat from renewable sources (e.g. solar water heating) or "waste" heat from on site generation covered below.</t>
        </r>
        <r>
          <rPr>
            <sz val="8"/>
            <color indexed="81"/>
            <rFont val="Tahoma"/>
            <family val="2"/>
          </rPr>
          <t xml:space="preserve">
</t>
        </r>
      </text>
    </comment>
    <comment ref="G40" authorId="0">
      <text>
        <r>
          <rPr>
            <sz val="9"/>
            <color indexed="81"/>
            <rFont val="Tahoma"/>
            <family val="2"/>
          </rPr>
          <t>Use for absorption chillers etc</t>
        </r>
      </text>
    </comment>
    <comment ref="E47" authorId="1">
      <text>
        <r>
          <rPr>
            <sz val="9"/>
            <color indexed="81"/>
            <rFont val="Tahoma"/>
            <family val="2"/>
          </rPr>
          <t>Refer to protocol for calculation of lift  energy use.</t>
        </r>
      </text>
    </comment>
    <comment ref="F47" authorId="1">
      <text>
        <r>
          <rPr>
            <sz val="9"/>
            <color indexed="81"/>
            <rFont val="Tahoma"/>
            <family val="2"/>
          </rPr>
          <t>Refer to protocol for calculation of lift  energy use.</t>
        </r>
      </text>
    </comment>
    <comment ref="F48" authorId="1">
      <text>
        <r>
          <rPr>
            <sz val="9"/>
            <color indexed="81"/>
            <rFont val="Tahoma"/>
            <family val="2"/>
          </rPr>
          <t>Refer to protocol for calculation of domestic hot water  energy use.</t>
        </r>
      </text>
    </comment>
    <comment ref="G48" authorId="1">
      <text>
        <r>
          <rPr>
            <sz val="9"/>
            <color indexed="81"/>
            <rFont val="Tahoma"/>
            <family val="2"/>
          </rPr>
          <t>Refer to protocol for calculation of domestic hot water  energy use.</t>
        </r>
      </text>
    </comment>
    <comment ref="E50" authorId="0">
      <text>
        <r>
          <rPr>
            <sz val="9"/>
            <color indexed="81"/>
            <rFont val="Tahoma"/>
            <family val="2"/>
          </rPr>
          <t>Refer to Protocol.</t>
        </r>
      </text>
    </comment>
    <comment ref="E51" authorId="0">
      <text>
        <r>
          <rPr>
            <sz val="9"/>
            <color indexed="81"/>
            <rFont val="Tahoma"/>
            <family val="2"/>
          </rPr>
          <t>Refer to Protocol.</t>
        </r>
      </text>
    </comment>
    <comment ref="F61" authorId="0">
      <text>
        <r>
          <rPr>
            <sz val="9"/>
            <color indexed="81"/>
            <rFont val="Tahoma"/>
            <family val="2"/>
          </rPr>
          <t>Enter "0" if only heat is being generated.</t>
        </r>
      </text>
    </comment>
  </commentList>
</comments>
</file>

<file path=xl/comments6.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text>
    </comment>
  </commentList>
</comments>
</file>

<file path=xl/comments7.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r>
          <rPr>
            <sz val="9"/>
            <color indexed="81"/>
            <rFont val="Tahoma"/>
            <family val="2"/>
          </rPr>
          <t xml:space="preserve">
</t>
        </r>
      </text>
    </comment>
  </commentList>
</comments>
</file>

<file path=xl/comments8.xml><?xml version="1.0" encoding="utf-8"?>
<comments xmlns="http://schemas.openxmlformats.org/spreadsheetml/2006/main">
  <authors>
    <author xml:space="preserve"> </author>
    <author>nickm</author>
    <author>stenford Mutaringe</author>
    <author>Andrew</author>
    <author>jasonb</author>
    <author>elindner</author>
  </authors>
  <commentList>
    <comment ref="E4" authorId="0">
      <text>
        <r>
          <rPr>
            <sz val="8"/>
            <color indexed="81"/>
            <rFont val="Tahoma"/>
            <family val="2"/>
          </rPr>
          <t>From Building Input Sheet</t>
        </r>
      </text>
    </comment>
    <comment ref="M4" authorId="0">
      <text>
        <r>
          <rPr>
            <b/>
            <sz val="8"/>
            <color indexed="81"/>
            <rFont val="Tahoma"/>
            <family val="2"/>
          </rPr>
          <t>From building input sheet</t>
        </r>
      </text>
    </comment>
    <comment ref="E5" authorId="1">
      <text>
        <r>
          <rPr>
            <sz val="9"/>
            <color indexed="81"/>
            <rFont val="Tahoma"/>
            <family val="2"/>
          </rPr>
          <t>Occupant density assumed as 1 person per 15m</t>
        </r>
        <r>
          <rPr>
            <vertAlign val="superscript"/>
            <sz val="9"/>
            <color indexed="81"/>
            <rFont val="Tahoma"/>
            <family val="2"/>
          </rPr>
          <t xml:space="preserve">2 </t>
        </r>
        <r>
          <rPr>
            <sz val="9"/>
            <color indexed="81"/>
            <rFont val="Tahoma"/>
            <family val="2"/>
          </rPr>
          <t xml:space="preserve"> and 50% female and 50% male.</t>
        </r>
      </text>
    </comment>
    <comment ref="E12" authorId="1">
      <text>
        <r>
          <rPr>
            <sz val="9"/>
            <color indexed="81"/>
            <rFont val="Tahoma"/>
            <family val="2"/>
          </rPr>
          <t>Average flush capacity for dual flush fixture to be calculated based on 1 full flush and 4 half flushes. Please refer to the Potable Water Calculator guide for further information.</t>
        </r>
      </text>
    </comment>
    <comment ref="X12" authorId="1">
      <text>
        <r>
          <rPr>
            <sz val="9"/>
            <color indexed="81"/>
            <rFont val="Tahoma"/>
            <family val="2"/>
          </rPr>
          <t>This is automatically selected based on 'Building Input' page.</t>
        </r>
      </text>
    </comment>
    <comment ref="B20" authorId="1">
      <text>
        <r>
          <rPr>
            <sz val="9"/>
            <color indexed="81"/>
            <rFont val="Tahoma"/>
            <family val="2"/>
          </rPr>
          <t>Waterless urinals must also be included. Please enter 0 L/flush for waterless urinals.</t>
        </r>
      </text>
    </comment>
    <comment ref="B27" authorId="1">
      <text>
        <r>
          <rPr>
            <sz val="9"/>
            <color indexed="81"/>
            <rFont val="Tahoma"/>
            <family val="2"/>
          </rPr>
          <t xml:space="preserve">To include 'trough' urinals, each 600mm section of trough is considered a 'stall' (i.e. 6m trough = 10 urinals). </t>
        </r>
      </text>
    </comment>
    <comment ref="C27" authorId="1">
      <text>
        <r>
          <rPr>
            <sz val="9"/>
            <color indexed="81"/>
            <rFont val="Tahoma"/>
            <family val="2"/>
          </rPr>
          <t>Cisterns may serve multiple urinal fixtures or a urinal trough. Enter number of cisterns, NOT urinals.</t>
        </r>
        <r>
          <rPr>
            <sz val="9"/>
            <color indexed="81"/>
            <rFont val="Tahoma"/>
            <family val="2"/>
          </rPr>
          <t xml:space="preserve">
</t>
        </r>
      </text>
    </comment>
    <comment ref="D27" authorId="1">
      <text>
        <r>
          <rPr>
            <sz val="9"/>
            <color indexed="81"/>
            <rFont val="Tahoma"/>
            <family val="2"/>
          </rPr>
          <t xml:space="preserve">Enter automated timer flushes per day PER cistern, NOT aggregate flushes.
</t>
        </r>
      </text>
    </comment>
    <comment ref="E27" authorId="1">
      <text>
        <r>
          <rPr>
            <sz val="9"/>
            <color indexed="81"/>
            <rFont val="Tahoma"/>
            <family val="2"/>
          </rPr>
          <t>Enter litre/flush for each cistern, NOT urinal.</t>
        </r>
        <r>
          <rPr>
            <sz val="9"/>
            <color indexed="81"/>
            <rFont val="Tahoma"/>
            <family val="2"/>
          </rPr>
          <t xml:space="preserve">
</t>
        </r>
      </text>
    </comment>
    <comment ref="S35" authorId="0">
      <text>
        <r>
          <rPr>
            <b/>
            <sz val="8"/>
            <color indexed="81"/>
            <rFont val="Tahoma"/>
            <family val="2"/>
          </rPr>
          <t xml:space="preserve"> Need to define this, as the tool will need to use a figure to calculate the data</t>
        </r>
      </text>
    </comment>
    <comment ref="T35" authorId="0">
      <text>
        <r>
          <rPr>
            <b/>
            <sz val="8"/>
            <color indexed="81"/>
            <rFont val="Tahoma"/>
            <family val="2"/>
          </rPr>
          <t xml:space="preserve"> Need to evaluate this figure according to the WELS table</t>
        </r>
      </text>
    </comment>
    <comment ref="U35" authorId="0">
      <text>
        <r>
          <rPr>
            <b/>
            <sz val="8"/>
            <color indexed="81"/>
            <rFont val="Tahoma"/>
            <family val="2"/>
          </rPr>
          <t xml:space="preserve"> Need to define this, as the tool will need to use a figure to calculate the data</t>
        </r>
      </text>
    </comment>
    <comment ref="W35" authorId="0">
      <text>
        <r>
          <rPr>
            <b/>
            <sz val="8"/>
            <color indexed="81"/>
            <rFont val="Tahoma"/>
            <family val="2"/>
          </rPr>
          <t xml:space="preserve"> Need to evaluate this figure according to the WELS table</t>
        </r>
      </text>
    </comment>
    <comment ref="T36" authorId="0">
      <text>
        <r>
          <rPr>
            <b/>
            <sz val="8"/>
            <color indexed="81"/>
            <rFont val="Tahoma"/>
            <family val="2"/>
          </rPr>
          <t xml:space="preserve"> Need to evaluate this figure according to the WELS table</t>
        </r>
        <r>
          <rPr>
            <sz val="8"/>
            <color indexed="81"/>
            <rFont val="Tahoma"/>
            <family val="2"/>
          </rPr>
          <t xml:space="preserve">
</t>
        </r>
      </text>
    </comment>
    <comment ref="W36" authorId="0">
      <text>
        <r>
          <rPr>
            <b/>
            <sz val="8"/>
            <color indexed="81"/>
            <rFont val="Tahoma"/>
            <family val="2"/>
          </rPr>
          <t xml:space="preserve"> Need to evaluate this figure according to the WELS table</t>
        </r>
        <r>
          <rPr>
            <sz val="8"/>
            <color indexed="81"/>
            <rFont val="Tahoma"/>
            <family val="2"/>
          </rPr>
          <t xml:space="preserve">
</t>
        </r>
      </text>
    </comment>
    <comment ref="T41" authorId="0">
      <text>
        <r>
          <rPr>
            <b/>
            <sz val="8"/>
            <color indexed="81"/>
            <rFont val="Tahoma"/>
            <family val="2"/>
          </rPr>
          <t xml:space="preserve"> Need to evaluate this figure according to the WELS table</t>
        </r>
      </text>
    </comment>
    <comment ref="W41" authorId="0">
      <text>
        <r>
          <rPr>
            <b/>
            <sz val="8"/>
            <color indexed="81"/>
            <rFont val="Tahoma"/>
            <family val="2"/>
          </rPr>
          <t xml:space="preserve"> Need to evaluate this figure according to the WELS table</t>
        </r>
      </text>
    </comment>
    <comment ref="S42" authorId="0">
      <text>
        <r>
          <rPr>
            <b/>
            <sz val="8"/>
            <color indexed="81"/>
            <rFont val="Tahoma"/>
            <family val="2"/>
          </rPr>
          <t xml:space="preserve"> :</t>
        </r>
        <r>
          <rPr>
            <sz val="8"/>
            <color indexed="81"/>
            <rFont val="Tahoma"/>
            <family val="2"/>
          </rPr>
          <t xml:space="preserve">
Assume 1 star?</t>
        </r>
      </text>
    </comment>
    <comment ref="S43" authorId="0">
      <text>
        <r>
          <rPr>
            <b/>
            <sz val="8"/>
            <color indexed="81"/>
            <rFont val="Tahoma"/>
            <family val="2"/>
          </rPr>
          <t xml:space="preserve"> :</t>
        </r>
        <r>
          <rPr>
            <sz val="8"/>
            <color indexed="81"/>
            <rFont val="Tahoma"/>
            <family val="2"/>
          </rPr>
          <t xml:space="preserve">
Assume 1 star?</t>
        </r>
      </text>
    </comment>
    <comment ref="S44" authorId="0">
      <text>
        <r>
          <rPr>
            <b/>
            <sz val="8"/>
            <color indexed="81"/>
            <rFont val="Tahoma"/>
            <family val="2"/>
          </rPr>
          <t xml:space="preserve"> :</t>
        </r>
        <r>
          <rPr>
            <sz val="8"/>
            <color indexed="81"/>
            <rFont val="Tahoma"/>
            <family val="2"/>
          </rPr>
          <t xml:space="preserve">
Assume 1 star?</t>
        </r>
      </text>
    </comment>
    <comment ref="B62" authorId="2">
      <text>
        <r>
          <rPr>
            <sz val="8"/>
            <color indexed="81"/>
            <rFont val="Tahoma"/>
            <family val="2"/>
          </rPr>
          <t xml:space="preserve">Figures entered must correlate with figures claimed in other water credits.
</t>
        </r>
      </text>
    </comment>
    <comment ref="B63" authorId="3">
      <text>
        <r>
          <rPr>
            <sz val="8"/>
            <color indexed="81"/>
            <rFont val="Tahoma"/>
            <family val="2"/>
          </rPr>
          <t>Please calculate annual total and determine average L/day (based on 365 days) irrigation demand (non-potable component only)</t>
        </r>
      </text>
    </comment>
    <comment ref="N63" authorId="1">
      <text>
        <r>
          <rPr>
            <b/>
            <sz val="9"/>
            <color indexed="81"/>
            <rFont val="Tahoma"/>
            <family val="2"/>
          </rPr>
          <t>nickm:</t>
        </r>
        <r>
          <rPr>
            <sz val="9"/>
            <color indexed="81"/>
            <rFont val="Tahoma"/>
            <family val="2"/>
          </rPr>
          <t xml:space="preserve">
daily demand averaged on 250 work days</t>
        </r>
      </text>
    </comment>
    <comment ref="B64" authorId="3">
      <text>
        <r>
          <rPr>
            <sz val="8"/>
            <color indexed="81"/>
            <rFont val="Tahoma"/>
            <family val="2"/>
          </rPr>
          <t>Please calculate annual total and determine average L/day (based on working days; 261) cooling tower demand (non-potable component only).</t>
        </r>
      </text>
    </comment>
    <comment ref="B65" authorId="3">
      <text>
        <r>
          <rPr>
            <sz val="8"/>
            <color indexed="81"/>
            <rFont val="Tahoma"/>
            <family val="2"/>
          </rPr>
          <t>Please calculate annual total and determine daily average (based on work days only; 261) L/day fire system test demand (non-potable component only)</t>
        </r>
      </text>
    </comment>
    <comment ref="B66" authorId="1">
      <text>
        <r>
          <rPr>
            <sz val="9"/>
            <color indexed="81"/>
            <rFont val="Tahoma"/>
            <family val="2"/>
          </rPr>
          <t>Please calculate annual total and determine daily average (based on work days only; 261) L/day 'other' demand (non-potable component only)</t>
        </r>
      </text>
    </comment>
    <comment ref="M68" authorId="1">
      <text>
        <r>
          <rPr>
            <sz val="9"/>
            <color indexed="81"/>
            <rFont val="Tahoma"/>
            <family val="2"/>
          </rPr>
          <t>average per WORK day (261 days)</t>
        </r>
      </text>
    </comment>
    <comment ref="B72" authorId="1">
      <text>
        <r>
          <rPr>
            <sz val="9"/>
            <color indexed="81"/>
            <rFont val="Tahoma"/>
            <family val="2"/>
          </rPr>
          <t>Please ensure selections for rainwater reuse match those indicated above.</t>
        </r>
        <r>
          <rPr>
            <sz val="9"/>
            <color indexed="81"/>
            <rFont val="Tahoma"/>
            <family val="2"/>
          </rPr>
          <t xml:space="preserve">
</t>
        </r>
      </text>
    </comment>
    <comment ref="L73" authorId="4">
      <text>
        <r>
          <rPr>
            <b/>
            <sz val="9"/>
            <color indexed="81"/>
            <rFont val="Tahoma"/>
            <family val="2"/>
          </rPr>
          <t>jasonb:</t>
        </r>
        <r>
          <rPr>
            <sz val="9"/>
            <color indexed="81"/>
            <rFont val="Tahoma"/>
            <family val="2"/>
          </rPr>
          <t xml:space="preserve">
Linked to Irrigation
tickbox at left: True if ticked, false if not ticked.</t>
        </r>
      </text>
    </comment>
    <comment ref="M73" authorId="4">
      <text>
        <r>
          <rPr>
            <b/>
            <sz val="9"/>
            <color indexed="81"/>
            <rFont val="Tahoma"/>
            <family val="2"/>
          </rPr>
          <t>jasonb:</t>
        </r>
        <r>
          <rPr>
            <sz val="9"/>
            <color indexed="81"/>
            <rFont val="Tahoma"/>
            <family val="2"/>
          </rPr>
          <t xml:space="preserve">
Linked to WC &amp; Urinal
tickbox at left: True if ticked, false if not ticked.</t>
        </r>
      </text>
    </comment>
    <comment ref="N73" authorId="5">
      <text>
        <r>
          <rPr>
            <b/>
            <sz val="8"/>
            <color indexed="81"/>
            <rFont val="Tahoma"/>
            <family val="2"/>
          </rPr>
          <t>elindner:</t>
        </r>
        <r>
          <rPr>
            <sz val="8"/>
            <color indexed="81"/>
            <rFont val="Tahoma"/>
            <family val="2"/>
          </rPr>
          <t xml:space="preserve">
Irrigation
</t>
        </r>
      </text>
    </comment>
    <comment ref="L74" authorId="4">
      <text>
        <r>
          <rPr>
            <b/>
            <sz val="9"/>
            <color indexed="81"/>
            <rFont val="Tahoma"/>
            <family val="2"/>
          </rPr>
          <t>jasonb:</t>
        </r>
        <r>
          <rPr>
            <sz val="9"/>
            <color indexed="81"/>
            <rFont val="Tahoma"/>
            <family val="2"/>
          </rPr>
          <t xml:space="preserve">
Linked to Cooling Tower
tickbox at left: True if ticked, false if not ticked.</t>
        </r>
      </text>
    </comment>
    <comment ref="M74" authorId="4">
      <text>
        <r>
          <rPr>
            <b/>
            <sz val="9"/>
            <color indexed="81"/>
            <rFont val="Tahoma"/>
            <family val="2"/>
          </rPr>
          <t>jasonb:</t>
        </r>
        <r>
          <rPr>
            <sz val="9"/>
            <color indexed="81"/>
            <rFont val="Tahoma"/>
            <family val="2"/>
          </rPr>
          <t xml:space="preserve">
Linked to Shower &amp; Tap
tickbox at left: True if ticked, false if not ticked.</t>
        </r>
      </text>
    </comment>
    <comment ref="L75" authorId="4">
      <text>
        <r>
          <rPr>
            <b/>
            <sz val="9"/>
            <color indexed="81"/>
            <rFont val="Tahoma"/>
            <family val="2"/>
          </rPr>
          <t>jasonb:</t>
        </r>
        <r>
          <rPr>
            <sz val="9"/>
            <color indexed="81"/>
            <rFont val="Tahoma"/>
            <family val="2"/>
          </rPr>
          <t xml:space="preserve">
Linked to Fire System Testing tickbox at left: True if ticked, false if not ticked.</t>
        </r>
      </text>
    </comment>
    <comment ref="M75" authorId="4">
      <text>
        <r>
          <rPr>
            <b/>
            <sz val="9"/>
            <color indexed="81"/>
            <rFont val="Tahoma"/>
            <family val="2"/>
          </rPr>
          <t>jasonb:</t>
        </r>
        <r>
          <rPr>
            <sz val="9"/>
            <color indexed="81"/>
            <rFont val="Tahoma"/>
            <family val="2"/>
          </rPr>
          <t xml:space="preserve">
Linked to Other demand
tickbox at left: True if ticked, false if not ticked.</t>
        </r>
      </text>
    </comment>
    <comment ref="B76" authorId="1">
      <text>
        <r>
          <rPr>
            <sz val="9"/>
            <color indexed="81"/>
            <rFont val="Tahoma"/>
            <family val="2"/>
          </rPr>
          <t xml:space="preserve">Project teams must clearly demonstrate stated area is drained to storage tank(s).
</t>
        </r>
      </text>
    </comment>
    <comment ref="B77" authorId="1">
      <text>
        <r>
          <rPr>
            <sz val="9"/>
            <color indexed="81"/>
            <rFont val="Tahoma"/>
            <family val="2"/>
          </rPr>
          <t>Only include capacities of storage tanks from which harvested water is supplied to meet building/site demands. Do not include simple stormwater retention tanks for the sole purposes of minimising peak runoff flows only.</t>
        </r>
      </text>
    </comment>
    <comment ref="M77" authorId="1">
      <text>
        <r>
          <rPr>
            <sz val="9"/>
            <color indexed="81"/>
            <rFont val="Tahoma"/>
            <family val="2"/>
          </rPr>
          <t xml:space="preserve">actual area X runoff coefficient
</t>
        </r>
      </text>
    </comment>
    <comment ref="P77" authorId="3">
      <text>
        <r>
          <rPr>
            <b/>
            <sz val="8"/>
            <color indexed="81"/>
            <rFont val="Tahoma"/>
            <family val="2"/>
          </rPr>
          <t>Andrew:</t>
        </r>
        <r>
          <rPr>
            <sz val="8"/>
            <color indexed="81"/>
            <rFont val="Tahoma"/>
            <family val="2"/>
          </rPr>
          <t xml:space="preserve">
Melbourne used</t>
        </r>
      </text>
    </comment>
    <comment ref="B78" authorId="1">
      <text>
        <r>
          <rPr>
            <sz val="9"/>
            <color indexed="81"/>
            <rFont val="Tahoma"/>
            <family val="2"/>
          </rPr>
          <t>If collection area consists of varying types (i.e. green roof AND flat metal roof), please enter areas separately.  Total of separate areas must equal that stated above.</t>
        </r>
        <r>
          <rPr>
            <sz val="9"/>
            <color indexed="81"/>
            <rFont val="Tahoma"/>
            <family val="2"/>
          </rPr>
          <t xml:space="preserve">
</t>
        </r>
      </text>
    </comment>
    <comment ref="O78" authorId="1">
      <text>
        <r>
          <rPr>
            <sz val="9"/>
            <color indexed="81"/>
            <rFont val="Tahoma"/>
            <family val="2"/>
          </rPr>
          <t>workday demand</t>
        </r>
      </text>
    </comment>
    <comment ref="P78" authorId="1">
      <text>
        <r>
          <rPr>
            <sz val="9"/>
            <color indexed="81"/>
            <rFont val="Tahoma"/>
            <family val="2"/>
          </rPr>
          <t>Total runoff less first flush amount.</t>
        </r>
      </text>
    </comment>
    <comment ref="Q78" authorId="5">
      <text>
        <r>
          <rPr>
            <b/>
            <sz val="8"/>
            <color indexed="81"/>
            <rFont val="Tahoma"/>
            <family val="2"/>
          </rPr>
          <t>elindner:</t>
        </r>
        <r>
          <rPr>
            <sz val="8"/>
            <color indexed="81"/>
            <rFont val="Tahoma"/>
            <family val="2"/>
          </rPr>
          <t xml:space="preserve">
Monthy yield = Rain collection on rain days - first flush
Calculations starts off with 25% full tank volume.</t>
        </r>
      </text>
    </comment>
    <comment ref="P79" authorId="3">
      <text>
        <r>
          <rPr>
            <b/>
            <sz val="8"/>
            <color indexed="81"/>
            <rFont val="Tahoma"/>
            <family val="2"/>
          </rPr>
          <t>Andrew:</t>
        </r>
        <r>
          <rPr>
            <sz val="8"/>
            <color indexed="81"/>
            <rFont val="Tahoma"/>
            <family val="2"/>
          </rPr>
          <t xml:space="preserve">
These values are conditional and their origin is dependant on rainwater, grey water, and 
blackwater options 1 to 5
</t>
        </r>
      </text>
    </comment>
    <comment ref="Q79" authorId="1">
      <text>
        <r>
          <rPr>
            <b/>
            <sz val="9"/>
            <color indexed="81"/>
            <rFont val="Tahoma"/>
            <family val="2"/>
          </rPr>
          <t>nickm:</t>
        </r>
        <r>
          <rPr>
            <sz val="9"/>
            <color indexed="81"/>
            <rFont val="Tahoma"/>
            <family val="2"/>
          </rPr>
          <t xml:space="preserve">
calculations are based on 31 days NOT working days</t>
        </r>
      </text>
    </comment>
    <comment ref="Q81" authorId="1">
      <text>
        <r>
          <rPr>
            <b/>
            <sz val="9"/>
            <color indexed="81"/>
            <rFont val="Tahoma"/>
            <family val="2"/>
          </rPr>
          <t>nickm:</t>
        </r>
        <r>
          <rPr>
            <sz val="9"/>
            <color indexed="81"/>
            <rFont val="Tahoma"/>
            <family val="2"/>
          </rPr>
          <t xml:space="preserve">
Volume at end of month is carried over to start of next month</t>
        </r>
      </text>
    </comment>
    <comment ref="Q82" authorId="1">
      <text>
        <r>
          <rPr>
            <b/>
            <sz val="9"/>
            <color indexed="81"/>
            <rFont val="Tahoma"/>
            <family val="2"/>
          </rPr>
          <t>nickm:</t>
        </r>
        <r>
          <rPr>
            <sz val="9"/>
            <color indexed="81"/>
            <rFont val="Tahoma"/>
            <family val="2"/>
          </rPr>
          <t xml:space="preserve">
Make-up is just the difference between demand and harvest</t>
        </r>
      </text>
    </comment>
    <comment ref="B83" authorId="4">
      <text>
        <r>
          <rPr>
            <sz val="9"/>
            <color indexed="81"/>
            <rFont val="Tahoma"/>
            <family val="2"/>
          </rPr>
          <t>Select city from drop down menu</t>
        </r>
      </text>
    </comment>
    <comment ref="P84" authorId="1">
      <text>
        <r>
          <rPr>
            <sz val="9"/>
            <color indexed="81"/>
            <rFont val="Tahoma"/>
            <family val="2"/>
          </rPr>
          <t>Monthly effective use of available harvested rainwater/stormwater.</t>
        </r>
      </text>
    </comment>
    <comment ref="P88" authorId="1">
      <text>
        <r>
          <rPr>
            <sz val="9"/>
            <color indexed="81"/>
            <rFont val="Tahoma"/>
            <family val="2"/>
          </rPr>
          <t>All public holidays are ignored.</t>
        </r>
      </text>
    </comment>
    <comment ref="L90" authorId="4">
      <text>
        <r>
          <rPr>
            <b/>
            <sz val="9"/>
            <color indexed="81"/>
            <rFont val="Tahoma"/>
            <family val="2"/>
          </rPr>
          <t>jasonb:</t>
        </r>
        <r>
          <rPr>
            <sz val="9"/>
            <color indexed="81"/>
            <rFont val="Tahoma"/>
            <family val="2"/>
          </rPr>
          <t xml:space="preserve">
1=Yes, 2=No from dropdown at left.</t>
        </r>
      </text>
    </comment>
    <comment ref="L93" authorId="4">
      <text>
        <r>
          <rPr>
            <b/>
            <sz val="9"/>
            <color indexed="81"/>
            <rFont val="Tahoma"/>
            <family val="2"/>
          </rPr>
          <t>jasonb:</t>
        </r>
        <r>
          <rPr>
            <sz val="9"/>
            <color indexed="81"/>
            <rFont val="Tahoma"/>
            <family val="2"/>
          </rPr>
          <t xml:space="preserve">
Linked to Irrigation
tickbox at left: True if ticked, false if not ticked.</t>
        </r>
      </text>
    </comment>
    <comment ref="M93" authorId="4">
      <text>
        <r>
          <rPr>
            <b/>
            <sz val="9"/>
            <color indexed="81"/>
            <rFont val="Tahoma"/>
            <family val="2"/>
          </rPr>
          <t>jasonb:</t>
        </r>
        <r>
          <rPr>
            <sz val="9"/>
            <color indexed="81"/>
            <rFont val="Tahoma"/>
            <family val="2"/>
          </rPr>
          <t xml:space="preserve">
Linked to WC &amp; Urinal Flushing at left: True if ticked, false if not ticked.</t>
        </r>
      </text>
    </comment>
    <comment ref="N93" authorId="5">
      <text>
        <r>
          <rPr>
            <b/>
            <sz val="8"/>
            <color indexed="81"/>
            <rFont val="Tahoma"/>
            <family val="2"/>
          </rPr>
          <t>elindner:</t>
        </r>
        <r>
          <rPr>
            <sz val="8"/>
            <color indexed="81"/>
            <rFont val="Tahoma"/>
            <family val="2"/>
          </rPr>
          <t xml:space="preserve">
Irrigation
</t>
        </r>
      </text>
    </comment>
    <comment ref="L94" authorId="4">
      <text>
        <r>
          <rPr>
            <b/>
            <sz val="9"/>
            <color indexed="81"/>
            <rFont val="Tahoma"/>
            <family val="2"/>
          </rPr>
          <t>jasonb:</t>
        </r>
        <r>
          <rPr>
            <sz val="9"/>
            <color indexed="81"/>
            <rFont val="Tahoma"/>
            <family val="2"/>
          </rPr>
          <t xml:space="preserve">
Linked to Cooling Tower
tickbox at left: True if ticked, false if not ticked.</t>
        </r>
      </text>
    </comment>
    <comment ref="M94" authorId="4">
      <text>
        <r>
          <rPr>
            <b/>
            <sz val="9"/>
            <color indexed="81"/>
            <rFont val="Tahoma"/>
            <family val="2"/>
          </rPr>
          <t>jasonb:</t>
        </r>
        <r>
          <rPr>
            <sz val="9"/>
            <color indexed="81"/>
            <rFont val="Tahoma"/>
            <family val="2"/>
          </rPr>
          <t xml:space="preserve">
Linked to Shower &amp; Taps
tickbox at left: True if ticked, false if not ticked.</t>
        </r>
      </text>
    </comment>
    <comment ref="L95" authorId="4">
      <text>
        <r>
          <rPr>
            <b/>
            <sz val="9"/>
            <color indexed="81"/>
            <rFont val="Tahoma"/>
            <family val="2"/>
          </rPr>
          <t>jasonb:</t>
        </r>
        <r>
          <rPr>
            <sz val="9"/>
            <color indexed="81"/>
            <rFont val="Tahoma"/>
            <family val="2"/>
          </rPr>
          <t xml:space="preserve">
Linked to Fire System Testing tickbox at left: True if ticked, false if not ticked.</t>
        </r>
      </text>
    </comment>
    <comment ref="M95" authorId="4">
      <text>
        <r>
          <rPr>
            <b/>
            <sz val="9"/>
            <color indexed="81"/>
            <rFont val="Tahoma"/>
            <family val="2"/>
          </rPr>
          <t xml:space="preserve">jasonb: </t>
        </r>
        <r>
          <rPr>
            <sz val="9"/>
            <color indexed="81"/>
            <rFont val="Tahoma"/>
            <family val="2"/>
          </rPr>
          <t>Linked to Other tickbox at left: True if ticked, false if not ticked.</t>
        </r>
      </text>
    </comment>
    <comment ref="B99" authorId="3">
      <text>
        <r>
          <rPr>
            <sz val="8"/>
            <color indexed="81"/>
            <rFont val="Tahoma"/>
            <family val="2"/>
          </rPr>
          <t>For fire services and condensate or other flows, first calculate the annual collection and convert to daily rates</t>
        </r>
      </text>
    </comment>
    <comment ref="B100" authorId="3">
      <text>
        <r>
          <rPr>
            <sz val="8"/>
            <color indexed="81"/>
            <rFont val="Tahoma"/>
            <family val="2"/>
          </rPr>
          <t>For fire services and condensate or other flows, first calculate the annual collection and convert to daily rates</t>
        </r>
      </text>
    </comment>
    <comment ref="N100" authorId="1">
      <text>
        <r>
          <rPr>
            <sz val="9"/>
            <color indexed="81"/>
            <rFont val="Tahoma"/>
            <family val="2"/>
          </rPr>
          <t>Includes check if GW storage tank capacity is sufficiently sized for the expected inflow.
This is done on the assumption of a 'batch' treatment process as opposed to 'instantaneous' treatment process. It assumes that the storage capacity is that of the untreated greywater tank and the treatment plant operates once per day. Once tank is full, no further storage/treatment of GW is possible hence maximum GW volume is nominated tank capacity.</t>
        </r>
      </text>
    </comment>
    <comment ref="B101" authorId="3">
      <text>
        <r>
          <rPr>
            <sz val="8"/>
            <color indexed="81"/>
            <rFont val="Tahoma"/>
            <family val="2"/>
          </rPr>
          <t>For fire services and condensate or other flows, first calculate the annual collection and convert to daily rates</t>
        </r>
      </text>
    </comment>
    <comment ref="B102" authorId="3">
      <text>
        <r>
          <rPr>
            <sz val="8"/>
            <color indexed="81"/>
            <rFont val="Tahoma"/>
            <family val="2"/>
          </rPr>
          <t>For fire services and condensate or other flows, first calculate the annual collection and convert to daily rates</t>
        </r>
      </text>
    </comment>
    <comment ref="N109" authorId="5">
      <text>
        <r>
          <rPr>
            <b/>
            <sz val="8"/>
            <color indexed="81"/>
            <rFont val="Tahoma"/>
            <family val="2"/>
          </rPr>
          <t>elindner:</t>
        </r>
        <r>
          <rPr>
            <sz val="8"/>
            <color indexed="81"/>
            <rFont val="Tahoma"/>
            <family val="2"/>
          </rPr>
          <t xml:space="preserve">
Irrigation
</t>
        </r>
      </text>
    </comment>
    <comment ref="N118" authorId="1">
      <text>
        <r>
          <rPr>
            <sz val="9"/>
            <color indexed="81"/>
            <rFont val="Tahoma"/>
            <family val="2"/>
          </rPr>
          <t xml:space="preserve">Includes check if BW storage tank capacity is sufficiently sized for the expected inflow.
This is done on the assumption of a 'batch' treatment process as opposed to 'instantaneous' treatment process. It assumes that the storage capacity is that of the untreated blackwater tank and the treatment plant operates once per day. Once tank is full, no further storage/treatment of BW is possible hence maximum BW volume is nominated tank capacity.
</t>
        </r>
      </text>
    </comment>
    <comment ref="B127" authorId="1">
      <text>
        <r>
          <rPr>
            <sz val="9"/>
            <color indexed="81"/>
            <rFont val="Tahoma"/>
            <family val="2"/>
          </rPr>
          <t>Please ensure selections for rainwater reuse match those indicated above.</t>
        </r>
        <r>
          <rPr>
            <sz val="9"/>
            <color indexed="81"/>
            <rFont val="Tahoma"/>
            <family val="2"/>
          </rPr>
          <t xml:space="preserve">
</t>
        </r>
      </text>
    </comment>
    <comment ref="N128" authorId="5">
      <text>
        <r>
          <rPr>
            <b/>
            <sz val="8"/>
            <color indexed="81"/>
            <rFont val="Tahoma"/>
            <family val="2"/>
          </rPr>
          <t>elindner:</t>
        </r>
        <r>
          <rPr>
            <sz val="8"/>
            <color indexed="81"/>
            <rFont val="Tahoma"/>
            <family val="2"/>
          </rPr>
          <t xml:space="preserve">
Irrigation
</t>
        </r>
      </text>
    </comment>
    <comment ref="N137" authorId="1">
      <text>
        <r>
          <rPr>
            <sz val="9"/>
            <color indexed="81"/>
            <rFont val="Tahoma"/>
            <family val="2"/>
          </rPr>
          <t xml:space="preserve">Includes check if BW storage tank capacity is sufficiently sized for the expected inflow.
This is done on the assumption of a 'batch' treatment process as opposed to 'instantaneous' treatment process. It assumes that the storage capacity is that of the untreated blackwater tank and the treatment plant operates once per day. Once tank is full, no further storage/treatment of BW is possible hence maximum BW volume is nominated tank capacity.
</t>
        </r>
      </text>
    </comment>
    <comment ref="B139" authorId="3">
      <text>
        <r>
          <rPr>
            <sz val="8"/>
            <color indexed="81"/>
            <rFont val="Tahoma"/>
            <family val="2"/>
          </rPr>
          <t>For fire services and condensate or other flows, first calculate the annual collection and convert to daily rates</t>
        </r>
      </text>
    </comment>
    <comment ref="B140" authorId="3">
      <text>
        <r>
          <rPr>
            <sz val="8"/>
            <color indexed="81"/>
            <rFont val="Tahoma"/>
            <family val="2"/>
          </rPr>
          <t>For fire services and condensate or other flows, first calculate the annual collection and convert to daily rates</t>
        </r>
      </text>
    </comment>
  </commentList>
</comments>
</file>

<file path=xl/comments9.xml><?xml version="1.0" encoding="utf-8"?>
<comments xmlns="http://schemas.openxmlformats.org/spreadsheetml/2006/main">
  <authors>
    <author>nickm</author>
  </authors>
  <commentList>
    <comment ref="I4" authorId="0">
      <text>
        <r>
          <rPr>
            <sz val="9"/>
            <color indexed="81"/>
            <rFont val="Tahoma"/>
            <family val="2"/>
          </rPr>
          <t>Comments are for internal design team purposes only. Do NOT include ANY comments within the workbook submitted as part of the submission for a certified rating (Round 1 or Round 2).</t>
        </r>
      </text>
    </comment>
  </commentList>
</comments>
</file>

<file path=xl/sharedStrings.xml><?xml version="1.0" encoding="utf-8"?>
<sst xmlns="http://schemas.openxmlformats.org/spreadsheetml/2006/main" count="3472" uniqueCount="1795">
  <si>
    <t>Changed colour scheme of tool to match new Green Star SA branding; Revised Mat-11 Credit Criteria to make it more clear that the second point is not contingent upon the first point being achieved: changed "An additional point is awarded where" to "One point is awarded where"; Corrected typographical error in IEQ-2 Credit Criteria for naturally ventilated spaces to say "for at least 95% of each space" rather than "for at least 90% of each space";</t>
  </si>
  <si>
    <t>Eco-0 Conditional Requirement revised as per Retail Centre v1 tool; General formatting revised and category summary added to all category spreadsheets;</t>
  </si>
  <si>
    <t>Useable area (UA) link from 'Building Input' sheet to 'Potable Water Calculator' sheet corrected;</t>
  </si>
  <si>
    <t>Conditional Requirement Achieved?</t>
  </si>
  <si>
    <t>Number modelling points achieved within performance band</t>
  </si>
  <si>
    <t>% Reduction from Notional ( R )</t>
  </si>
  <si>
    <t>Lower Limit</t>
  </si>
  <si>
    <t>Upper Limit</t>
  </si>
  <si>
    <t>Band Check</t>
  </si>
  <si>
    <t>Point Awarded</t>
  </si>
  <si>
    <r>
      <t xml:space="preserve">0 </t>
    </r>
    <r>
      <rPr>
        <sz val="10"/>
        <color indexed="9"/>
        <rFont val="Arial"/>
        <family val="2"/>
      </rPr>
      <t>≤</t>
    </r>
    <r>
      <rPr>
        <sz val="8"/>
        <color indexed="9"/>
        <rFont val="Verdana"/>
        <family val="2"/>
      </rPr>
      <t xml:space="preserve"> R &lt; 5</t>
    </r>
  </si>
  <si>
    <r>
      <t xml:space="preserve">5 </t>
    </r>
    <r>
      <rPr>
        <sz val="10"/>
        <color indexed="9"/>
        <rFont val="Arial"/>
        <family val="2"/>
      </rPr>
      <t>≤</t>
    </r>
    <r>
      <rPr>
        <sz val="8"/>
        <color indexed="9"/>
        <rFont val="Arial"/>
        <family val="2"/>
      </rPr>
      <t xml:space="preserve"> </t>
    </r>
    <r>
      <rPr>
        <sz val="8"/>
        <color indexed="9"/>
        <rFont val="Verdana"/>
        <family val="2"/>
      </rPr>
      <t>R &lt; 10</t>
    </r>
  </si>
  <si>
    <r>
      <t xml:space="preserve">10 </t>
    </r>
    <r>
      <rPr>
        <sz val="10"/>
        <color indexed="9"/>
        <rFont val="Arial"/>
        <family val="2"/>
      </rPr>
      <t>≤</t>
    </r>
    <r>
      <rPr>
        <sz val="8"/>
        <color indexed="9"/>
        <rFont val="Verdana"/>
        <family val="2"/>
      </rPr>
      <t xml:space="preserve"> R &lt; 15</t>
    </r>
  </si>
  <si>
    <r>
      <t xml:space="preserve">15 </t>
    </r>
    <r>
      <rPr>
        <sz val="10"/>
        <color indexed="9"/>
        <rFont val="Arial"/>
        <family val="2"/>
      </rPr>
      <t>≤</t>
    </r>
    <r>
      <rPr>
        <sz val="8"/>
        <color indexed="9"/>
        <rFont val="Verdana"/>
        <family val="2"/>
      </rPr>
      <t xml:space="preserve"> R &lt; 20</t>
    </r>
  </si>
  <si>
    <r>
      <t xml:space="preserve">55 </t>
    </r>
    <r>
      <rPr>
        <sz val="10"/>
        <color indexed="9"/>
        <rFont val="Arial"/>
        <family val="2"/>
      </rPr>
      <t>≤</t>
    </r>
    <r>
      <rPr>
        <sz val="8"/>
        <color indexed="9"/>
        <rFont val="Verdana"/>
        <family val="2"/>
      </rPr>
      <t xml:space="preserve"> R &lt; 60</t>
    </r>
  </si>
  <si>
    <r>
      <t xml:space="preserve">60 </t>
    </r>
    <r>
      <rPr>
        <sz val="10"/>
        <color indexed="9"/>
        <rFont val="Arial"/>
        <family val="2"/>
      </rPr>
      <t>≤</t>
    </r>
    <r>
      <rPr>
        <sz val="8"/>
        <color indexed="9"/>
        <rFont val="Verdana"/>
        <family val="2"/>
      </rPr>
      <t xml:space="preserve"> R &lt; 65</t>
    </r>
  </si>
  <si>
    <r>
      <t xml:space="preserve">65 </t>
    </r>
    <r>
      <rPr>
        <sz val="10"/>
        <color indexed="9"/>
        <rFont val="Arial"/>
        <family val="2"/>
      </rPr>
      <t>≤</t>
    </r>
    <r>
      <rPr>
        <sz val="8"/>
        <color indexed="9"/>
        <rFont val="Verdana"/>
        <family val="2"/>
      </rPr>
      <t xml:space="preserve"> R &lt; 70</t>
    </r>
  </si>
  <si>
    <r>
      <t xml:space="preserve">70 </t>
    </r>
    <r>
      <rPr>
        <sz val="10"/>
        <color indexed="9"/>
        <rFont val="Arial"/>
        <family val="2"/>
      </rPr>
      <t>≤</t>
    </r>
    <r>
      <rPr>
        <sz val="8"/>
        <color indexed="9"/>
        <rFont val="Verdana"/>
        <family val="2"/>
      </rPr>
      <t xml:space="preserve"> R &lt; 75</t>
    </r>
  </si>
  <si>
    <r>
      <t xml:space="preserve">75 </t>
    </r>
    <r>
      <rPr>
        <sz val="10"/>
        <color indexed="9"/>
        <rFont val="Arial"/>
        <family val="2"/>
      </rPr>
      <t>≤</t>
    </r>
    <r>
      <rPr>
        <sz val="8"/>
        <color indexed="9"/>
        <rFont val="Verdana"/>
        <family val="2"/>
      </rPr>
      <t xml:space="preserve"> R &lt; 80</t>
    </r>
  </si>
  <si>
    <r>
      <t xml:space="preserve">80 </t>
    </r>
    <r>
      <rPr>
        <sz val="10"/>
        <color indexed="9"/>
        <rFont val="Arial"/>
        <family val="2"/>
      </rPr>
      <t>≤</t>
    </r>
    <r>
      <rPr>
        <sz val="8"/>
        <color indexed="9"/>
        <rFont val="Verdana"/>
        <family val="2"/>
      </rPr>
      <t xml:space="preserve"> R &lt; 85</t>
    </r>
  </si>
  <si>
    <r>
      <t xml:space="preserve">85 </t>
    </r>
    <r>
      <rPr>
        <sz val="10"/>
        <color indexed="9"/>
        <rFont val="Arial"/>
        <family val="2"/>
      </rPr>
      <t>≤</t>
    </r>
    <r>
      <rPr>
        <sz val="8"/>
        <color indexed="9"/>
        <rFont val="Verdana"/>
        <family val="2"/>
      </rPr>
      <t xml:space="preserve"> R &lt; 90</t>
    </r>
  </si>
  <si>
    <r>
      <t xml:space="preserve">100 </t>
    </r>
    <r>
      <rPr>
        <sz val="10"/>
        <color indexed="9"/>
        <rFont val="Arial"/>
        <family val="2"/>
      </rPr>
      <t>≤</t>
    </r>
    <r>
      <rPr>
        <sz val="8"/>
        <color indexed="9"/>
        <rFont val="Verdana"/>
        <family val="2"/>
      </rPr>
      <t xml:space="preserve"> R</t>
    </r>
  </si>
  <si>
    <t>Ene-0 Conditional Requirement</t>
  </si>
  <si>
    <t>Outcomes</t>
  </si>
  <si>
    <t>YES; Ene- Conditional Requirement achieved</t>
  </si>
  <si>
    <t>NO; Ene- Conditional Requirement NOT achieved</t>
  </si>
  <si>
    <t>Error Message</t>
  </si>
  <si>
    <t>Compliance Route 1</t>
  </si>
  <si>
    <t>Compliance Route 2</t>
  </si>
  <si>
    <t>-</t>
  </si>
  <si>
    <t>Compliance route NOT available.</t>
  </si>
  <si>
    <t>None</t>
  </si>
  <si>
    <t>Options</t>
  </si>
  <si>
    <t>Output</t>
  </si>
  <si>
    <t>ASHRAE Limit</t>
  </si>
  <si>
    <t>Office GFA</t>
  </si>
  <si>
    <t>Ene-0 Conditional Requirement Result:</t>
  </si>
  <si>
    <t xml:space="preserve">One point is awarded where:
A comprehensive hazardous material survey has been carried out on the project site, as defined by the South African Occupational Health and Safety Act (OH&amp;S)  and/or other relevant legislation; AND
Whenever asbestos, lead or polychlorinated biphenyls (PCBs) were found, they have been removed in accordance with the standards listed under Table IEQ-11.1.
For new developments or developments in which none of the above hazardous materials were found in the survey, this credit is ‘Not Applicable’ and is excluded from the points available, used to calculate the Indoor Environment Quality category score. Type 'na' in the No. of Points Achieved column.
</t>
  </si>
  <si>
    <t>An additional point is awarded where:
- The point above is achieved; AND
- It is demonstrated that an individually addressable lighting system is provided for 90% of the UA.</t>
  </si>
  <si>
    <t xml:space="preserve">Cathedral Mopane Bushveld </t>
  </si>
  <si>
    <t xml:space="preserve">Delagoa Lowveld </t>
  </si>
  <si>
    <t xml:space="preserve">Swartland Granite Bulb Veld </t>
  </si>
  <si>
    <t xml:space="preserve">Swartland Shale Renosterveld </t>
  </si>
  <si>
    <t>3rd November, 2008</t>
  </si>
  <si>
    <r>
      <t>Route 1 - If Building is Naturally Ventilated: Is thermal comfort criteria met?</t>
    </r>
    <r>
      <rPr>
        <b/>
        <sz val="13"/>
        <color indexed="9"/>
        <rFont val="Arial"/>
        <family val="2"/>
      </rPr>
      <t xml:space="preserve"> </t>
    </r>
    <r>
      <rPr>
        <sz val="10"/>
        <color indexed="9"/>
        <rFont val="Arial"/>
        <family val="2"/>
      </rPr>
      <t>(internal temperatures or PMV within specified limits for 90% of occupied hours)</t>
    </r>
  </si>
  <si>
    <t>An additional point is awarded where:
- At least one of the above points is achieved; AND
- 10% of all aggregate used for structural purposes is recycled (Class 1 RCA in accordance with HB155-2002) or slag aggregate; AND
- No natural aggregates are used in non-structural uses (e.g. building base course, sub-grade to any car parks and footpaths, backfilling to service trenches, kerb and gutter) unless they are being reused.
If the material cost of new concrete represents less than 1% of the project’s contract value, this credit is ‘Not Applicable’ and is excluded from the points available, used to calculate the Materials Category Score. Type 'na' in the No. of Points Achieved column.</t>
  </si>
  <si>
    <t>The GBCSA thanks all those individuals and organisations who provided feedback and expertise to the technical development of the Green Star SA – Office v1 rating tool.  In particular, the GBCSA would like to thank all Technical Steering Committee and Technical Working Group members, as well as technical consultant Arup.  The GBCSA also acknowledges the tremendous support of the Green Building Council of Australia.</t>
  </si>
  <si>
    <t xml:space="preserve">The GBCSA’s founding members, along with Green Star SA - Office v1 tool Associate sponsor South African Cities Network, provided much-needed financial support to develop the rating tool.  </t>
  </si>
  <si>
    <t>Green Star SA - Office v1 Tool Sponsor:</t>
  </si>
  <si>
    <t>To encourage and recognize the air quality benefits to occupants by prohibiting smoking inside the building.</t>
  </si>
  <si>
    <t>To encourage and recognise information management that enables building users to optimise the building’s environmental performance.</t>
  </si>
  <si>
    <t>To encourage and recognise management practices that minimise the amount of construction waste going to disposal.</t>
  </si>
  <si>
    <t>Fuel-Efficient Transport</t>
  </si>
  <si>
    <t>Cyclist Facilities</t>
  </si>
  <si>
    <t>Commuting Mass Transport</t>
  </si>
  <si>
    <t>In which vegetation type is the site located?</t>
  </si>
  <si>
    <t>Green Star SA and Green Star SA - Office v1 are not substitutes for professional advice, nor do they purport to be a professional service.  You should seek your own professional and other appropriate advice on the matters addressed by them.</t>
  </si>
  <si>
    <t xml:space="preserve">  WC &amp; Urinal Flushing</t>
  </si>
  <si>
    <t xml:space="preserve">  Shower &amp; Taps (treated to potable)</t>
  </si>
  <si>
    <t>To encourage and recognise developments that maintain or enhance the ecological value of their sites.</t>
  </si>
  <si>
    <t>Eligibility for Assessment</t>
  </si>
  <si>
    <t>Daylight Glare Control</t>
  </si>
  <si>
    <t>High Frequency Ballasts</t>
  </si>
  <si>
    <t>To encourage and recognise designs that minimise greenhouse gas emissions associated with operational energy consumption.</t>
  </si>
  <si>
    <t>Related Credits 
(in other categories)</t>
  </si>
  <si>
    <t>Yes</t>
  </si>
  <si>
    <t xml:space="preserve">Ene-1: Energy 
</t>
  </si>
  <si>
    <t>Man-4</t>
  </si>
  <si>
    <t>Man-5</t>
  </si>
  <si>
    <t>Man-6</t>
  </si>
  <si>
    <t>Environmental Management</t>
  </si>
  <si>
    <t>Man-7</t>
  </si>
  <si>
    <t>Waste Management</t>
  </si>
  <si>
    <t>Applicant:</t>
  </si>
  <si>
    <t>Inn-2</t>
  </si>
  <si>
    <t>Inn-3</t>
  </si>
  <si>
    <t xml:space="preserve">Environmental Design Initiatives </t>
  </si>
  <si>
    <t>Rating Chart</t>
  </si>
  <si>
    <t>Credit Graph Data</t>
  </si>
  <si>
    <t>Weighted Score Graph Data</t>
  </si>
  <si>
    <t>Available</t>
  </si>
  <si>
    <t>Potential</t>
  </si>
  <si>
    <t>Green cells update with changes to Building Input Sheet</t>
  </si>
  <si>
    <t>Rating</t>
  </si>
  <si>
    <t>Achieved Rating</t>
  </si>
  <si>
    <t>Potential Rating</t>
  </si>
  <si>
    <t>Green Star</t>
  </si>
  <si>
    <t>Innovation</t>
  </si>
  <si>
    <t>Total Points =</t>
  </si>
  <si>
    <t>Management</t>
  </si>
  <si>
    <t>Indoor Environment Quality</t>
  </si>
  <si>
    <t>Energy</t>
  </si>
  <si>
    <t>Water</t>
  </si>
  <si>
    <t>Materials</t>
  </si>
  <si>
    <t>Summary for:</t>
  </si>
  <si>
    <t>IEQ</t>
  </si>
  <si>
    <t>If there are mandatory requirements then this cell to the left</t>
  </si>
  <si>
    <t>Inn-1</t>
  </si>
  <si>
    <t>Innovative Strategies &amp; Technologies</t>
  </si>
  <si>
    <t>Enter any comments required in the 'Comments' column.</t>
  </si>
  <si>
    <t>5.</t>
  </si>
  <si>
    <t>Authorisation, Acknowledgement and Disclaimer</t>
  </si>
  <si>
    <t>Cooling &amp; Heat Rejection</t>
  </si>
  <si>
    <r>
      <t>Land Types Before Construction / m</t>
    </r>
    <r>
      <rPr>
        <b/>
        <vertAlign val="superscript"/>
        <sz val="10"/>
        <color indexed="9"/>
        <rFont val="Arial"/>
        <family val="2"/>
      </rPr>
      <t>2</t>
    </r>
  </si>
  <si>
    <r>
      <t>Land Types After Construction / m</t>
    </r>
    <r>
      <rPr>
        <b/>
        <vertAlign val="superscript"/>
        <sz val="10"/>
        <color indexed="9"/>
        <rFont val="Arial"/>
        <family val="2"/>
      </rPr>
      <t>2</t>
    </r>
  </si>
  <si>
    <r>
      <t>litres per 100m</t>
    </r>
    <r>
      <rPr>
        <vertAlign val="superscript"/>
        <sz val="10"/>
        <rFont val="HelveticaNeue-Roman"/>
      </rPr>
      <t>2</t>
    </r>
  </si>
  <si>
    <t>Type of Rating</t>
  </si>
  <si>
    <t>Steel roof (&gt; 30 pitch)</t>
  </si>
  <si>
    <t>Flat gravel or turf roof (&lt;30 pitch)</t>
  </si>
  <si>
    <t>Other</t>
  </si>
  <si>
    <t>Name</t>
  </si>
  <si>
    <t>Value</t>
  </si>
  <si>
    <t>Description</t>
  </si>
  <si>
    <t>General</t>
  </si>
  <si>
    <t>WC uses male</t>
  </si>
  <si>
    <t>Average per  person (50% of occupation)</t>
  </si>
  <si>
    <t>Parameters and Assumptions of the PWC</t>
  </si>
  <si>
    <r>
      <t xml:space="preserve">Potable water factor </t>
    </r>
    <r>
      <rPr>
        <sz val="10"/>
        <rFont val="HelveticaNeue-Roman"/>
        <family val="2"/>
      </rPr>
      <t>(hours of operation)</t>
    </r>
  </si>
  <si>
    <t>Two points are awarded where:
A principal participant in the design team is a Green Star SA Accredited Professional and has been engaged by the building owner to provide sustainability advice from the schematic design phase through to construction completion.
If the schematic design phase of the project was begun prior to 1 June, 2009, this credit may be marked ‘Not Applicable’ and be excluded from the points available, used to calculate the Management Category Score. Type 'na' in the No. of Points Achieved column.</t>
  </si>
  <si>
    <t xml:space="preserve">Poung Dolomite Mountain Bushveld </t>
  </si>
  <si>
    <t xml:space="preserve">Sekhukhune Mountain Bushveld </t>
  </si>
  <si>
    <t xml:space="preserve">Southern Lebombo Bushveld </t>
  </si>
  <si>
    <t xml:space="preserve">Soutpansberg Mountain Bushveld </t>
  </si>
  <si>
    <t xml:space="preserve">Swartruggens Mountain Bushveld </t>
  </si>
  <si>
    <t xml:space="preserve">VhaVenda Miombo </t>
  </si>
  <si>
    <t xml:space="preserve">Waterberg Mountain Bushveld </t>
  </si>
  <si>
    <t xml:space="preserve">Sub Escarpment Savanna </t>
  </si>
  <si>
    <t xml:space="preserve">Eastern Cape Thornveld </t>
  </si>
  <si>
    <t xml:space="preserve">Eastern Valley Bushveld </t>
  </si>
  <si>
    <t xml:space="preserve">KwaZulu Natal Hinterland Thornveld </t>
  </si>
  <si>
    <t xml:space="preserve">Lesotho Mires </t>
  </si>
  <si>
    <t xml:space="preserve">Subtropical Freshwater Wetlands </t>
  </si>
  <si>
    <t xml:space="preserve">Inland Saline Vegetation </t>
  </si>
  <si>
    <t xml:space="preserve">Bushmanland Vloere </t>
  </si>
  <si>
    <t xml:space="preserve">Cape Inland Salt Pans </t>
  </si>
  <si>
    <t xml:space="preserve">Highveld Salt Pans </t>
  </si>
  <si>
    <t xml:space="preserve">Namaqualand Riviere </t>
  </si>
  <si>
    <t xml:space="preserve">Namaqualand Salt Pans </t>
  </si>
  <si>
    <t xml:space="preserve">Southern Kalahari Mekgacha </t>
  </si>
  <si>
    <t xml:space="preserve">Southern Kalahari Salt Pans </t>
  </si>
  <si>
    <t xml:space="preserve">Southern Karoo Riviere </t>
  </si>
  <si>
    <t xml:space="preserve">Subtropical Salt Pans </t>
  </si>
  <si>
    <t xml:space="preserve">Macroalgal Sea Beds </t>
  </si>
  <si>
    <t xml:space="preserve">Cape Kelp Sea Beds </t>
  </si>
  <si>
    <t xml:space="preserve">Namaqualand Inland Duneveld </t>
  </si>
  <si>
    <t xml:space="preserve">The GBCSA  reserves the right to correct errors and omissions in the Green Star SA - Office v1 rating tool as necessary. The changes noted in this change log do not reflect Technical Clarifications or Credit Interpretation Request rulings. Project teams are advised to check the GBCSA website for the latest TC and CIR rulings. The changes noted in this change log also do not represent changes to points awarded for credits, or changes to credit criteria. The changes noted below are those of minor nature related to the operation of the rating tool and associated calculators.  </t>
  </si>
  <si>
    <t>Potable water calculator errors corrected and updated for flexibility (to align with GSSA Retail Centre v1 PWC); Energy calculator format changed; Conditional requirement formats changed.</t>
  </si>
  <si>
    <t>WCs</t>
  </si>
  <si>
    <t>&lt;enter description here&gt;</t>
  </si>
  <si>
    <t>% of Commercial Office Space:</t>
  </si>
  <si>
    <t>Man-1</t>
  </si>
  <si>
    <t>Man-2</t>
  </si>
  <si>
    <t>Transport Engine (HIDDEN)</t>
  </si>
  <si>
    <t>Walking Distance from Building Entrance to Public Transport</t>
  </si>
  <si>
    <t>Frequency of Service During Peak Periods</t>
  </si>
  <si>
    <t>In which bio-region is the site located?</t>
  </si>
  <si>
    <t>Hidden</t>
  </si>
  <si>
    <t>BEFORE</t>
  </si>
  <si>
    <t>AFTER</t>
  </si>
  <si>
    <t>Land Type</t>
  </si>
  <si>
    <t>Ecological Value</t>
  </si>
  <si>
    <t>Ecological Score</t>
  </si>
  <si>
    <t>Bioregion Category</t>
  </si>
  <si>
    <t>Importance Factor</t>
  </si>
  <si>
    <t>Change in ecological diversity index</t>
  </si>
  <si>
    <t>Credit calculation limits</t>
  </si>
  <si>
    <t>Credits</t>
  </si>
  <si>
    <t>Building</t>
  </si>
  <si>
    <t>Impermeable/concreted Area</t>
  </si>
  <si>
    <t>Bare Ground</t>
  </si>
  <si>
    <t>Weed Infestations</t>
  </si>
  <si>
    <t>15 to 25</t>
  </si>
  <si>
    <t>Exotic Garden</t>
  </si>
  <si>
    <t>above 25</t>
  </si>
  <si>
    <t>Exotic Grazing</t>
  </si>
  <si>
    <t xml:space="preserve">Bioregion ID = </t>
  </si>
  <si>
    <t xml:space="preserve">Category = </t>
  </si>
  <si>
    <t xml:space="preserve">Base credits = </t>
  </si>
  <si>
    <t>Crop Farming</t>
  </si>
  <si>
    <t xml:space="preserve">Threatened species = </t>
  </si>
  <si>
    <t>if threatened species then no credits awarded</t>
  </si>
  <si>
    <t>Reclaimed Contaminated Land</t>
  </si>
  <si>
    <t>Energy Sub-metering</t>
  </si>
  <si>
    <t>Fans</t>
  </si>
  <si>
    <t>Extract and Miscellaneous Fans</t>
  </si>
  <si>
    <t>The GBCSA does not endorse any self-assessed rating achieved by the use of Green Star - SA Office v1.  The GBCSA offers a formal certification process for ratings of Four Stars and above; this service provides for independent third party review of points claimed to ensure all points can be demonstrated to be achieved by the provision of the necessary documentary evidence.  The use of Green Star SA - Office v1 without formal certification does not entitle the user or any other party to promote the Green Star SA rating achieved.</t>
  </si>
  <si>
    <t xml:space="preserve">The following estimated total reductions in potable water consumption is based on the data entered above and does not represent actual reduction of water consumption in the building. </t>
  </si>
  <si>
    <t>Rainwater</t>
  </si>
  <si>
    <t>Greywater</t>
  </si>
  <si>
    <t>Blackwater</t>
  </si>
  <si>
    <r>
      <t>Usable Area (m</t>
    </r>
    <r>
      <rPr>
        <b/>
        <vertAlign val="superscript"/>
        <sz val="10"/>
        <color indexed="9"/>
        <rFont val="Arial"/>
        <family val="2"/>
      </rPr>
      <t>2</t>
    </r>
    <r>
      <rPr>
        <b/>
        <sz val="10"/>
        <color indexed="9"/>
        <rFont val="Arial"/>
        <family val="2"/>
      </rPr>
      <t>):</t>
    </r>
  </si>
  <si>
    <t>Assumed Occupants:</t>
  </si>
  <si>
    <r>
      <t>Predicted Normalised WC Water Consumption Sub-Total (L/day/m</t>
    </r>
    <r>
      <rPr>
        <b/>
        <vertAlign val="superscript"/>
        <sz val="10"/>
        <color indexed="9"/>
        <rFont val="Arial"/>
        <family val="2"/>
      </rPr>
      <t>2</t>
    </r>
    <r>
      <rPr>
        <b/>
        <sz val="10"/>
        <color indexed="9"/>
        <rFont val="Arial"/>
        <family val="2"/>
      </rPr>
      <t>)</t>
    </r>
  </si>
  <si>
    <r>
      <t xml:space="preserve"> Predicted Normalised Urinal Water Consumption Sub-Total (L/day/m</t>
    </r>
    <r>
      <rPr>
        <b/>
        <vertAlign val="superscript"/>
        <sz val="10"/>
        <color indexed="9"/>
        <rFont val="Arial"/>
        <family val="2"/>
      </rPr>
      <t>2</t>
    </r>
    <r>
      <rPr>
        <b/>
        <sz val="10"/>
        <color indexed="9"/>
        <rFont val="Arial"/>
        <family val="2"/>
      </rPr>
      <t>)</t>
    </r>
  </si>
  <si>
    <t>% of Urinals</t>
  </si>
  <si>
    <t>L/flush</t>
  </si>
  <si>
    <t>Sub-Total %</t>
  </si>
  <si>
    <t>Total % Urinals (flushed after use AND timer flushed)</t>
  </si>
  <si>
    <t>Indoor Taps (Office &amp; Non-Office Areas)</t>
  </si>
  <si>
    <t>The Green Star SA environmental rating system for buildings (“Green Star SA”) and the Green Star SA – Office rating tool (“Green Star SA – Office”) have been developed by the Green Building Council of South Africa (“GBCSA”).  Green Star SA – Office v1 is intended for use by project teams, contractors and other interested parties to validate the environmental initiatives of the design phase of new office construction or base building refurbishment; construction and procurement phase of a commercial office building; and/or to validate that environmental initiatives proposed in the design phase have been implemented by the building contractor.  As with all Green Star SA rating tools, Green Star SA - Office v1 may be subject to further development in the future.</t>
  </si>
  <si>
    <t>Green Star SA and Green Star SA - Office v1 have been developed with the assistance and participation of representatives from many organisations. The views and opinions expressed have been determined upon by the GBCSA and its Committees.</t>
  </si>
  <si>
    <t>m3 of water x (1 m3 = 1000kg) x specific heat capacity (=4200J/kg/K) x temp difference (=55 degrees) x 260 days / 0.9 efficiency factor</t>
  </si>
  <si>
    <t>Joules are then converted to kWh by dividing by (1 kWh = 3 600 000 joules).</t>
  </si>
  <si>
    <t>Corrected error messages in 'Energy Calculator', 'Innovation' and 'Credit Summary' sheets.</t>
  </si>
  <si>
    <t>Minor change to hot water energy use calculation in 'Energy Calculator' to match Energy Calculator and Modelling Protocol Guide.</t>
  </si>
  <si>
    <t>The weighting factors and score matrix to be calibrated using assessments of different office locations</t>
  </si>
  <si>
    <t>15 min</t>
  </si>
  <si>
    <t>30 min</t>
  </si>
  <si>
    <t>0-250m</t>
  </si>
  <si>
    <t>Weighting factors</t>
  </si>
  <si>
    <t>Score</t>
  </si>
  <si>
    <t>Score Matrix</t>
  </si>
  <si>
    <t>250-500m</t>
  </si>
  <si>
    <t>500-750m</t>
  </si>
  <si>
    <t>No. of points Achieved</t>
  </si>
  <si>
    <t xml:space="preserve">© Green Building Council of South Africa </t>
  </si>
  <si>
    <t>What do Green Star SA ratings mean?</t>
  </si>
  <si>
    <t xml:space="preserve">•  5 Star Green Star Certified Rating recognises and rewards "South African Excellence"; and </t>
  </si>
  <si>
    <t>To encourage and recognise construction practices that preserve the ecological integrity of topsoil.</t>
  </si>
  <si>
    <t>To encourage and recognise developments that reclaim contaminated land that otherwise would not have been developed.</t>
  </si>
  <si>
    <t xml:space="preserve">One point is awarded where:
A simple and easy-to-use Building Users’ Guide, which includes information relevant for the building users, occupants and tenants’ representatives, is developed and made available to the building owner. </t>
  </si>
  <si>
    <t xml:space="preserve">Namaqualand Coastal Duneveld </t>
  </si>
  <si>
    <t>Again, the use of Green Star SA - Office v1 without formal certification by the GBCSA does not entitle the user or any other party to promote a Green Star SA rating publicly.</t>
  </si>
  <si>
    <t>Up to two points are awarded as follows:
One point is awarded where:  
- 20% of the total contract value is represented by materials or products (used in the construction of the project) that have been sourced from within 400 km of the site. 
One point is awarded where:  
- 10% of the total contract value is represented by materials or products (used in the construction of the project) that have been sourced from within 50 km of the site.
Only materials or products permanently installed in the building are eligible and must have been extracted, harvested, recovered, as well as manufactured within the above noted radii of the site in order to qualify for the credit.
Mechanical, electrical and plumbing components and speciality items such as elevators and equipment are excluded from this credit.</t>
  </si>
  <si>
    <t xml:space="preserve">An additional point is awarded where:
- The requirements for either one or two points have been met; AND
- Visitor bicycle parking is provided and meets the following criteria:
    &gt; One space per 750m² of UA or part thereof; AND
    &gt; Provided in an accessible location, signposted and close to, or adjacent to, a major public entrance to the building. </t>
  </si>
  <si>
    <t>Up to five points are awarded for the quality of mass transport options available to building occupants. The points are determined using the Green Star SA Mass Transport Calculator based on:
The type of mass transport services available within 1,000m of the site;
The number of routes served; and
The average interval between services during weekday peak hours.</t>
  </si>
  <si>
    <t>Two points are awarded where:
- The site was contaminated at the time of purchase; AND 
- The developer has undertaken full remedial steps to decontaminate the site prior to construction.
This credit is ‘Not Applicable’ for projects that are refurbishments or building extensions, and is excluded from the points available, used to calculate the Land Use &amp; Ecology Category Score. Type 'na' in the No. of Points Achieved column.</t>
  </si>
  <si>
    <t>Up to four points are awarded where:
- For greenfield sites, the site has no threatened or vulnerable species or sensitive ecological units and for reused sites (e.g. refurbishments), such species and ecological units are adequately protected if present; AND
- There is no net reduction of native vegetation; AND
- There is no change in sensitivity class through transformation of, or reduction in extent of, threatened vegetation types; AND
- The ecological value of the site is either not diminished, or is enhanced beyond its previously existing state.
The points are determined by the Green Star SA Change of Ecological Value Calculator.</t>
  </si>
  <si>
    <t>One point is awarded where 
All HVAC refrigerants and gaseous fire suppression systems used have an Ozone Depletion Potential (ODP) of zero;
OR 
No refrigerants or gaseous fire suppression systems are used.</t>
  </si>
  <si>
    <t>Hours of operation</t>
  </si>
  <si>
    <t>Potable water factor</t>
  </si>
  <si>
    <t xml:space="preserve">Agter-Sederberg Succulent Shrubland </t>
  </si>
  <si>
    <t xml:space="preserve">Coega Bontveld </t>
  </si>
  <si>
    <t>Central Bushveld</t>
  </si>
  <si>
    <t xml:space="preserve">Eastern Cape Escarpment Thicket </t>
  </si>
  <si>
    <t>Central Succulent Karoo</t>
  </si>
  <si>
    <t xml:space="preserve">Gamka Thicket </t>
  </si>
  <si>
    <t>Coastal Grassland</t>
  </si>
  <si>
    <t xml:space="preserve">Gamtoos Thicket </t>
  </si>
  <si>
    <t>Desert Alluvial Vegetation</t>
  </si>
  <si>
    <t xml:space="preserve">Great Fish Noorsveld </t>
  </si>
  <si>
    <t>Drakensburg Grassland</t>
  </si>
  <si>
    <t xml:space="preserve">Great Fish Thicket </t>
  </si>
  <si>
    <t>Eastern Gariep</t>
  </si>
  <si>
    <t xml:space="preserve">Groot Thicket </t>
  </si>
  <si>
    <t xml:space="preserve">moderately protected </t>
  </si>
  <si>
    <t>Estuarine Salt Marshes</t>
  </si>
  <si>
    <t xml:space="preserve">Kowie Thicket </t>
  </si>
  <si>
    <t>Freshwater Wetlands</t>
  </si>
  <si>
    <t xml:space="preserve">Sundays Noorsveld </t>
  </si>
  <si>
    <t>Fynbos Alluvial Vegetation</t>
  </si>
  <si>
    <t xml:space="preserve">Sundays Thicket </t>
  </si>
  <si>
    <t>Fynbos Kamiesberg Centre</t>
  </si>
  <si>
    <t>Albany Thicket Alluvial Vegetation</t>
  </si>
  <si>
    <t>Fynbos Karoo Mountain Centre</t>
  </si>
  <si>
    <t>Mandatory Requirements Message</t>
  </si>
  <si>
    <t>data for graphical summary page</t>
  </si>
  <si>
    <t>Category Weightings</t>
  </si>
  <si>
    <t>Points Calculation</t>
  </si>
  <si>
    <t>Warning text</t>
  </si>
  <si>
    <t>Six Star</t>
  </si>
  <si>
    <t>Rating message</t>
  </si>
  <si>
    <t>Change In Ecology Calculator</t>
  </si>
  <si>
    <t>THESE COLUMNS ARE HIDDEN</t>
  </si>
  <si>
    <t>Does the site contain any rare, threatened or vulnerable flora or fauna?</t>
  </si>
  <si>
    <t>No</t>
  </si>
  <si>
    <t>To encourage and recognise lighting design practices that offer greater flexibility for light switching, making it easier to light only occupied areas.</t>
  </si>
  <si>
    <t>To encourage and recognise the reuse of land that has previously been developed and where the site is within an existing municipally approved urban edge.</t>
  </si>
  <si>
    <t>© 2008 Green Building Council of South Africa.  All rights reserved.</t>
  </si>
  <si>
    <t>Sewage Calculator</t>
  </si>
  <si>
    <t>SEWAGE REDUCTION DUE TO RECYCLING</t>
  </si>
  <si>
    <t>Sewage reduction due to treatment</t>
  </si>
  <si>
    <t xml:space="preserve">Humansdorp Shale Renosterveld </t>
  </si>
  <si>
    <t xml:space="preserve">Kango Renosterveld </t>
  </si>
  <si>
    <t xml:space="preserve">Langkloof Shale Renosterveld </t>
  </si>
  <si>
    <t xml:space="preserve">The following estimated total predicted availability of water to fixtures is based on the data entered above and does not represent actual available water for consumption by fixtures within the building. </t>
  </si>
  <si>
    <t xml:space="preserve">Northern Coastal Forest </t>
  </si>
  <si>
    <t>Upland Forest</t>
  </si>
  <si>
    <t xml:space="preserve">Sand Forest </t>
  </si>
  <si>
    <t>Upper Karoo</t>
  </si>
  <si>
    <t xml:space="preserve">Western Shale Band Vegetation </t>
  </si>
  <si>
    <t xml:space="preserve">Aliwal North Dry Grassland </t>
  </si>
  <si>
    <t xml:space="preserve">LT </t>
  </si>
  <si>
    <t xml:space="preserve">Amersfoort Highveld Clay Grassland </t>
  </si>
  <si>
    <t xml:space="preserve">VU </t>
  </si>
  <si>
    <t xml:space="preserve">Bloemfontein Dry Grassland </t>
  </si>
  <si>
    <t xml:space="preserve">EN </t>
  </si>
  <si>
    <t xml:space="preserve">Carletonville Dolomite Grassland </t>
  </si>
  <si>
    <t xml:space="preserve">Central Free State Grassland </t>
  </si>
  <si>
    <t xml:space="preserve">Eastern Free State Clay Grassland </t>
  </si>
  <si>
    <t xml:space="preserve">Eastern Free State Sandy Grassland </t>
  </si>
  <si>
    <t xml:space="preserve">Eastern Highveld Grassland </t>
  </si>
  <si>
    <t xml:space="preserve">Egoli Granite Grassland </t>
  </si>
  <si>
    <t xml:space="preserve">Frankfort Highveld Grassland </t>
  </si>
  <si>
    <t xml:space="preserve">KaNgwane Montane Grassland </t>
  </si>
  <si>
    <t>% of WCs</t>
  </si>
  <si>
    <t>L/day for this unit</t>
  </si>
  <si>
    <t>Total L/day for WC</t>
  </si>
  <si>
    <t>Calc (0%)</t>
  </si>
  <si>
    <t>Benchmark</t>
  </si>
  <si>
    <t>Type Selected =</t>
  </si>
  <si>
    <t>To encourage and recognise developments that facilitate the use of alternative modes of transportation for commuting to work.</t>
  </si>
  <si>
    <t>2. Refer to Green Star SA - Office v1 Energy Calculator &amp; Modelling Protocol Guide for</t>
  </si>
  <si>
    <t xml:space="preserve">   detailed information and assistance in using this calculator.</t>
  </si>
  <si>
    <t>Please select compliance route adopted:</t>
  </si>
  <si>
    <t>1. User must enter values into or select options in white cells ONLY</t>
  </si>
  <si>
    <t>Compliance Route 3</t>
  </si>
  <si>
    <t>Points for Route 2:</t>
  </si>
  <si>
    <t>Points for Route 3:</t>
  </si>
  <si>
    <t>points</t>
  </si>
  <si>
    <r>
      <t>Route 2 - ASHRAE Advanced Energy Design Guide for Small Office Buildings: 'Deemed to Satisfy' route has been met?</t>
    </r>
    <r>
      <rPr>
        <b/>
        <sz val="13"/>
        <color indexed="9"/>
        <rFont val="Arial"/>
        <family val="2"/>
      </rPr>
      <t xml:space="preserve"> </t>
    </r>
    <r>
      <rPr>
        <sz val="10"/>
        <color indexed="9"/>
        <rFont val="Arial"/>
        <family val="2"/>
      </rPr>
      <t>(non-modelling compliance route available for office buildings smaller than 2000m2 UA)</t>
    </r>
  </si>
  <si>
    <r>
      <t>Route 3 - SANS 204:2008 'Deemed to Satisfy' route has been met?</t>
    </r>
    <r>
      <rPr>
        <b/>
        <sz val="13"/>
        <color indexed="9"/>
        <rFont val="Arial"/>
        <family val="2"/>
      </rPr>
      <t xml:space="preserve"> </t>
    </r>
    <r>
      <rPr>
        <sz val="10"/>
        <color indexed="9"/>
        <rFont val="Arial"/>
        <family val="2"/>
      </rPr>
      <t>(prescriptive non-modelling compliance route available for all office buildings)</t>
    </r>
  </si>
  <si>
    <t>Energy Calculator Results (Compliance Route 1 only):</t>
  </si>
  <si>
    <t>Number modelling points achieved without checks (original)</t>
  </si>
  <si>
    <t>Result</t>
  </si>
  <si>
    <t>Eco- Conditional Requirement met</t>
  </si>
  <si>
    <t>Eco- Conditional Requirement NOT met</t>
  </si>
  <si>
    <t>To encourage and recognise pioneering initiatives in sustainable design, process or advocacy.</t>
  </si>
  <si>
    <t>PVC Minimisation</t>
  </si>
  <si>
    <t>Refrigerant GWP</t>
  </si>
  <si>
    <t>Refrigerant Leaks</t>
  </si>
  <si>
    <t>Watercourse Pollution</t>
  </si>
  <si>
    <t>Discharge to Sewer</t>
  </si>
  <si>
    <t>Light Pollution</t>
  </si>
  <si>
    <t>Legionella</t>
  </si>
  <si>
    <t>Insulant ODP</t>
  </si>
  <si>
    <t xml:space="preserve">Compliance is determined from information entered into the Energy Calculator.  The project team acknowledges that the design meets the minimum energy efficiency requirements as stipulated in the Green Star SA - Office v1 Technical Manual. Green Star SA projects are only eligible for formal certification by the GBCSA when ALL Eligibility Criterion (and Conditional Requirements) are met. Please refer to the Technical Manual for further information. </t>
  </si>
  <si>
    <t>Compliance is determined from information entered into the Energy Calculator.  The project team acknowledges that the design does NOT meet the minimum energy efficiency requirements as stipulated in the Green Star SA - Office v1 Technical Manual. This Green Star SA project is therefore NOT eligible for formal certification by the GBCSA. Please refer to the Technical Manual for further information.</t>
  </si>
  <si>
    <t>This is referenced to Office GFA (area check &gt;=2,200m2)</t>
  </si>
  <si>
    <t>This is referenced to Office GFA (area check &lt; 2,200m2)</t>
  </si>
  <si>
    <t>As the Office GFA of the project entered in the 'Building Input' page is greater or equal to 2,200m, Compliance Route 2 is not available to this project. Please select an alternative option.</t>
  </si>
  <si>
    <t>If Office GFA &lt; 2200 then available or not.</t>
  </si>
  <si>
    <t>Up to three points are awarded as follows:
One point is awarded where 
 - potable water consumption for landscape irrigation has been reduced by 50%;
Two points are awarded where 
- potable water consumption for landscape irrigation has been reduced by 90%
OR
- plants chosen require no additional watering once established (i.e. xeriscaping).
If there is no landscaping, or the total landscaping represents less than 1% of the site area, these points are ‘Not Applicable’ and are excluded from the points available, used to calculate the Water Category Score. Type 'na' in the No. of Points Achieved column.</t>
  </si>
  <si>
    <t xml:space="preserve">   Shower &amp; Taps (treated to potable)</t>
  </si>
  <si>
    <t>PREDICTED REDUCTION IN POTABLE WATER CONSUMPTION</t>
  </si>
  <si>
    <t>Grassland Biome Shrublands</t>
  </si>
  <si>
    <t xml:space="preserve">Lower Gariep Alluvial Vegetation </t>
  </si>
  <si>
    <t>Highveld Grassland</t>
  </si>
  <si>
    <t>Inland Saline Vegetation</t>
  </si>
  <si>
    <t xml:space="preserve">Bushmanland Inselberg Shrubland </t>
  </si>
  <si>
    <t>An additional point is awarded where 30% or more of the site is landscaped and the above criteria for 90% reduction of potable water consumption for landscape irrigation has been met.
If there is no landscaping, or the total landscaped area represents less than 30% of the site area, this point is ‘Not Applicable’ and is excluded from the points available, used to calculate the Water Category Score. Type 'na' in the No. of Points Achieved column.</t>
  </si>
  <si>
    <t xml:space="preserve">Northern Shale Band Vegetation </t>
  </si>
  <si>
    <t xml:space="preserve">Olifants Sandstone Fynbos </t>
  </si>
  <si>
    <t xml:space="preserve">Piketberg Sandstone Fynbos </t>
  </si>
  <si>
    <t xml:space="preserve">South Hex Sandstone Fynbos </t>
  </si>
  <si>
    <t xml:space="preserve">Swartruggens Quartzite Fynbos </t>
  </si>
  <si>
    <t xml:space="preserve">Winterhoek Sandstone Fynbos </t>
  </si>
  <si>
    <t xml:space="preserve">Fynbos South Coast Centre </t>
  </si>
  <si>
    <t xml:space="preserve">Agulhas Limestone Fynbos </t>
  </si>
  <si>
    <t xml:space="preserve">Agulhas Sand Fynbos </t>
  </si>
  <si>
    <t xml:space="preserve">Albertinia Sand Fynbos </t>
  </si>
  <si>
    <t xml:space="preserve">Canca Limestone Fynbos </t>
  </si>
  <si>
    <t xml:space="preserve">De Hoop Limestone Fynbos </t>
  </si>
  <si>
    <t xml:space="preserve">Fynbos Southeast Centre </t>
  </si>
  <si>
    <t xml:space="preserve">Algoa Sandstone Fynbos </t>
  </si>
  <si>
    <t xml:space="preserve">Garden Route Granite Fynbos </t>
  </si>
  <si>
    <t xml:space="preserve">Garden Route Shale Fynbos </t>
  </si>
  <si>
    <t xml:space="preserve">Grootrivier Quartzite Fynbos </t>
  </si>
  <si>
    <t xml:space="preserve">Knysna Sand Fynbos </t>
  </si>
  <si>
    <t xml:space="preserve">Kouga Sandstone Fynbos </t>
  </si>
  <si>
    <t xml:space="preserve">Kouebokkeveld Shale Fynbos </t>
  </si>
  <si>
    <t xml:space="preserve">Namaqualand Seashore Vegetation </t>
  </si>
  <si>
    <t xml:space="preserve">Namaqualand Spinescent Grassland </t>
  </si>
  <si>
    <t xml:space="preserve">Namaqualand Strandveld </t>
  </si>
  <si>
    <t xml:space="preserve">•  reduce the environmental impact of development. </t>
  </si>
  <si>
    <t xml:space="preserve">•  establish a common language and standard of measurement for green buildings; </t>
  </si>
  <si>
    <t>To encourage and recognise the engagement of professionals who can assist the project team with the integration of Green Star SA aims and processes throughout design and construction phases.</t>
  </si>
  <si>
    <t>An additional point is awarded where it is demonstrated that:
- The point above is achieved; AND
- The design team and contractor are in a position to transfer project knowledge to the building owner/manager through all of the following:
      &gt; Documented design intent;
      &gt; As-built drawings;
      &gt; Operations and Maintenance Manual;
      &gt; Commissioning Report; and
      &gt; Training of building management staff.</t>
  </si>
  <si>
    <t>ERROR, text not valid!</t>
  </si>
  <si>
    <t xml:space="preserve">The Green Star SA environmental rating system for buildings was developed by the Green Building Council of South Africa (GBCSA).  Green Star SA is a comprehensive rating system for evaluating the environmental design and performance of South African buildings based on a number of criteria, including energy and water efficiency, indoor environment quality and resource conservation. </t>
  </si>
  <si>
    <t xml:space="preserve">Swartruggens Sandstone Karoo </t>
  </si>
  <si>
    <t>Notional SANS 204 Building</t>
  </si>
  <si>
    <t>Actual Building</t>
  </si>
  <si>
    <t>Points Achieved:</t>
  </si>
  <si>
    <t>Potable Water Calculator</t>
  </si>
  <si>
    <t>Transport Calculator</t>
  </si>
  <si>
    <t>% of taps</t>
  </si>
  <si>
    <t>Total L/day for Indoor taps</t>
  </si>
  <si>
    <t>L/minute</t>
  </si>
  <si>
    <r>
      <t xml:space="preserve">Up to two points are awarded where a high level of thermal comfort is achieved for all of the office UA through any combination of the following: 
</t>
    </r>
    <r>
      <rPr>
        <b/>
        <sz val="10"/>
        <rFont val="Arial"/>
        <family val="2"/>
      </rPr>
      <t>Naturally ventilated spaces</t>
    </r>
    <r>
      <rPr>
        <sz val="10"/>
        <rFont val="Arial"/>
        <family val="2"/>
      </rPr>
      <t xml:space="preserve">
Where naturally ventilated buildings achieve credit criteria for IEQ-10 ‘Individual Comfort Control’, up to two points are awarded if the internal temperatures are within the ASHRAE Standard 55-2004 Acceptability Limits for at least 98% of occupied hours during the year: 
- One point for internal temperatures within the 80% Acceptability Limits; OR
- Two points for internal temperatures within the 90% Acceptability Limits.
</t>
    </r>
    <r>
      <rPr>
        <b/>
        <sz val="10"/>
        <rFont val="Arial"/>
        <family val="2"/>
      </rPr>
      <t>Mechanically ventilated spaces</t>
    </r>
    <r>
      <rPr>
        <sz val="10"/>
        <rFont val="Arial"/>
        <family val="2"/>
      </rPr>
      <t xml:space="preserve">
Up to two points are awarded if the Predicted Mean Vote (PMV) levels, calculated in accordance with ISO7730 using standard clothing and metabolic rate values, are within the following limits for at least 98% of occupied hours during the year: 
- One point for PMV levels between -1 and +1, inclusive; OR
- Two points for PMV levels between -0.5 and +0.5, inclusive.
</t>
    </r>
    <r>
      <rPr>
        <b/>
        <sz val="10"/>
        <rFont val="Arial"/>
        <family val="2"/>
      </rPr>
      <t/>
    </r>
  </si>
  <si>
    <r>
      <t>Mixed-mode ventilated spaces</t>
    </r>
    <r>
      <rPr>
        <sz val="10"/>
        <rFont val="Arial"/>
        <family val="2"/>
      </rPr>
      <t xml:space="preserve">
For mixed-mode buildings, the systems should be modelled as they are expected to operate and the same criteria used as for a mechanically ventilated space.
</t>
    </r>
    <r>
      <rPr>
        <b/>
        <sz val="10"/>
        <rFont val="Arial"/>
        <family val="2"/>
      </rPr>
      <t>DEEMED TO SATISFY CRITERIA</t>
    </r>
    <r>
      <rPr>
        <sz val="10"/>
        <rFont val="Arial"/>
        <family val="2"/>
      </rPr>
      <t xml:space="preserve"> for air conditioned spaces - refer Technical Manual.</t>
    </r>
  </si>
  <si>
    <t>Electric Lighting Levels</t>
  </si>
  <si>
    <t>External Views</t>
  </si>
  <si>
    <t>Thermal Comfort</t>
  </si>
  <si>
    <t>No. of Train Services</t>
  </si>
  <si>
    <t xml:space="preserve">Train </t>
  </si>
  <si>
    <t>To encourage and recognise designs that facilitate individual control of thermal comfort.</t>
  </si>
  <si>
    <t>Dematerialisation</t>
  </si>
  <si>
    <t>To encourage and recognise developments that facilitate the use of mass transport for work commuting.</t>
  </si>
  <si>
    <r>
      <t xml:space="preserve">Building Services:
</t>
    </r>
    <r>
      <rPr>
        <sz val="8"/>
        <color indexed="9"/>
        <rFont val="Arial"/>
        <family val="2"/>
      </rPr>
      <t>(Heating, Cooling, Ventilation, Lighting, Lifts, Domestic Hot Water)</t>
    </r>
  </si>
  <si>
    <t>Land Use &amp; Ecology</t>
  </si>
  <si>
    <t>Emissions</t>
  </si>
  <si>
    <r>
      <t xml:space="preserve">Up to three points are awarded where the various finishes used in the project meet the benchmarks as follows: 
</t>
    </r>
    <r>
      <rPr>
        <b/>
        <sz val="10"/>
        <color indexed="8"/>
        <rFont val="Arial"/>
        <family val="2"/>
      </rPr>
      <t>Paints</t>
    </r>
    <r>
      <rPr>
        <sz val="10"/>
        <color indexed="8"/>
        <rFont val="Arial"/>
        <family val="2"/>
      </rPr>
      <t xml:space="preserve">
One point where at least 95% of all painted surfaces meet the TVOC Content Limits outlined in Table IEQ-13.1 or where no paint is used in the project.</t>
    </r>
  </si>
  <si>
    <r>
      <t>Adhesives and Sealants</t>
    </r>
    <r>
      <rPr>
        <sz val="10"/>
        <color indexed="8"/>
        <rFont val="Arial"/>
        <family val="2"/>
      </rPr>
      <t xml:space="preserve">
One point where 95% of all adhesives and sealants meet the TVOC Content Limits outlined in Table IEQ-13.2 or where no adhesives or sealants are used.</t>
    </r>
  </si>
  <si>
    <r>
      <t>Carpets and Flooring</t>
    </r>
    <r>
      <rPr>
        <sz val="10"/>
        <color indexed="8"/>
        <rFont val="Arial"/>
        <family val="2"/>
      </rPr>
      <t xml:space="preserve">
One point where all carpets meet the TVOC emissions limits outlined in Table IEQ-13.3;
OR
Where no carpet has been installed in the project and projects wish to use low-VOC flooring, one point is awarded where all the flooring installed in the project meet the emissions limits outlined in Table IEQ-13.3.
Where no carpet has been installed in the project, the carpet point is ‘Not Applicable’ and is excluded from the points available, used to calculate the Indoor Environment Quality category score. Type 'na' in the No. of Points Achieved column.</t>
    </r>
  </si>
  <si>
    <r>
      <t xml:space="preserve">Three points are available as follows:
</t>
    </r>
    <r>
      <rPr>
        <b/>
        <sz val="10"/>
        <rFont val="Arial"/>
        <family val="2"/>
      </rPr>
      <t>Naturally ventilated spaces</t>
    </r>
    <r>
      <rPr>
        <sz val="10"/>
        <rFont val="Arial"/>
        <family val="2"/>
      </rPr>
      <t xml:space="preserve">
Three points are awarded where it is demonstrated that 95% of the UA is naturally ventilated in accordance with SANS 10400-O (minimum 5% openable area).
</t>
    </r>
    <r>
      <rPr>
        <b/>
        <sz val="10"/>
        <rFont val="Arial"/>
        <family val="2"/>
      </rPr>
      <t>Mechanically ventilated spaces</t>
    </r>
    <r>
      <rPr>
        <sz val="10"/>
        <rFont val="Arial"/>
        <family val="2"/>
      </rPr>
      <t xml:space="preserve"> 
Up to three points are awarded where for 95% of the UA, outside air is provided at rates greater than the requirements of SANS 10400-O (5 litres/second/person for offices), as follows: 
- One point for 50% improvement; 
- Two points for 100% improvement; or
- Three points for 150% improvement.
</t>
    </r>
    <r>
      <rPr>
        <b/>
        <sz val="10"/>
        <rFont val="Arial"/>
        <family val="2"/>
      </rPr>
      <t>Mixed-mode ventilated spaces</t>
    </r>
    <r>
      <rPr>
        <sz val="10"/>
        <rFont val="Arial"/>
        <family val="2"/>
      </rPr>
      <t xml:space="preserve">
Both modes of operation must individually satisfy the relevant mechanical and natural ventilation criteria. The points awarded will be limited to the maximum points awarded under the mechanical ventilation criteria.</t>
    </r>
  </si>
  <si>
    <t>Local Sourcing</t>
  </si>
  <si>
    <t>45-59</t>
  </si>
  <si>
    <t>60-74</t>
  </si>
  <si>
    <t>75+</t>
  </si>
  <si>
    <t>Total Monthly Rainwater/Stormwater Demand (L)</t>
  </si>
  <si>
    <t>% Utilisation</t>
  </si>
  <si>
    <t>Amenity Potable(Mains) Water Reduction (L/day)</t>
  </si>
  <si>
    <t>Reused BW Supply (kL/day)</t>
  </si>
  <si>
    <t>Reused GW Supply (kL/day)</t>
  </si>
  <si>
    <t>Total Recycled Use</t>
  </si>
  <si>
    <t>Supp. Potable Mains</t>
  </si>
  <si>
    <r>
      <t>Predicted amenity potable(mains) water replacement due to blackwater harvesting (L/day/m</t>
    </r>
    <r>
      <rPr>
        <b/>
        <vertAlign val="superscript"/>
        <sz val="10"/>
        <color indexed="9"/>
        <rFont val="Arial"/>
        <family val="2"/>
      </rPr>
      <t>2</t>
    </r>
    <r>
      <rPr>
        <b/>
        <sz val="10"/>
        <color indexed="9"/>
        <rFont val="Arial"/>
        <family val="2"/>
      </rPr>
      <t xml:space="preserve">): </t>
    </r>
  </si>
  <si>
    <t>Total Predicted Reduction in Amenity Potable(Mains) Water Consumption</t>
  </si>
  <si>
    <r>
      <t>Predicted amenity potable(mains) water replacement due to greywater harvesting (L/day/m</t>
    </r>
    <r>
      <rPr>
        <b/>
        <vertAlign val="superscript"/>
        <sz val="10"/>
        <color indexed="9"/>
        <rFont val="Arial"/>
        <family val="2"/>
      </rPr>
      <t>2</t>
    </r>
    <r>
      <rPr>
        <b/>
        <sz val="10"/>
        <color indexed="9"/>
        <rFont val="Arial"/>
        <family val="2"/>
      </rPr>
      <t xml:space="preserve">): </t>
    </r>
  </si>
  <si>
    <r>
      <t>Predicted amenity potable(mains) water reduction due to rainwater harvesting (L/day/m</t>
    </r>
    <r>
      <rPr>
        <b/>
        <vertAlign val="superscript"/>
        <sz val="10"/>
        <color indexed="9"/>
        <rFont val="Arial"/>
        <family val="2"/>
      </rPr>
      <t>2</t>
    </r>
    <r>
      <rPr>
        <b/>
        <sz val="10"/>
        <color indexed="9"/>
        <rFont val="Arial"/>
        <family val="2"/>
      </rPr>
      <t>)</t>
    </r>
  </si>
  <si>
    <t>PREDICTED RECYCLED WATER AVAILABLE</t>
  </si>
  <si>
    <t>Recycled Water used for other purposes (irrigation, cooling towers, fire system testing &amp; 'other')</t>
  </si>
  <si>
    <t>Predicted Water Consumption from Fixtures</t>
  </si>
  <si>
    <t>NET POTABLE (MAINS) WATER CONSUMPTION</t>
  </si>
  <si>
    <t xml:space="preserve">Up to 2 points are awarded as follows:
One point is awarded where the number of parking spaces is:
- At least 25% lower than the maximum local planning allowances applicable to the project; 
OR
- Not exceeding the minimum DOT guidelines by more than 10% or not exceeding the local planning minimum allowances by more than 10%, whichever is lower.
Two points are awarded where the number of parking spaces is:
- At least 50% lower than the maximum local planning allowances applicable to the project; 
OR
- Not exceeding the minimum DOT guidelines or not exceeding the local planning minimum allowances, whichever is lower.
Where car parking is not permitted in the local planning scheme, this credit this credit is ‘Not Applicable’ and is excluded from the points available, used to calculate the Transport category score. Type 'na' in the No. of Points Achieved column.
</t>
  </si>
  <si>
    <t>To encourage and recognise developments that facilitate the use of more fuel efficient vehicles for work commuting.</t>
  </si>
  <si>
    <t>If a public transport service terminates within 1km of the site then that service only counts as half of one service (i.e. enter 0.5 instead of 1 for that service).</t>
  </si>
  <si>
    <t>TOTALS</t>
  </si>
  <si>
    <t xml:space="preserve">Energy usage (notional building) </t>
  </si>
  <si>
    <t xml:space="preserve">Energy usage (actual building) </t>
  </si>
  <si>
    <t>kWh/m²/year</t>
  </si>
  <si>
    <t xml:space="preserve">Rooiberg Quartz Vygieveld </t>
  </si>
  <si>
    <t xml:space="preserve">Rosyntjieberge Mountain Succulent Shrubland </t>
  </si>
  <si>
    <t xml:space="preserve">Southern Richtersveld Inselberg Shrubland </t>
  </si>
  <si>
    <t xml:space="preserve">Southwestern Richtersveld Mountain Shrubland </t>
  </si>
  <si>
    <t xml:space="preserve">Stinkfonteinberge Eastern Footplain Shrubland </t>
  </si>
  <si>
    <t xml:space="preserve">Umdaus Mountains Succulent Shrubland </t>
  </si>
  <si>
    <t xml:space="preserve">Upper Annisvlakte Succulent Shrubland </t>
  </si>
  <si>
    <t xml:space="preserve">Van der Sterberg Summit Shrubland </t>
  </si>
  <si>
    <t xml:space="preserve">Arid Estuarine Salt Marshes </t>
  </si>
  <si>
    <t xml:space="preserve">Cape Estuarine Salt Marshes </t>
  </si>
  <si>
    <t xml:space="preserve">Subtropical Estuarine Salt Marshes </t>
  </si>
  <si>
    <t xml:space="preserve">Freshwater Wetlands </t>
  </si>
  <si>
    <t xml:space="preserve">Cape Lowland Freshwater Wetlands </t>
  </si>
  <si>
    <t xml:space="preserve">Cape Vernal Pools </t>
  </si>
  <si>
    <t xml:space="preserve">Drakensberg Wetlands </t>
  </si>
  <si>
    <t>Shower use</t>
  </si>
  <si>
    <t>of all occupants</t>
  </si>
  <si>
    <t>Female Occupancy</t>
  </si>
  <si>
    <t>Male Occupancy</t>
  </si>
  <si>
    <t>Tap usage</t>
  </si>
  <si>
    <t>per day for male and female</t>
  </si>
  <si>
    <t>Rainwater tank</t>
  </si>
  <si>
    <t>Rainwater tank first flush volume</t>
  </si>
  <si>
    <t>Up to two points are awarded as follows:
One point is awarded where it is demonstrated that:
- Comprehensive pre-commissioning, commissioning, and quality monitoring are contractually required to be performed for all building services (BMS, mechanical, electrical, hydraulic and fire protection); AND
- The works outlined above are done in exact accordance with CIBSE Commissioning Codes. Alternatively, ASHRAE Commissioning Guideline 1-1996 can be used for the mechanical services.</t>
  </si>
  <si>
    <t xml:space="preserve">Low Escarpment Moist Grassland </t>
  </si>
  <si>
    <t xml:space="preserve">Midlands Mistbelt Grassland </t>
  </si>
  <si>
    <t xml:space="preserve">Mooirivier Highland Dry Grassland </t>
  </si>
  <si>
    <t xml:space="preserve">Upper Gariep Alluvial Vegetation </t>
  </si>
  <si>
    <t>poorly protected</t>
  </si>
  <si>
    <t xml:space="preserve">Blouputs Karroid Thornveld </t>
  </si>
  <si>
    <t>well protected</t>
  </si>
  <si>
    <t xml:space="preserve">Bushmanland Arid Grassland </t>
  </si>
  <si>
    <t>hardly protected</t>
  </si>
  <si>
    <t xml:space="preserve">Bushmanland Basin Shrubland </t>
  </si>
  <si>
    <t>not protected</t>
  </si>
  <si>
    <t xml:space="preserve">Bushmanland Sandy Grassland </t>
  </si>
  <si>
    <t xml:space="preserve">Kalahari Karroid Shrubland </t>
  </si>
  <si>
    <t xml:space="preserve">Lower Gariep Broken Veld </t>
  </si>
  <si>
    <t xml:space="preserve">Albany Broken Veld </t>
  </si>
  <si>
    <t xml:space="preserve">Eastern Lower Karoo </t>
  </si>
  <si>
    <t xml:space="preserve">Gamka Karoo </t>
  </si>
  <si>
    <t xml:space="preserve">Lower Karoo Gwarrieveld </t>
  </si>
  <si>
    <t xml:space="preserve">Upper Karoo </t>
  </si>
  <si>
    <t xml:space="preserve">The Green Building Council would like to acknowledge all parties that worked on and supported the development of the Green Star SA – Office v1 rating tool. </t>
  </si>
  <si>
    <t>The Green Star SA – Office v1 provides for both Green Star SA – Office v1 Design and Green Star SA – Office v1 As Built certification criteria.  All credits are the same for both ratings; only the documentation differs.</t>
  </si>
  <si>
    <t xml:space="preserve">Namaqualand Blomveld </t>
  </si>
  <si>
    <t xml:space="preserve">Namaqualand Klipkoppe Shrubland </t>
  </si>
  <si>
    <t xml:space="preserve">Platbakkies Succulent Shrubland </t>
  </si>
  <si>
    <t xml:space="preserve">Gabbro Grassy Bushveld </t>
  </si>
  <si>
    <t xml:space="preserve">Granite Lowveld Bushveld </t>
  </si>
  <si>
    <t xml:space="preserve">Gravelotte Rocky Bushveld </t>
  </si>
  <si>
    <t xml:space="preserve">Legogote Sour Bushveld </t>
  </si>
  <si>
    <t xml:space="preserve">The GBCSA does not endorse or otherwise acknowledge the Green Star SA rating achieved by the use of Green Star SA – Office v1. The GBCSA offers a formal certification process for ratings of Four Stars and above.  The service provides for independent third party review of points claimed to ensure all credits can be demonstrated to be achieved by the provision of the necessary documentary evidence.  The use of Green Star SA - Office v1 without formal certification by the GBCSA does not entitle the user or any other party to promote the achieved Green Star SA rating or make use of the Green Star trade marks in whatever manner or form. </t>
  </si>
  <si>
    <t>The application of Green Star SA - Office v1 to all commercial office projects is encouraged to assess and improve their environmental attributes.  No fee is payable to the GBCSA for such use; however, formal recognition of the Green Star SA rating - and the right to promote the same - requires undertaking the formal certification process offered by the GBCSA and use of this service shall not constitute such a certification process.</t>
  </si>
  <si>
    <t>You are only authorised to proceed to use Green Star SA and Green Star SA – Office v1 on this basis.</t>
  </si>
  <si>
    <t>Building Input Worksheet</t>
  </si>
  <si>
    <t>Electrical Engineer:</t>
  </si>
  <si>
    <t>Onsite Electricity Generation (e.g. electricity from a co-generation system)</t>
  </si>
  <si>
    <t>Renewable Electricity generated on site
including photovoltaics, wind turbines etc.</t>
  </si>
  <si>
    <t>• Is not located within the required buffer zones of watercourses:
- The project development footprint must not fall within the 100 year floodplain.
- Watercourses of ‘high ecological value’: A project’s development footprint can be located on land within a 100 metre buffer of a watercourse of ‘high ecological value’ only if the building is a refurbishment that remains within the existing development footprint and the Watercourse Protection Measures (outlined below) have been completed.; or
 - Watercourses NOT of ‘high ecological value’: A project’s development footprint can be located on land within 100 metres of a watercourse that is NOT of ‘high ecological value’ only if the Watercourse Protection Measures (outlined below) have been completed</t>
  </si>
  <si>
    <t>Watercourse Protection Measures
• A site-specific Watercourse Management Plan has been produced, exhibited and, for an As Built submission, implemented; and
• All points are achieved in Emi-5 ‘Watercourse Pollution’ and in Emi-7 ‘Light Pollution’.
The project must abide by all measures in the Environmental Impact Assessment for the project if one is required, and the GBCSA reserves the right to provide the final ruling on a project’s compliance with this Conditional Requirement.</t>
  </si>
  <si>
    <t>Category Weighting:</t>
  </si>
  <si>
    <t>Category Weighted Score</t>
  </si>
  <si>
    <t xml:space="preserve">Category Summary:  </t>
  </si>
  <si>
    <t>The Green Star Technical Clarifications (TC) and Credit Interpretation Request (CIR) rulings provide an essential source of information to all</t>
  </si>
  <si>
    <t>projects undertaking Green Star assessment. They are available on the GBCSA website http://www.gbcsa.org.za . Technical Clarifications</t>
  </si>
  <si>
    <t xml:space="preserve">often represent the GBCSA answers to technical queries and complement Green Star SA Technical Manuals. They do not amend but clarify </t>
  </si>
  <si>
    <t>Credit Criteria Summary</t>
  </si>
  <si>
    <t>No. of Points Available</t>
  </si>
  <si>
    <t>Commissioning  Clauses</t>
  </si>
  <si>
    <t>Building Tuning</t>
  </si>
  <si>
    <t>Non Tenant Area Lighting</t>
  </si>
  <si>
    <t>Contracted</t>
  </si>
  <si>
    <t xml:space="preserve">Little Karoo Quartz Vygieveld </t>
  </si>
  <si>
    <t xml:space="preserve">Muscadel Alluvial Vegetation </t>
  </si>
  <si>
    <t xml:space="preserve">Prince Albert Succulent Karoo </t>
  </si>
  <si>
    <t xml:space="preserve">Robertson Karoo </t>
  </si>
  <si>
    <t>Less predicted Greywater and Blackwater treated</t>
  </si>
  <si>
    <t>IEQ - 11</t>
  </si>
  <si>
    <t>Ventilation Rates</t>
  </si>
  <si>
    <t>Air Change Effectiveness</t>
  </si>
  <si>
    <t>Complete the remaining worksheets by reviewing each credit in each category and entering the number of points you predict the building will achieve in the 'No. of Points Achieved' column.  Calculators are provided for a number of the tool's credits.</t>
  </si>
  <si>
    <t>3.</t>
  </si>
  <si>
    <t xml:space="preserve">Drakensberg Foothill Moist Grassland </t>
  </si>
  <si>
    <t xml:space="preserve">East Griqualand Dry Grassland </t>
  </si>
  <si>
    <t xml:space="preserve">Mabela Sandy Grassland </t>
  </si>
  <si>
    <t xml:space="preserve">Income Sandy Grassland </t>
  </si>
  <si>
    <t xml:space="preserve">KwaZulu-Natal Dry Highland Grassland </t>
  </si>
  <si>
    <t xml:space="preserve">KwaZulu-Natal Sandstone Coastal Sourveld </t>
  </si>
  <si>
    <t>The GBCSA does not endorse any self-assessed rating achieved by the use of Green Star SA - Office v1. The GBCSA offers a formal certification process for ratings of Four Stars and above; this service provides for independent third party review of points claimed to ensure all points can be demonstrated to be achieved by the provision of the necessary documentary evidence.  The use of Green Star SA - Office v1 without formal certification by the GBCSA does not entitle the user or any other party to promote the Green Star SA rating achieved.</t>
  </si>
  <si>
    <t>Green Star SA - Office v1</t>
  </si>
  <si>
    <t>Green Star SA - Office Design v1</t>
  </si>
  <si>
    <t>Green Star SA - Office As Built v1</t>
  </si>
  <si>
    <t>PERCENTAGE IMPROVEMENT OVER NOTIONAL BUILDING</t>
  </si>
  <si>
    <t xml:space="preserve"> </t>
  </si>
  <si>
    <t>To encourage and recognise actions taken to reduce health risks to occupants from the presence of hazardous materials.</t>
  </si>
  <si>
    <t>No. of Points Achieved</t>
  </si>
  <si>
    <t>Points to be Confirmed</t>
  </si>
  <si>
    <t>Comments</t>
  </si>
  <si>
    <t>Credit No.</t>
  </si>
  <si>
    <t xml:space="preserve">not protected </t>
  </si>
  <si>
    <t>Kalahari Dry Savanna</t>
  </si>
  <si>
    <t xml:space="preserve">Einiqua Plains Desert </t>
  </si>
  <si>
    <t>Lower Karoo</t>
  </si>
  <si>
    <t xml:space="preserve">Einiqua Rocky Desert </t>
  </si>
  <si>
    <t>Lowland Forest</t>
  </si>
  <si>
    <t>To encourage and recognise designs that reduce potable water consumption by building occupants.</t>
  </si>
  <si>
    <t>To encourage and recognise the design of systems that both monitor and manage water consumption.</t>
  </si>
  <si>
    <t>Two points are awarded where:
- After handover, the building owner implements tuning of all building systems; AND
- A relevant member of the design team is involved in the tuning process; AND
- Monthly monitoring is undertaken and the outcomes are reported to the building owner quarterly to allow corrective action to be taken; AND
- Full re-commissioning is undertaken 12 months after practical completion; AND
- A Building Tuning Report on the outcomes of the tuning process will be provided to the building owner and made available to the design team.</t>
  </si>
  <si>
    <t>Gas use 
kWh/year</t>
  </si>
  <si>
    <t>FUEL CO2 FACTORS kgCO2/kWh</t>
  </si>
  <si>
    <t>biogas</t>
  </si>
  <si>
    <t>coal</t>
  </si>
  <si>
    <t>diesel</t>
  </si>
  <si>
    <t>LPG</t>
  </si>
  <si>
    <t>mains electricity</t>
  </si>
  <si>
    <t>natural gas</t>
  </si>
  <si>
    <t xml:space="preserve">oil </t>
  </si>
  <si>
    <t xml:space="preserve">town gas (from coal) </t>
  </si>
  <si>
    <t>Notional car park lighting at</t>
  </si>
  <si>
    <t>Notional external lighting at</t>
  </si>
  <si>
    <t>supplementary cooling</t>
  </si>
  <si>
    <t xml:space="preserve">Tsakane Clay Grassland </t>
  </si>
  <si>
    <t xml:space="preserve">Vaal Reefs Dolomite Sinkhole Woodland </t>
  </si>
  <si>
    <t xml:space="preserve">Vaal-Vet Sandy Grassland </t>
  </si>
  <si>
    <t xml:space="preserve">Vredefort Dome Granite Grassland </t>
  </si>
  <si>
    <t xml:space="preserve">Hantam Karoo </t>
  </si>
  <si>
    <t>Use the tabs at the bottom of the pages to navigate.</t>
  </si>
  <si>
    <t>note:</t>
  </si>
  <si>
    <t xml:space="preserve">Central Knersvlakte Vygieveld </t>
  </si>
  <si>
    <t xml:space="preserve">Citrusdal Vygieveld </t>
  </si>
  <si>
    <t xml:space="preserve">Knersvlakte Dolomite Vygieveld </t>
  </si>
  <si>
    <t xml:space="preserve">Knersvlakte Quartz Vygieveld </t>
  </si>
  <si>
    <t xml:space="preserve">Knersvlakte Shale Vygieveld </t>
  </si>
  <si>
    <t xml:space="preserve">Namaqualand Heuweltjieveld </t>
  </si>
  <si>
    <t>To encourage and recognise designs that minimise the embodied energy and resources associated with demolition.</t>
  </si>
  <si>
    <t xml:space="preserve">Karoo Escarpment Grassland </t>
  </si>
  <si>
    <t xml:space="preserve">Klerksdorp Thornveld </t>
  </si>
  <si>
    <t>To encourage and recognise the selection of refrigerants and other gases that do not contribute to long-term damage to the Earth’s stratospheric ozone layer.</t>
  </si>
  <si>
    <t xml:space="preserve">Up to two points are awarded as follows:
One point is awarded where:
- It is demonstrated that sub-metering is provided for substantive energy uses within the building (i.e. all energy uses of 100kVa or greater); AND
- There is an effective mechanism for monitoring energy consumption data. </t>
  </si>
  <si>
    <t>Existing Natural Grazing*</t>
  </si>
  <si>
    <t>Existing Natural Wetland*</t>
  </si>
  <si>
    <t xml:space="preserve">Wakkerstroom Montane Grassland </t>
  </si>
  <si>
    <t xml:space="preserve">Waterberg-Magaliesberg Summit Sourveld </t>
  </si>
  <si>
    <t>One point is awarded where all composite wood products (including exposed and concealed applications) either:
Have low formaldehyde emissions;
OR 
Contain no formaldehyde. 
If no composite wood products are used within the project, this credit is ‘Not Applicable’ and is excluded from the points available, used to calculate the Indoor Environment Quality category score. Type 'na' in the No. of Points Achieved column.</t>
  </si>
  <si>
    <t>To encourage and recognise the design of buildings with a general exhaust riser that can be used by tenants to remove indoor pollutants from printing and photocopy areas.</t>
  </si>
  <si>
    <r>
      <t>Piping</t>
    </r>
    <r>
      <rPr>
        <sz val="10"/>
        <rFont val="Arial"/>
        <family val="2"/>
      </rPr>
      <t xml:space="preserve">
No supply piping is used for urinals (i.e. all urinals are waterfree); OR 
No supply piping is used for toilets (i.e. all toilets are waterfree); OR
Mass of underground piping is reduced by 25% for the same functional requirement and material.</t>
    </r>
  </si>
  <si>
    <t>The GBCSA does not accept responsibility, including for negligence, for any inaccuracy, error or omission within Green Star SA and/or its rating tools and makes no warranty, expressed or implied, including the warranties of merchantability and fitness for a particular purpose, nor assumes any legal liability or responsibility to you or any third parties for the accuracy, completeness, use of or reliance on any information contained in Green Star SA and/or Green Star SA – Office v1, or for any injuries, losses or damages (including, without limitation, equitable relief and economic loss) arising out of such use or reliance.</t>
  </si>
  <si>
    <t xml:space="preserve">Western Free State Clay Grassland </t>
  </si>
  <si>
    <t xml:space="preserve">Western Highveld Sandy Grassland </t>
  </si>
  <si>
    <t xml:space="preserve">Xhariep Karroid Grassland </t>
  </si>
  <si>
    <t>Zastron Moist Grassland</t>
  </si>
  <si>
    <t>Month</t>
  </si>
  <si>
    <t>Jan</t>
  </si>
  <si>
    <t>Feb</t>
  </si>
  <si>
    <t>Mar</t>
  </si>
  <si>
    <t>Apr</t>
  </si>
  <si>
    <t>May</t>
  </si>
  <si>
    <t>Jun</t>
  </si>
  <si>
    <t>Jul</t>
  </si>
  <si>
    <t>Aug</t>
  </si>
  <si>
    <t>Sep</t>
  </si>
  <si>
    <t>Oct</t>
  </si>
  <si>
    <t>Nov</t>
  </si>
  <si>
    <t>Dec</t>
  </si>
  <si>
    <t>Annual Totals</t>
  </si>
  <si>
    <t>Man-8</t>
  </si>
  <si>
    <t>Airtightness Testing</t>
  </si>
  <si>
    <t>To encourage and recognise the use of boilers and generators that minimise harmful emissions.</t>
  </si>
  <si>
    <t>TOTAL:</t>
  </si>
  <si>
    <t>Total Flushes/Day</t>
  </si>
  <si>
    <t>Total L/day for Urinals (manual &amp; sensor)</t>
  </si>
  <si>
    <t>a) Urinals flushed after each use (manual &amp; sensor)</t>
  </si>
  <si>
    <t xml:space="preserve">Steytlerville Karoo </t>
  </si>
  <si>
    <t xml:space="preserve">Western Gwarrieveld </t>
  </si>
  <si>
    <t xml:space="preserve">Western Little Karoo </t>
  </si>
  <si>
    <t xml:space="preserve">Trans Escarpment Succulent Karoo </t>
  </si>
  <si>
    <t xml:space="preserve">Lebombo Summit Sourveld </t>
  </si>
  <si>
    <t xml:space="preserve">Leolo Summit Sourveld </t>
  </si>
  <si>
    <t xml:space="preserve">Lydenburg Montane Grassland </t>
  </si>
  <si>
    <t xml:space="preserve">Lydenburg Thornveld </t>
  </si>
  <si>
    <t xml:space="preserve">Northern KwaZulu-Natal Moist Grassland </t>
  </si>
  <si>
    <t xml:space="preserve">Paulpietersburg Moist Grassland </t>
  </si>
  <si>
    <t xml:space="preserve">Rand Highveld Grassland </t>
  </si>
  <si>
    <t xml:space="preserve">Sekhukhune Montane Grassland </t>
  </si>
  <si>
    <t xml:space="preserve">Soutpansberg Summit Sourveld </t>
  </si>
  <si>
    <t xml:space="preserve">Soweto Highveld Grassland </t>
  </si>
  <si>
    <t xml:space="preserve">Strydpoort Summit Sourveld </t>
  </si>
  <si>
    <t>One point is awarded where an experienced person not part of the normal design team has been appointed to:
- Provide independent advice on commissioning &amp; maintenance issues to the building owner and the design team; AND
- Produce input at preliminary design stage covering commissioning, maintenance and replacement of building services; AND
- Produce a short guide to commissioning/maintenance at detailed design stage, highlighting access issues and replacement of plant; AND
- Monitor and verify the commissioning of all building systems.</t>
  </si>
  <si>
    <t>Independent Commissioning Agent</t>
  </si>
  <si>
    <t>Total Predicted Recycled Water available to Fixtures</t>
  </si>
  <si>
    <t>One point is awarded where:  
30% of the total cost of PVC content was reduced through replacement with alternative materials.</t>
  </si>
  <si>
    <t xml:space="preserve">Noams Mountain Desert </t>
  </si>
  <si>
    <t>Macroalgal Sea Beds</t>
  </si>
  <si>
    <t xml:space="preserve">Northern Nababiepsberge Mountain Desert </t>
  </si>
  <si>
    <t>Mountain Bushveld</t>
  </si>
  <si>
    <t xml:space="preserve">Richtersberg Mountain Desert </t>
  </si>
  <si>
    <t>Nama Karoo Alluvial Vegetation</t>
  </si>
  <si>
    <t xml:space="preserve">Peninsula Granite Fynbos </t>
  </si>
  <si>
    <t xml:space="preserve">Peninsula Sandstone Fynbos </t>
  </si>
  <si>
    <t xml:space="preserve">Potberg Ferricrete Fynbos </t>
  </si>
  <si>
    <t xml:space="preserve">Potberg Sandstone Fynbos </t>
  </si>
  <si>
    <t xml:space="preserve">Robertson Granite Fynbos </t>
  </si>
  <si>
    <t xml:space="preserve">South Langeberg Sandstone Fynbos </t>
  </si>
  <si>
    <t xml:space="preserve">South Sonderend Sandstone Fynbos </t>
  </si>
  <si>
    <t xml:space="preserve">Swartland Alluvium Fynbos </t>
  </si>
  <si>
    <t xml:space="preserve">Swellendam Silcrete Fynbos </t>
  </si>
  <si>
    <t xml:space="preserve">North Kammanassie Sandstone Fynbos </t>
  </si>
  <si>
    <t>kwh/year</t>
  </si>
  <si>
    <t>Lifts</t>
  </si>
  <si>
    <t xml:space="preserve">Namaqualand Sand Fynbos </t>
  </si>
  <si>
    <t xml:space="preserve">North Hex Sandstone Fynbos </t>
  </si>
  <si>
    <t>To encourage and recognise the selection of refrigerants that reduce the potential for increased global warming from the emission of refrigerants to the atmosphere.</t>
  </si>
  <si>
    <t>Enter the number of services in each category in the tables above, based on type, distance and frequency.</t>
  </si>
  <si>
    <t>Notes</t>
  </si>
  <si>
    <t>Showerheads</t>
  </si>
  <si>
    <t>Acknowledgements</t>
  </si>
  <si>
    <t xml:space="preserve">Complete the Building Input worksheet as the building's type and location may affect the predicted rating. </t>
  </si>
  <si>
    <t>1.</t>
  </si>
  <si>
    <t>2.</t>
  </si>
  <si>
    <t>To encourage and recognise designs that produce a net reduction in the total amount of material used.</t>
  </si>
  <si>
    <t xml:space="preserve">•  recognise and reward environmental leadership; and </t>
  </si>
  <si>
    <t>Points achieved</t>
  </si>
  <si>
    <t>0 Star</t>
  </si>
  <si>
    <t>Warning</t>
  </si>
  <si>
    <t>1 Star</t>
  </si>
  <si>
    <t>2 Star</t>
  </si>
  <si>
    <t>3 Star</t>
  </si>
  <si>
    <t>4 Star</t>
  </si>
  <si>
    <t>5 Star</t>
  </si>
  <si>
    <t>6 Star</t>
  </si>
  <si>
    <t>Unknown</t>
  </si>
  <si>
    <t>Up to two points are awarded as follows:
One point is awarded where: 
- HVAC Systems containing refrigerants are contained in a moderately air tight enclosure and a refrigerant leak detection system is installed to cover high-risk parts of the plant;
OR
- an automatic permanent refrigerant leak detection system is specified, which is NOT based on the principle of detecting or measuring the concentration of refrigerant in air.</t>
  </si>
  <si>
    <r>
      <t xml:space="preserve">To meet the conditional requirement the building must demonstrate energy performance equal to or better than a notional building constructed to the 'deemed to comply' fabric and building services clauses of SANS 204:2008 </t>
    </r>
    <r>
      <rPr>
        <i/>
        <sz val="10"/>
        <rFont val="Arial"/>
        <family val="2"/>
      </rPr>
      <t>Energy Efficiency in Buildings</t>
    </r>
    <r>
      <rPr>
        <sz val="10"/>
        <rFont val="Arial"/>
        <family val="2"/>
      </rPr>
      <t xml:space="preserve">.
Three compliance routes are available:
</t>
    </r>
    <r>
      <rPr>
        <b/>
        <sz val="10"/>
        <rFont val="Arial"/>
        <family val="2"/>
      </rPr>
      <t>Compliance Route 1 - Energy modelling</t>
    </r>
    <r>
      <rPr>
        <sz val="10"/>
        <rFont val="Arial"/>
        <family val="2"/>
      </rPr>
      <t xml:space="preserve">
The Green Star SA energy calculator must be completed to show that the actual building has lower carbon emissions than the notional building.
</t>
    </r>
    <r>
      <rPr>
        <b/>
        <sz val="10"/>
        <rFont val="Arial"/>
        <family val="2"/>
      </rPr>
      <t>Compliance Route 2 - ASHRAE guide</t>
    </r>
    <r>
      <rPr>
        <sz val="10"/>
        <rFont val="Arial"/>
        <family val="2"/>
      </rPr>
      <t xml:space="preserve">
The design must fully comply with ASHRAE</t>
    </r>
    <r>
      <rPr>
        <i/>
        <sz val="10"/>
        <rFont val="Arial"/>
        <family val="2"/>
      </rPr>
      <t xml:space="preserve"> Advanced Energy Design Guide for Small Office Buildings</t>
    </r>
    <r>
      <rPr>
        <sz val="10"/>
        <rFont val="Arial"/>
        <family val="2"/>
      </rPr>
      <t xml:space="preserve">. This route is only available for offices &lt; 2,000m² UA.
</t>
    </r>
    <r>
      <rPr>
        <b/>
        <sz val="10"/>
        <rFont val="Arial"/>
        <family val="2"/>
      </rPr>
      <t>Compliance Route 3 - following SANS 204 deemed to comply clauses</t>
    </r>
    <r>
      <rPr>
        <sz val="10"/>
        <rFont val="Arial"/>
        <family val="2"/>
      </rPr>
      <t xml:space="preserve">
The design must comply with all of the SANS 204:2008 'deemed to comply' clauses regarding building fabric and building services.</t>
    </r>
  </si>
  <si>
    <t>WC uses female</t>
  </si>
  <si>
    <t xml:space="preserve">Urinal uses </t>
  </si>
  <si>
    <t>No urinals installed</t>
  </si>
  <si>
    <t>Total Car Parking Area</t>
  </si>
  <si>
    <t>Change Log</t>
  </si>
  <si>
    <t>month no. of rain days</t>
  </si>
  <si>
    <t>Output/Entered Data</t>
  </si>
  <si>
    <t>WORK DAYS</t>
  </si>
  <si>
    <t xml:space="preserve">Eastern Shale Band Vegetation </t>
  </si>
  <si>
    <t xml:space="preserve">Matjiesfontein Quartzite Fynbos </t>
  </si>
  <si>
    <t xml:space="preserve">Matjiesfontein Shale Fynbos </t>
  </si>
  <si>
    <t>Environmental Tobacco Smoke (ETS) Avoidance</t>
  </si>
  <si>
    <t>m²</t>
  </si>
  <si>
    <t>of base build</t>
  </si>
  <si>
    <t>External Area (excluding Car Parking)</t>
  </si>
  <si>
    <t xml:space="preserve">Senqu Montane Shrubland </t>
  </si>
  <si>
    <t xml:space="preserve">Tarkastad Montane Shrubland </t>
  </si>
  <si>
    <t xml:space="preserve">Western Lesotho Basalt Shrubland </t>
  </si>
  <si>
    <t xml:space="preserve">Winburg Grassy Shrubland </t>
  </si>
  <si>
    <t xml:space="preserve">Bedford Dry Grassland </t>
  </si>
  <si>
    <t xml:space="preserve">Volatile Organic Compounds </t>
  </si>
  <si>
    <t>Formaldehyde Minimisation</t>
  </si>
  <si>
    <t>Mould Prevention</t>
  </si>
  <si>
    <t>Tenant Exhaust Riser</t>
  </si>
  <si>
    <t>Conditional Requirement</t>
  </si>
  <si>
    <r>
      <t>DEEMED TO SATISFY CRITERIA for displacement ventilation</t>
    </r>
    <r>
      <rPr>
        <sz val="10"/>
        <rFont val="Arial"/>
        <family val="2"/>
      </rPr>
      <t xml:space="preserve">
The points can be achieved if the proposed system is a displacement ventilation system, where supply air is distributed at low level, provided the following are clearly demonstrated:
• The system covers at least 95% of the UA;
• Low level supply outlets are evenly distributed (outlets can be in the floor or at low level &lt; 1,000mm above floor level);
• At any given point on the floor there must be an outlet diffuser within 10m; AND
• Extract air must be at high level with an exhaust grille every 50m² (maximum).</t>
    </r>
  </si>
  <si>
    <t>To encourage and recognise the provision of response monitoring of Carbon Dioxide levels to ensure delivery of optimum quantities of outside air.</t>
  </si>
  <si>
    <t xml:space="preserve">One point is awarded where:
- Smoking is not allowed inside the building; AND
- No provision is made for smoking areas inside the building (e.g. separately exhausted smoking rooms); AND 
- There is clear signage indicating that smoking indoors is prohibited and identifying the location of outside smoking areas if provided. </t>
  </si>
  <si>
    <t>To encourage and recognise buildings that achieve a high level of thermal comfort.</t>
  </si>
  <si>
    <t>less than 5</t>
  </si>
  <si>
    <t>EN</t>
  </si>
  <si>
    <t>5 to 10</t>
  </si>
  <si>
    <t>LT</t>
  </si>
  <si>
    <t>10 to 15</t>
  </si>
  <si>
    <t>VU</t>
  </si>
  <si>
    <t>Indigenous Garden</t>
  </si>
  <si>
    <t>Indigenous Roof Garden</t>
  </si>
  <si>
    <t>Existing Natural Waterway/Riparian Zone*</t>
  </si>
  <si>
    <t>To encourage and recognise designs that reduce peak demand on energy supply infrastructure.</t>
  </si>
  <si>
    <t xml:space="preserve">Peak Energy Demand Reduction </t>
  </si>
  <si>
    <t>Rehabilitation/Creation of Wetland/Riparian</t>
  </si>
  <si>
    <t>Exotic Plantation Forest</t>
  </si>
  <si>
    <t>Indigenous Plantation Forest</t>
  </si>
  <si>
    <t>Critically Endangered</t>
  </si>
  <si>
    <t>Endangered</t>
  </si>
  <si>
    <t>Least Threatened</t>
  </si>
  <si>
    <t>Vulnerable</t>
  </si>
  <si>
    <t>No. of Bus, Midibus or Minibus Services</t>
  </si>
  <si>
    <t>Uncontracted</t>
  </si>
  <si>
    <t>Bus &amp; Minibus Contract</t>
  </si>
  <si>
    <t>Uncontracted Minibus</t>
  </si>
  <si>
    <t>Regenerated Endemic Habitat (&lt; 10 years old)*</t>
  </si>
  <si>
    <t xml:space="preserve">You are invited to use Green Star SA - Office v1 to predict a Green Star SA rating.  The Green Building Council of South Africa (GBCSA) does not endorse any self-assessed rating and you are prohibited from presenting self-assessment results in the public domain.  The GBCSA offers a formal certification process for ratings of Four Stars and above.  This service provides for independent third party review of points claimed to ensure all points can be demonstrated to be achieved by the provision of the necessary documentary evidence.  The use of Green Star SA - Office without formal certification by the GBCSA does not entitle the user or any other party to promote a Green Star SA rating publicly.  </t>
  </si>
  <si>
    <t>Introduction to Green Star SA - Office v1</t>
  </si>
  <si>
    <t>Jan.</t>
  </si>
  <si>
    <t>Feb.</t>
  </si>
  <si>
    <t>March</t>
  </si>
  <si>
    <t>April</t>
  </si>
  <si>
    <t>June</t>
  </si>
  <si>
    <t>Storage capacity kL</t>
  </si>
  <si>
    <t>Overflow to drain</t>
  </si>
  <si>
    <t>Volume at month end</t>
  </si>
  <si>
    <t>July</t>
  </si>
  <si>
    <t>August</t>
  </si>
  <si>
    <t>Sept.</t>
  </si>
  <si>
    <t>Oct.</t>
  </si>
  <si>
    <t>Nov.</t>
  </si>
  <si>
    <t>Dec.</t>
  </si>
  <si>
    <t xml:space="preserve">Top up water </t>
  </si>
  <si>
    <t>Monthly effective use</t>
  </si>
  <si>
    <t>days</t>
  </si>
  <si>
    <t>Tank Efficiency</t>
  </si>
  <si>
    <t>GREYWATER HARVESTING</t>
  </si>
  <si>
    <t>Total Points:</t>
  </si>
  <si>
    <t>RAINWATER TANK BALANCE CALCULATIONS</t>
  </si>
  <si>
    <t>Irrigation</t>
  </si>
  <si>
    <t>Cooling Tower</t>
  </si>
  <si>
    <t>Shell and Core or Integrated Fit-out</t>
  </si>
  <si>
    <t>Concrete</t>
  </si>
  <si>
    <t>% sewer reduction</t>
  </si>
  <si>
    <t>WATER CONSUMPTION DUE TO FITTINGS</t>
  </si>
  <si>
    <t>(from Potable Water Calculator)</t>
  </si>
  <si>
    <t>L/day</t>
  </si>
  <si>
    <t>Urinals</t>
  </si>
  <si>
    <t>To encourage and recognise buildings that are designed to maintain internal noise levels at an appropriate level.</t>
  </si>
  <si>
    <t xml:space="preserve">•  promote integrated, whole-building design; </t>
  </si>
  <si>
    <t xml:space="preserve">Swartberg Shale Renosterveld </t>
  </si>
  <si>
    <t xml:space="preserve">Uniondale Shale Renosterveld </t>
  </si>
  <si>
    <t xml:space="preserve">Renosterveld Karoo Centre </t>
  </si>
  <si>
    <t xml:space="preserve">Central Mountain Shale Renosterveld </t>
  </si>
  <si>
    <t>Renosterveld Karoo Centre</t>
  </si>
  <si>
    <t xml:space="preserve">Springbokvlakte Mountain Desert </t>
  </si>
  <si>
    <t>Renosterveld Mountain Centre</t>
  </si>
  <si>
    <t xml:space="preserve">Springbokvlakte Plain Desert </t>
  </si>
  <si>
    <t xml:space="preserve">Western Lowland Karoo </t>
  </si>
  <si>
    <t>CHANGE IN ECOLOGICAL DIVERSITY INDEX</t>
  </si>
  <si>
    <t>* = affected by Bioregion Reservation Importance Factor</t>
  </si>
  <si>
    <t>To encourage and recognise base building provided office lighting that is not over designed.</t>
  </si>
  <si>
    <t>Recycling Waste Storage</t>
  </si>
  <si>
    <t xml:space="preserve">Building Reuse </t>
  </si>
  <si>
    <t>To encourage and recognise developments that reuse existing buildings to minimise materials consumption.</t>
  </si>
  <si>
    <t>Refrigerant / Gaseous ODP</t>
  </si>
  <si>
    <t>Reused Materials</t>
  </si>
  <si>
    <t xml:space="preserve">Carbon emissions (notional building) </t>
  </si>
  <si>
    <t>Carbon emissions (actual building)</t>
  </si>
  <si>
    <t xml:space="preserve">Base Building Carbon emissions (notional building) </t>
  </si>
  <si>
    <t xml:space="preserve">Base Building Carbon emissions (actual building) </t>
  </si>
  <si>
    <t>m2</t>
  </si>
  <si>
    <t>Sensitivity Category</t>
  </si>
  <si>
    <t>CE</t>
  </si>
  <si>
    <t>Results of tick box at left</t>
  </si>
  <si>
    <t>RAINWATER/STORMWATER HARVESTING</t>
  </si>
  <si>
    <t>Are there any rainwater/stormwater harvesting systems, and if so, do they comply with Local Authority requirements?</t>
  </si>
  <si>
    <t xml:space="preserve">Harvested water collected is used for (please tick appropriate box(es) ): </t>
  </si>
  <si>
    <t>Total storage capacity of harvested water tank(s) (kL)</t>
  </si>
  <si>
    <t>Coefficient Selection</t>
  </si>
  <si>
    <t>Effective Area (m2)</t>
  </si>
  <si>
    <t>Storage capacity of greywater tank(s) (kL)</t>
  </si>
  <si>
    <t>Collection Area Types</t>
  </si>
  <si>
    <t>Annual Demand</t>
  </si>
  <si>
    <t>Total Rain/Stormwater Demand</t>
  </si>
  <si>
    <t>Monthly Demand</t>
  </si>
  <si>
    <t>L/m2/day</t>
  </si>
  <si>
    <r>
      <t xml:space="preserve">Two points are awarded where the Air Change Effectiveness (ACE) for at least 95% of the UA meets the following criteria:
</t>
    </r>
    <r>
      <rPr>
        <b/>
        <sz val="10"/>
        <rFont val="Arial"/>
        <family val="2"/>
      </rPr>
      <t>Naturally ventilated spaces</t>
    </r>
    <r>
      <rPr>
        <sz val="10"/>
        <rFont val="Arial"/>
        <family val="2"/>
      </rPr>
      <t xml:space="preserve">
A distribution and laminar flow pattern for at least 95% of each space in the direction of air flow for not less than 95% of standard hours of occupancy is demonstrated. 
</t>
    </r>
    <r>
      <rPr>
        <b/>
        <sz val="10"/>
        <rFont val="Arial"/>
        <family val="2"/>
      </rPr>
      <t>Mechanically ventilated spaces</t>
    </r>
    <r>
      <rPr>
        <sz val="10"/>
        <rFont val="Arial"/>
        <family val="2"/>
      </rPr>
      <t xml:space="preserve"> 
The ventilation systems are designed to achieve an Air Change Effectiveness (ACE) of &gt;0.95 for at least 95% of the UA when measured in accordance with ASHRAE 129-1997: </t>
    </r>
    <r>
      <rPr>
        <i/>
        <sz val="10"/>
        <rFont val="Arial"/>
        <family val="2"/>
      </rPr>
      <t>Measuring Air Change Effectiveness</t>
    </r>
    <r>
      <rPr>
        <sz val="10"/>
        <rFont val="Arial"/>
        <family val="2"/>
      </rPr>
      <t xml:space="preserve">; and ACE is measured in the breathing zone (nominally 1m from finished floor level).
</t>
    </r>
    <r>
      <rPr>
        <b/>
        <sz val="10"/>
        <rFont val="Arial"/>
        <family val="2"/>
      </rPr>
      <t>Mixed-mode ventilated spaces</t>
    </r>
    <r>
      <rPr>
        <sz val="10"/>
        <rFont val="Arial"/>
        <family val="2"/>
      </rPr>
      <t xml:space="preserve">
Both the above requirements for Naturally Ventilated and Mechanically Air-conditioned Spaces are achieved</t>
    </r>
  </si>
  <si>
    <t>Renosterveld South Coast Centre</t>
  </si>
  <si>
    <t xml:space="preserve">Tatasberg Mountain Desert </t>
  </si>
  <si>
    <t>Renosterveld West Coast Centre</t>
  </si>
  <si>
    <t>Western Gariep</t>
  </si>
  <si>
    <t>Savanna Alluvial Vegetation</t>
  </si>
  <si>
    <t xml:space="preserve">Alexander Bay Coastal Duneveld </t>
  </si>
  <si>
    <t>South Strandveld</t>
  </si>
  <si>
    <t xml:space="preserve">West Gariep Hills Desert </t>
  </si>
  <si>
    <t>Southern Karoo</t>
  </si>
  <si>
    <t xml:space="preserve">West Gariep Lowlands Desert </t>
  </si>
  <si>
    <t>Sub Escarpment Grassland</t>
  </si>
  <si>
    <t xml:space="preserve">West Gariep Plains Desert </t>
  </si>
  <si>
    <t>Sub Escarpment Savanna</t>
  </si>
  <si>
    <t>Trans Escarpment Succulent Karoo</t>
  </si>
  <si>
    <t xml:space="preserve">Ironwood Dry Forest </t>
  </si>
  <si>
    <t xml:space="preserve">CE </t>
  </si>
  <si>
    <t>Predicted Water Consumption</t>
  </si>
  <si>
    <r>
      <t>The following estimated water consumption is based on the data entered in the calculator. The water consumption of the fittings per m</t>
    </r>
    <r>
      <rPr>
        <b/>
        <vertAlign val="superscript"/>
        <sz val="10"/>
        <color indexed="9"/>
        <rFont val="Arial"/>
        <family val="2"/>
      </rPr>
      <t>2</t>
    </r>
    <r>
      <rPr>
        <b/>
        <sz val="10"/>
        <color indexed="9"/>
        <rFont val="Arial"/>
        <family val="2"/>
      </rPr>
      <t xml:space="preserve"> is based on assumptions of typical office usage and does not represent actual water consumption in the building. </t>
    </r>
  </si>
  <si>
    <r>
      <t>Estimated discharge to sewer (L/day/m</t>
    </r>
    <r>
      <rPr>
        <b/>
        <vertAlign val="superscript"/>
        <sz val="10"/>
        <color indexed="9"/>
        <rFont val="Arial"/>
        <family val="2"/>
      </rPr>
      <t>2</t>
    </r>
    <r>
      <rPr>
        <b/>
        <sz val="10"/>
        <color indexed="9"/>
        <rFont val="Arial"/>
        <family val="2"/>
      </rPr>
      <t>)</t>
    </r>
  </si>
  <si>
    <t>To encourage and recognise designs that provide good levels of daylight for building users.</t>
  </si>
  <si>
    <t xml:space="preserve">Sekhukhune Plains Bushveld </t>
  </si>
  <si>
    <t xml:space="preserve">An additional point is awarded where:
- The point above is achieved; AND
- It is demonstrated that sub-metering is provided separately for lighting and separately for power for each floor or tenancy, whichever is smaller; AND
- There is an effective mechanism for monitoring energy consumption data from all energy sub-meters. </t>
  </si>
  <si>
    <t xml:space="preserve">Up to two points are awarded as follows:
One point is awarded where it is demonstrated that:
- All individual or enclosed spaces are individually switched; AND
- The size of individually switched lighting zones does not exceed 100m²  for 95% of the UA; AND
- Switching is clearly labelled and easily accessible by building occupants.
</t>
  </si>
  <si>
    <t>This is a very basic and crude assessment of the inflows and outflows of a water storage and reuse system. Projects may use a single tank to store rainwater, stormwater(surface runoff), condensate, fire system test water. This scenario is significantly complicated as tank utilisation is highly dependent on rainfall variability (not just monthly average). For example a site may recieve 80% of its monthly average in 1 rainfall event, with the remaining 20% supplied by multiple smaller events. In this scenario, depending on tank volume, theremay be significant overflow to the stormwater system. This is not identified in a calculation which is based on monthly averages.</t>
  </si>
  <si>
    <t>Drop-down outputs</t>
  </si>
  <si>
    <t>Drop-down output</t>
  </si>
  <si>
    <t>Reissue Date</t>
  </si>
  <si>
    <t>Changes</t>
  </si>
  <si>
    <t>Added "na" clause and functionality to Man-1 Green Star SA Accredited Professional; Error message in column J revised to provide an error when anything other than a number or "na" is entered into the Number of Points Achieved column of credits with not applicable clauses; Fixed error in water calculator, rainwater harvesting section, to include the capacity of the rainwater tank into the calculation of potable water reduction due to rainwater harvesting.</t>
  </si>
  <si>
    <t xml:space="preserve">Deleted "petrol/diesel" from "All petrol/diesel generators . . ." in the second bullet point of Emi-9 Credit Criteria; Corrected math error in the "Sub-total weighted points achieved" value on the Credit Summary page; Corrected math error in the calculation of "Predicted Indoor tap Water Consumption from calculation L/day/m2" for indoor taps in the Potable Water Calculator; Added fire protection to the list of building services specifically called out in the Man-2 credit criteria, to match the Technical Manual information; </t>
  </si>
  <si>
    <t xml:space="preserve">Southern KwaZulu-Natal Moist Grassland </t>
  </si>
  <si>
    <t xml:space="preserve">Tsomo Grassland </t>
  </si>
  <si>
    <t xml:space="preserve">Umtata Moist Grassland </t>
  </si>
  <si>
    <t>To encourage and recognise the increase in workplace amenity by avoiding low frequency flicker that may be associated with fluorescent lighting.</t>
  </si>
  <si>
    <t>To be entered</t>
  </si>
  <si>
    <t>Waterless</t>
  </si>
  <si>
    <t>N/A</t>
  </si>
  <si>
    <t>Standard</t>
  </si>
  <si>
    <t>7 days a week</t>
  </si>
  <si>
    <t>24 hours / 5 days</t>
  </si>
  <si>
    <t>24 hours / 7 days</t>
  </si>
  <si>
    <t>Calc 
(0%)</t>
  </si>
  <si>
    <t>No showers installed</t>
  </si>
  <si>
    <t>To encourage and recognise the design of services that eliminate the risk of mould growth and its associated detrimental impact on occupant health.</t>
  </si>
  <si>
    <t>The Green Star SA environmental rating system is based upon the Australian Green Star system and has been customised for the South African environment by the GBCSA, under licence from the Green Building Council of Australia.</t>
  </si>
  <si>
    <t>Green Star SA has built on existing systems and tools in overseas markets, primarily the Australian Green Star system, but also including the British Building Research Establishment Environmental Assessment Method (BREEAM) system and the North American Leadership in Energy and Environmental Design (LEED) system.  Environmental measurement criteria relevant to the South African marketplace and environmental context have been created.</t>
  </si>
  <si>
    <t>To encourage and recognise designs that minimise the greenhouse gas emissions associated with operational energy consumption, and maximise potential operational energy efficiency of the base building.</t>
  </si>
  <si>
    <t>Greenhouse Gas Emissions</t>
  </si>
  <si>
    <r>
      <t>Lighting Power Density</t>
    </r>
    <r>
      <rPr>
        <b/>
        <sz val="8"/>
        <rFont val="Century Gothic"/>
        <family val="2"/>
      </rPr>
      <t> </t>
    </r>
  </si>
  <si>
    <t>Lighting Zoning</t>
  </si>
  <si>
    <t>Provision of Car Parking</t>
  </si>
  <si>
    <t>Water Meters</t>
  </si>
  <si>
    <t xml:space="preserve">Nieuwoudtville Shale Renosterveld </t>
  </si>
  <si>
    <t xml:space="preserve">Nieuwoudtville-Roggeveld Dolerite Bulb Veld </t>
  </si>
  <si>
    <t xml:space="preserve">Robertson Granite Renosterveld </t>
  </si>
  <si>
    <t xml:space="preserve">Vanrhynsdorp Shale Renosterveld </t>
  </si>
  <si>
    <t xml:space="preserve">Marikana Thornveld </t>
  </si>
  <si>
    <t xml:space="preserve">Moot Plains Bushveld </t>
  </si>
  <si>
    <t xml:space="preserve">Polokwane Plateau Bushveld </t>
  </si>
  <si>
    <t xml:space="preserve">Roodeberg Bushveld </t>
  </si>
  <si>
    <t xml:space="preserve">   WC &amp; Urinal Flushing</t>
  </si>
  <si>
    <t xml:space="preserve">Doringrivier Succulent Karoo </t>
  </si>
  <si>
    <t xml:space="preserve">Koedoesberge-Moordenaars Succulent Karoo </t>
  </si>
  <si>
    <t>How to use this tool</t>
  </si>
  <si>
    <t>Disclaimer</t>
  </si>
  <si>
    <t xml:space="preserve">Woodbush Granite Grassland </t>
  </si>
  <si>
    <t xml:space="preserve">Besemkaree Koppies Shrubland </t>
  </si>
  <si>
    <t xml:space="preserve">Bloemfontein Karroid Shrubland </t>
  </si>
  <si>
    <t xml:space="preserve">Drakensberg Montane Shrubland </t>
  </si>
  <si>
    <t xml:space="preserve">Northern Free State Shrubland </t>
  </si>
  <si>
    <t xml:space="preserve">KwaZulu-Natal Sandstone Inland Sourveld </t>
  </si>
  <si>
    <t xml:space="preserve">Ngongoni Veld </t>
  </si>
  <si>
    <t xml:space="preserve">Thukela Thornveld </t>
  </si>
  <si>
    <t xml:space="preserve">Thukela Valley Bushveld </t>
  </si>
  <si>
    <t xml:space="preserve">Central Succulent Karoo </t>
  </si>
  <si>
    <t xml:space="preserve">Swartberg Shale Fynbos </t>
  </si>
  <si>
    <t xml:space="preserve">Fynbos Northwest Centre </t>
  </si>
  <si>
    <t xml:space="preserve">Altimontane Sandstone Fynbos </t>
  </si>
  <si>
    <t xml:space="preserve">Bokkeveld Sandstone Fynbos </t>
  </si>
  <si>
    <t>Two points are awarded where a dedicated storage area is provided for the separation and collection of office consumables with good access for all building occupants and for collection by recycling companies.
The storage area shall be adequately sized, in accordance with Table Mat-1.1 to allow for the collection and eventual recycling of, as a minimum: cardboard, paper products, glass, plastics and metals. 
The space needs to be placed within easy access of all office areas. This can be achieved by positioning it within 20m of the base of the lift core/principal vertical circulation core serving all floors; or within 20m from the exit used for recycling pick-up; or within 3m of the shortest route connecting the lift core serving all floors and the exit used for recycling pick-up. The location and layout of the storage and collection area must be safely and easily accessible by recycling collection people and vehicles.</t>
  </si>
  <si>
    <t>Three points are available as follows: 
Up to two points are available where the project has reduced the absolute quantity of Portland cement, as an average across all concrete mixes, by substituting it with industrial waste product(s) or oversized aggregate as follows: 
- For 1 point, 30% for in-situ concrete, 20% for precast concrete and 15% for stressed concrete; or
- For 2 points, 60% for in-situ concrete, 40% for precast concrete and 30% for stressed concrete.</t>
  </si>
  <si>
    <t>Individual Comfort Control</t>
  </si>
  <si>
    <t>Hazardous Materials</t>
  </si>
  <si>
    <t>Internal Noise Levels</t>
  </si>
  <si>
    <t>Car Park Lighting</t>
  </si>
  <si>
    <t xml:space="preserve">Southeastern Richtersveld Succulent Shrubland </t>
  </si>
  <si>
    <t xml:space="preserve">Southern Richtersveld Scorpionstailveld </t>
  </si>
  <si>
    <t>New or Refurbished Building:</t>
  </si>
  <si>
    <t>Name of Building:</t>
  </si>
  <si>
    <t xml:space="preserve">Cederberg Sandstone Fynbos </t>
  </si>
  <si>
    <t xml:space="preserve">Ceres Alluvium Fynbos </t>
  </si>
  <si>
    <t xml:space="preserve">Graafwater Sandstone Fynbos </t>
  </si>
  <si>
    <t xml:space="preserve">Klawer Sandy Shrubland </t>
  </si>
  <si>
    <t>ENERGY USE</t>
  </si>
  <si>
    <t>choose from drop down</t>
  </si>
  <si>
    <t>Electrical use kWh/year</t>
  </si>
  <si>
    <t>Heating</t>
  </si>
  <si>
    <t>To encourage and recognise building design which reduces consumption of potable water for the building's fire protection and essential water storage systems.</t>
  </si>
  <si>
    <t>Topsoil</t>
  </si>
  <si>
    <t>Reuse of Land</t>
  </si>
  <si>
    <t>L/day from all other sources</t>
  </si>
  <si>
    <t>BLACKWATER HARVESTING</t>
  </si>
  <si>
    <t xml:space="preserve">Suurberg Quartzite Fynbos </t>
  </si>
  <si>
    <t xml:space="preserve">Suurberg Shale Fynbos </t>
  </si>
  <si>
    <t xml:space="preserve">Tsitsikamma Sandstone Fynbos </t>
  </si>
  <si>
    <t xml:space="preserve">Fynbos Southwest Centre </t>
  </si>
  <si>
    <t xml:space="preserve">Renosterveld Eastern Centre </t>
  </si>
  <si>
    <t xml:space="preserve">Baviaanskloof Shale Renosterveld </t>
  </si>
  <si>
    <t xml:space="preserve">Eastern Temperate Freshwater Wetlands </t>
  </si>
  <si>
    <t>One point is awarded where:
- No light beam, generated from within the building or outside of the building boundary, is directed at any point in the sky hemisphere without falling directly onto a non-transparent surface; AND
- Facade lighting produces an average building Luminance of no more than 10 candelas/m²; AND
- 95% of outdoor spaces do not exceed the minimum requirements of CIBSE LG6 (Lighting Guide - the Outdoor Environment) for maintained illuminance levels; AND
- The lighting design complies with the additional guidance given in the Green Star SA - Office v1 Technical Manual.</t>
  </si>
  <si>
    <t xml:space="preserve">Limpopo Ridge Bushveld </t>
  </si>
  <si>
    <t xml:space="preserve">Lowveld Rugged Mopaneveld </t>
  </si>
  <si>
    <t xml:space="preserve">Makatini Clay Thicket </t>
  </si>
  <si>
    <t xml:space="preserve">Makuleke Sandy Bushveld </t>
  </si>
  <si>
    <t xml:space="preserve">Mopane Shrubveld </t>
  </si>
  <si>
    <t xml:space="preserve">Musina Mopane Bushveld </t>
  </si>
  <si>
    <t xml:space="preserve">Northern Zululand Sourveld </t>
  </si>
  <si>
    <t xml:space="preserve">Nwambyia-Pumbe Sandy Bushveld </t>
  </si>
  <si>
    <t xml:space="preserve">Phalaborwa Sandy Mopaneveld </t>
  </si>
  <si>
    <t xml:space="preserve">Pretoriuskop Sour Bushveld </t>
  </si>
  <si>
    <t xml:space="preserve">Swaziland Sour Bushveld </t>
  </si>
  <si>
    <r>
      <t>L/day/m</t>
    </r>
    <r>
      <rPr>
        <b/>
        <vertAlign val="superscript"/>
        <sz val="10"/>
        <color indexed="9"/>
        <rFont val="Arial"/>
        <family val="2"/>
      </rPr>
      <t>2</t>
    </r>
    <r>
      <rPr>
        <b/>
        <sz val="10"/>
        <color indexed="9"/>
        <rFont val="Arial"/>
        <family val="2"/>
      </rPr>
      <t xml:space="preserve"> benchmark</t>
    </r>
  </si>
  <si>
    <t>Up to four points are awarded as follows:
Two points are awarded where:
- Potable water consumption of water consuming heat rejection systems is reduced by 50%. 
Four points are awarded where:
- Potable water consumption of water consuming heat rejection systems is reduced by 90%;
OR 
- No water consuming heat rejection systems are provided.</t>
    <phoneticPr fontId="0"/>
  </si>
  <si>
    <t>Green Star SA Accredited Professional:</t>
  </si>
  <si>
    <t>m3/day</t>
  </si>
  <si>
    <t>Boiler and Generator Emissions</t>
  </si>
  <si>
    <t xml:space="preserve">Renosterveld South Coast Centre </t>
  </si>
  <si>
    <t xml:space="preserve">Breede Alluvium Renosterveld </t>
  </si>
  <si>
    <t xml:space="preserve">Koranna-Langeberg Mountain Bushveld </t>
  </si>
  <si>
    <t xml:space="preserve">Kuruman Mountain Bushveld </t>
  </si>
  <si>
    <t xml:space="preserve">Kuruman Thornveld </t>
  </si>
  <si>
    <t xml:space="preserve">Kuruman Vaalbosveld </t>
  </si>
  <si>
    <t xml:space="preserve">Mafikeng Bushveld </t>
  </si>
  <si>
    <t xml:space="preserve">Molopo Bushveld </t>
  </si>
  <si>
    <t xml:space="preserve">Molopo River Duneveld </t>
  </si>
  <si>
    <t xml:space="preserve">Nossob Bushveld </t>
  </si>
  <si>
    <t xml:space="preserve">Olifantshoek Plains Thornveld </t>
  </si>
  <si>
    <t xml:space="preserve">Postmasburg Thornveld </t>
  </si>
  <si>
    <t xml:space="preserve">Schmidtsdrif Thornveld </t>
  </si>
  <si>
    <t xml:space="preserve">Schweizer-Reineke Bushveld </t>
  </si>
  <si>
    <t xml:space="preserve">Stella Bushveld </t>
  </si>
  <si>
    <t xml:space="preserve">Vaalbos Rocky Shrubland </t>
  </si>
  <si>
    <t xml:space="preserve">Lowveld </t>
  </si>
  <si>
    <t xml:space="preserve">Basalt Sweet Arid Lowveld </t>
  </si>
  <si>
    <t xml:space="preserve">Lamberts Bay Strandveld </t>
  </si>
  <si>
    <t>The GBCSA authorises you to view and use Green Star SA - Office v1 for information purposes only.  In exchange for this authorisation, you agree that the GBCSA retains all copyright and other proprietary rights contained in and in relation to Green Star SA - Office v1 and agree not to sell, let, distribute, modify, or use for another purpose the tool or to reproduce, display or distribute the tool in any way for any public or commercial purpose, including display on a website or in a networked environment. Unauthorised use of Green Star SA and/or Green Star SA - Office v1 will violate copyright and other laws, and is prohibited.  All text, graphics, layout and other elements of content contained in Green Star SA and its rating tools are owned by the GBCSA and are protected by copyright, trade mark and other laws.</t>
  </si>
  <si>
    <t xml:space="preserve">     Other</t>
  </si>
  <si>
    <t xml:space="preserve">  Other</t>
  </si>
  <si>
    <t xml:space="preserve">   Other</t>
  </si>
  <si>
    <t>Total Predicted Recycled Water Available</t>
  </si>
  <si>
    <t>Total water harvesting collection area (drained to storage tank(s))</t>
  </si>
  <si>
    <t>Notes &amp; Instructions</t>
  </si>
  <si>
    <t>2. All base-building fixtures and fittings (both office and non-office) must be included.</t>
  </si>
  <si>
    <r>
      <t xml:space="preserve">3. The Potable Water Calculator is strictly </t>
    </r>
    <r>
      <rPr>
        <b/>
        <sz val="12"/>
        <color indexed="9"/>
        <rFont val="Arial"/>
        <family val="2"/>
      </rPr>
      <t>NOT</t>
    </r>
    <r>
      <rPr>
        <sz val="12"/>
        <color indexed="9"/>
        <rFont val="Arial"/>
        <family val="2"/>
      </rPr>
      <t xml:space="preserve"> to be used as a design tool.</t>
    </r>
  </si>
  <si>
    <t>1. Enter data into white fields only.</t>
  </si>
  <si>
    <t>Enter any points that may be achieved but need to be confirmed in the 'Points to be Confirmed' column.</t>
  </si>
  <si>
    <t>4.</t>
  </si>
  <si>
    <t>Total of credits available</t>
  </si>
  <si>
    <t>As a condition of use, you undertake not to institute legal proceedings in whatever form against the trade mark and copyright proprietor, and agree to waive and release the GBCSA, its officers, agents, employees and its members from any and all claims, demands and causes of action for any injury, loss, destruction or damage (including, without limitation, equitable relief and economic loss) that you may now or hereafter have a right to assert against such parties as a result of your use of, or reliance on, Green Star SA and/or Green Star SA – Office v1.</t>
  </si>
  <si>
    <r>
      <t>Predicted Normalised Indoor Tap Water Consumption Sub-Total (L/day/m</t>
    </r>
    <r>
      <rPr>
        <b/>
        <vertAlign val="superscript"/>
        <sz val="10"/>
        <color indexed="9"/>
        <rFont val="Arial"/>
        <family val="2"/>
      </rPr>
      <t>2</t>
    </r>
    <r>
      <rPr>
        <b/>
        <sz val="10"/>
        <color indexed="9"/>
        <rFont val="Arial"/>
        <family val="2"/>
      </rPr>
      <t>)</t>
    </r>
  </si>
  <si>
    <r>
      <t>Predicted Normalised Showerhead Water Consumption Sub-Total (L/day/m</t>
    </r>
    <r>
      <rPr>
        <b/>
        <vertAlign val="superscript"/>
        <sz val="10"/>
        <color indexed="9"/>
        <rFont val="Arial"/>
        <family val="2"/>
      </rPr>
      <t>2</t>
    </r>
    <r>
      <rPr>
        <b/>
        <sz val="10"/>
        <color indexed="9"/>
        <rFont val="Arial"/>
        <family val="2"/>
      </rPr>
      <t>)</t>
    </r>
  </si>
  <si>
    <r>
      <t>The following estimated total potable water consumption is based on the data entered above. The water consumption of the fittings per m</t>
    </r>
    <r>
      <rPr>
        <vertAlign val="superscript"/>
        <sz val="9"/>
        <color indexed="9"/>
        <rFont val="Arial"/>
        <family val="2"/>
      </rPr>
      <t>2</t>
    </r>
    <r>
      <rPr>
        <sz val="9"/>
        <color indexed="9"/>
        <rFont val="Arial"/>
        <family val="2"/>
      </rPr>
      <t xml:space="preserve"> is based on assumptions of typical office usage and does not represent actual water consumption in the building. </t>
    </r>
  </si>
  <si>
    <t xml:space="preserve">Kalahari Dry Savanna </t>
  </si>
  <si>
    <t xml:space="preserve">Aoub Duneveld </t>
  </si>
  <si>
    <t xml:space="preserve">Ghaap Plateau Vaalbosveld </t>
  </si>
  <si>
    <t xml:space="preserve">Gordonia Duneveld </t>
  </si>
  <si>
    <t xml:space="preserve">Gordonia Kameeldoring Bushveld </t>
  </si>
  <si>
    <t xml:space="preserve">Gordonia Plains Shrubveld </t>
  </si>
  <si>
    <t xml:space="preserve">Kathu Bushveld </t>
  </si>
  <si>
    <t xml:space="preserve">Kimberley Thornveld </t>
  </si>
  <si>
    <t xml:space="preserve">Vanrhynsdorp Gannabosveld </t>
  </si>
  <si>
    <t xml:space="preserve">Western Mountain Shrubland </t>
  </si>
  <si>
    <t xml:space="preserve">Namaqualand Shale Shrubland </t>
  </si>
  <si>
    <t xml:space="preserve">Western Upland Karoo </t>
  </si>
  <si>
    <t xml:space="preserve">Anenous Plateau Shrubland </t>
  </si>
  <si>
    <t xml:space="preserve">Aughrabies Mountains Succulent Shrubland </t>
  </si>
  <si>
    <t xml:space="preserve">Central Richtersveld Montane Shrubland </t>
  </si>
  <si>
    <t xml:space="preserve">Die Plate Succulent Shrubland </t>
  </si>
  <si>
    <t xml:space="preserve">Eenriet Plains Succulent Shrubland </t>
  </si>
  <si>
    <t xml:space="preserve">Goariep Mountain Succulent Shrubland </t>
  </si>
  <si>
    <t xml:space="preserve">Kamiesberg Mountains Shrubland </t>
  </si>
  <si>
    <t xml:space="preserve">Pilanesberg Mountain Bushveld </t>
  </si>
  <si>
    <t xml:space="preserve">Factor = </t>
  </si>
  <si>
    <t xml:space="preserve">Final credit = </t>
  </si>
  <si>
    <t>ERROR Check on Area</t>
  </si>
  <si>
    <t>If areas don't match then zero credits (default)</t>
  </si>
  <si>
    <t xml:space="preserve">CREDIT = </t>
  </si>
  <si>
    <t>TOTAL</t>
  </si>
  <si>
    <t>L/day supply from taps</t>
  </si>
  <si>
    <t>L/day supply from showers</t>
  </si>
  <si>
    <t>L/day supply from WCs</t>
  </si>
  <si>
    <t>L/day supply from urinals</t>
  </si>
  <si>
    <t>L/day/m2 greywater from fittings for sewage calculator</t>
  </si>
  <si>
    <t>L/day/m2 blackwater from WCs, urinals, taps &amp; showers for sewage calculator</t>
  </si>
  <si>
    <t xml:space="preserve">Eastern Little Karoo </t>
  </si>
  <si>
    <t>One point is awarded where it is demonstrated that:
The mechanically air-conditioned ventilation system maintains humidity levels at no more than 60% relative humidity in the space and no more than 80% relative humidity in the supply ductwork;
OR
The building is fully naturally ventilated.</t>
  </si>
  <si>
    <t>Annual number of rain days &gt; 1mm:</t>
  </si>
  <si>
    <t>Avg monthly rainfall (mm)</t>
  </si>
  <si>
    <t xml:space="preserve">Two points are available as follows:
One point is awarded where:
- The project is a refurbishment or a building extension; 
OR
- At the time of the site purchase, 75% of the site had been previously built on.
An additional point is awarded if the site is located within a municipally approved urban edge.
</t>
  </si>
  <si>
    <t xml:space="preserve">Five points are available as follows:
Up to two points are awarded where a proportion of the total existing façade of the building, by vertical area, is reused:
- One point for reuse of 60%; OR
- Two points for reuse of 90%.
Up to three points are awarded where a proportion of the existing major structure, by gross building volume, is reused:
- One point for 30% reuse; OR
- Two points for 60% reuse; OR 
- Three points for 90%.
Where the site contained no buildings at the time of purchase or the total GFA of the original building(s) is less than 20% of the GFA of the new building that replaces it, this credit is ‘Not Applicable’ and is excluded from the points available, used to calculate the Materials Category Score. Type 'na' in the No. of Points Achieved column.
</t>
  </si>
  <si>
    <t>To encourage and recognise base building delivery mechanisms that eliminate the need for immediate tenant refits.</t>
  </si>
  <si>
    <t>Predicted Normalised Amenity Water Consumption Total</t>
  </si>
  <si>
    <t>To encourage and recognise the inclusion of storage space that facilitates the recycling of resources used within buildings to reduce waste going to disposal.</t>
  </si>
  <si>
    <t xml:space="preserve">Albany Coastal Belt </t>
  </si>
  <si>
    <t xml:space="preserve">poorly protected </t>
  </si>
  <si>
    <t>Albany Thickets Alluvial Vegetation</t>
  </si>
  <si>
    <t xml:space="preserve">Buffels Thicket </t>
  </si>
  <si>
    <t xml:space="preserve">hardly protected </t>
  </si>
  <si>
    <t>Albany Thickets Strandveld</t>
  </si>
  <si>
    <t xml:space="preserve">Camdebo Escarpment Thicket </t>
  </si>
  <si>
    <t>Bushmanland and West Griqualand</t>
  </si>
  <si>
    <t xml:space="preserve">Up to five points are awarded where the predicted potable water consumption for sanitary use within the building has been reduced against a ‘best practice’ benchmark.
The points are determined by the Green Star SA Potable Water Calculator.
</t>
  </si>
  <si>
    <t xml:space="preserve">Eastern Upper Karoo </t>
  </si>
  <si>
    <t xml:space="preserve">Northern Upper Karoo </t>
  </si>
  <si>
    <t xml:space="preserve">Upper Karoo Hardeveld </t>
  </si>
  <si>
    <t xml:space="preserve">Western Upper Karoo </t>
  </si>
  <si>
    <t xml:space="preserve">Savanna Alluvial Vegetation </t>
  </si>
  <si>
    <t xml:space="preserve">Subtropical Alluvial Vegetation </t>
  </si>
  <si>
    <t xml:space="preserve">Central Bushveld </t>
  </si>
  <si>
    <t xml:space="preserve">Central Sandy Bushveld </t>
  </si>
  <si>
    <t xml:space="preserve">Dwaalboom Thornveld </t>
  </si>
  <si>
    <t xml:space="preserve">Limpopo Sweet Bushveld </t>
  </si>
  <si>
    <t xml:space="preserve">Loskopdam Thornveld </t>
  </si>
  <si>
    <t xml:space="preserve">Madikwe Dolomite Bushveld </t>
  </si>
  <si>
    <t xml:space="preserve">Makhado Sweet Bushveld </t>
  </si>
  <si>
    <t>Notional Building Supplementary Cooling</t>
  </si>
  <si>
    <t>Provided it can be demonstrated that safe, convenient cycling routes are provided between the office development and the adjacent street network, up to three points are awarded as follows: 
One point is awarded where the following are provided:
- Secure bicycle storage for 3% of building staff (based on one person per 15m² of UA); AND
- Accessible showers (based on one per 10 bicycle spaces provided or part thereof); AND
- Changing facilities adjacent to showers; AND
- One secure locker per bicycle space in the changing facilities.
Two points are awarded where the following are provided:
- Secure bicycle storage for 6% of building staff (based on one person per 15m² of UA); AND
- Accessible showers (based on one per 10 bicycle spaces provided or part thereof); AND
- Changing facilities adjacent to showers; AND
- One secure locker per bicycle space in the changing facilities.</t>
  </si>
  <si>
    <t xml:space="preserve">Percentage of WC's used for blackwater collection </t>
  </si>
  <si>
    <t xml:space="preserve">Percentage of urinals used for blackwater collection </t>
  </si>
  <si>
    <t>Percentage of indoor taps used for blackwater collection</t>
  </si>
  <si>
    <t xml:space="preserve">Percentage of showers used for blackwater collection </t>
  </si>
  <si>
    <t>Storage capacity of Blackwater tank (kL)</t>
  </si>
  <si>
    <t>Other blackwater collection sources</t>
  </si>
  <si>
    <t>CALCULATOR ASSUMES 31 DAY MONTH!!!! DEMAND IS OVER ESTIMATED SIGNIFICANTLY</t>
  </si>
  <si>
    <t>Total Harvest + Exist Tank Vol</t>
  </si>
  <si>
    <t xml:space="preserve">Harvesting for </t>
  </si>
  <si>
    <t>Cooling Towers</t>
  </si>
  <si>
    <t>sum of all recycled water demand:</t>
  </si>
  <si>
    <t>Greywater Inflow (Taps)</t>
  </si>
  <si>
    <t>Greywater Inflow (Showers)</t>
  </si>
  <si>
    <t>Greywater Inflow (Other)</t>
  </si>
  <si>
    <t>Greywater TOTAL</t>
  </si>
  <si>
    <t>Recycled Greywater Demand (Amenity)</t>
  </si>
  <si>
    <t>Recycled Greywater Demand (Non-Amenity)</t>
  </si>
  <si>
    <t>This is potable water offset</t>
  </si>
  <si>
    <t>TOTAL REDUCED POTABLE WATER USE</t>
  </si>
  <si>
    <t>One point is awarded where it is demonstrated that glare from daylight is reduced through any combination of the following:
Where, for each typical glazing configuration or atrium, fixed shading devices shade the working plane, 1.5m in from the centre of the glazing, from direct sun at desk height (720mm AFFL) for 80% of standard working hours;
OR 
Where blinds or screens are fitted on all glazing and atria as a base building provision and meet the following criteria:
- Eliminate all direct sun penetration; AND
- Are controlled with an automatic monitoring system; AND
- Are equipped with a manual override function accessible by occupants; AND 
- Have a visual light transmittance (VLT) of &lt;10%.</t>
  </si>
  <si>
    <t>One point is awarded where: 
High frequency ballasts are installed in fluorescent luminaires over a minimum of 95% of the office UA.</t>
  </si>
  <si>
    <t>One point is awarded where:
The office lighting design achieves an average maintained illuminance level of no more than 400 Lux for 95% of the office UA as calculated at the working plane (720mm AFFL).</t>
  </si>
  <si>
    <t>To encourage and recognise designs that provide occupants with a visual connection to the external environment.</t>
  </si>
  <si>
    <t>Fire System Water Consumption</t>
  </si>
  <si>
    <t>To encourage and recognise the reduction in embodied energy and resource depletion associated with reduced use of virgin steel.</t>
  </si>
  <si>
    <t>Change of Ecological Value</t>
  </si>
  <si>
    <t>Project Teams are to refer to the Green Star SA Office v1 Technical Manual for explicit credit criteria and documentation requirements.</t>
  </si>
  <si>
    <t>IEQ-1</t>
  </si>
  <si>
    <t>IEQ-2</t>
  </si>
  <si>
    <t>IEQ-3</t>
  </si>
  <si>
    <t>IEQ-4</t>
  </si>
  <si>
    <t>IEQ-5</t>
  </si>
  <si>
    <t>IEQ-6</t>
  </si>
  <si>
    <t>IEQ-7</t>
  </si>
  <si>
    <t>IEQ-8</t>
  </si>
  <si>
    <t>IEQ-9</t>
  </si>
  <si>
    <t>IEQ-10</t>
  </si>
  <si>
    <t>IEQ-12</t>
  </si>
  <si>
    <t>IEQ-13</t>
  </si>
  <si>
    <t>IEQ-14</t>
  </si>
  <si>
    <t>IEQ-15</t>
  </si>
  <si>
    <t>IEQ-16</t>
  </si>
  <si>
    <t>IEQ-17</t>
  </si>
  <si>
    <t/>
  </si>
  <si>
    <t xml:space="preserve">Ene- </t>
  </si>
  <si>
    <t>Ene-1</t>
  </si>
  <si>
    <t>Ene-2</t>
  </si>
  <si>
    <t>Ene-3</t>
  </si>
  <si>
    <t>Ene-4</t>
  </si>
  <si>
    <t>Ene-5</t>
  </si>
  <si>
    <t xml:space="preserve">Up to two points can be awarded for an innovation initiative where there has been a substantial improvement on an existing Green Star SA credit, as follows:
- One point for a solution that results in the elimination of the specific negative environmental impact of the project targeted by an existing credit; and
- Two points for a solution that results in a substantial (e.g. 5% or greater above ‘neutral’) restorative environmental impact targeted by an existing credit.
Up to five innovation initiatives can be awarded points under this credit, but no individual initiative can achieve more than two points in this credit. Qualifying initiatives may achieve additional points in other Innovation credits; however, the maximum points available for any one building assessment under Inn-1, Inn-2 and Inn-3 is five (in total). </t>
  </si>
  <si>
    <t xml:space="preserve">One point can be awarded where:
- An initiative in the project viably addresses a valid environmental concern outside of the current scope of this Green Star SA tool.
Up to five innovation initiatives can be awarded points under this credit, but no individual initiative can achieve more than one point in this credit. Qualifying initiatives may achieve additional points in other Innovation credits; however, the maximum points available for any one building assessment under Inn-1, Inn-2 and Inn-3 is five (in total). </t>
  </si>
  <si>
    <r>
      <t>NOTE:</t>
    </r>
    <r>
      <rPr>
        <sz val="10"/>
        <rFont val="Arial"/>
        <family val="2"/>
      </rPr>
      <t xml:space="preserve"> The Green Star SA - Office v1 should be used together with the Green Star SA - Office v1 Technical Manual and the definitions contained therein. </t>
    </r>
  </si>
  <si>
    <t xml:space="preserve">Leipoldtville Sand Fynbos </t>
  </si>
  <si>
    <t>Brownfields</t>
  </si>
  <si>
    <t>ID</t>
  </si>
  <si>
    <t>Albany Thickets</t>
  </si>
  <si>
    <t>Urinal Consumption</t>
  </si>
  <si>
    <t>Indoor Tap Consumption</t>
  </si>
  <si>
    <t>Shower Consumption</t>
  </si>
  <si>
    <t>NON-AMENITY RECYCLED WATER DEMAND</t>
  </si>
  <si>
    <t>Irrigation Consumption</t>
  </si>
  <si>
    <t>Cooling Tower Consumption</t>
  </si>
  <si>
    <t>Fire System Test Consumption</t>
  </si>
  <si>
    <t>Other Consumption</t>
  </si>
  <si>
    <t>RECYCLED/HARVESTED WATER DEMAND FOR OTHER (L/day)</t>
  </si>
  <si>
    <t>TOTAL Amenity Consumption</t>
  </si>
  <si>
    <t>TOTAL Non-Amenity Consumption</t>
  </si>
  <si>
    <t>POTENTIAL RECYCLED WATER DEMAND BREAKDOWN</t>
  </si>
  <si>
    <t>Non-Amenity</t>
  </si>
  <si>
    <t>Amenity (Non-potable; WC &amp; U)</t>
  </si>
  <si>
    <t>Amenity (Potable; S&amp;T)</t>
  </si>
  <si>
    <t>WCs &amp; Urinals</t>
  </si>
  <si>
    <t>Showers &amp; Taps</t>
  </si>
  <si>
    <t>Fire System</t>
  </si>
  <si>
    <t>ALL Potential Consumption Breakdown</t>
  </si>
  <si>
    <t>AMENITY/NON-AMENITY Consumption Breakdown</t>
  </si>
  <si>
    <t>RECYCLED WATER REUSE 2nd PRIORITY - GREYWATER</t>
  </si>
  <si>
    <t>RECYCLED WATER REUSE 1st PRIORITY - BLACKWATER</t>
  </si>
  <si>
    <t>RECYCLED WATER REUSE 3rd PRIORITY - RAINWATER &amp; STORMWATER</t>
  </si>
  <si>
    <t>ANNUAL TOTAL</t>
  </si>
  <si>
    <r>
      <t xml:space="preserve">Where any two of the initiatives below are demonstrated:
</t>
    </r>
    <r>
      <rPr>
        <u/>
        <sz val="10"/>
        <rFont val="Arial"/>
        <family val="2"/>
      </rPr>
      <t>Structure</t>
    </r>
    <r>
      <rPr>
        <sz val="10"/>
        <rFont val="Arial"/>
        <family val="2"/>
      </rPr>
      <t xml:space="preserve">
Where it is demonstrated that the building’s structural requirements and integrity have been achieved using 10% less structural steel (by mass) OR 10% less concrete and reinforcing/stressing steel (by mass), OR 10% less timber (by volume) than in a structure with conventional steel, concrete or timber framing, without changing the load path to other structural components.</t>
    </r>
  </si>
  <si>
    <t>One point is available where a substantial reduction in materials consumption occurs as follows:
Where it is demonstrated that the building’s structural requirements and integrity have been achieved using 20% less structural steel (by mass) OR 20% less concrete and reinforcing/stressing steel (by mass), OR 20% less timber (by volume) than in a structure with conventional steel, concrete or timber framing, without changing the load path to other structural components. 
OR</t>
  </si>
  <si>
    <r>
      <t>Ductwork</t>
    </r>
    <r>
      <rPr>
        <sz val="10"/>
        <rFont val="Arial"/>
        <family val="2"/>
      </rPr>
      <t xml:space="preserve">
The building is fully naturally ventilated; OR
The requirement for ductwork has been reduced by 95%.</t>
    </r>
  </si>
  <si>
    <t>To encourage and recognise developments that facilitate the use of bicycles by occupants and visitors.</t>
  </si>
  <si>
    <t>Assumed number of occupants</t>
  </si>
  <si>
    <t>PREDICTED POTABLE WATER CONSUMPTION</t>
  </si>
  <si>
    <t>Avg L/flush</t>
  </si>
  <si>
    <t xml:space="preserve">Subtropical Dune Thicket </t>
  </si>
  <si>
    <t>Fynbos Strandveld</t>
  </si>
  <si>
    <t xml:space="preserve">Subtropical Seashore Vegetation </t>
  </si>
  <si>
    <t>Grassland Alluvial Vegetation</t>
  </si>
  <si>
    <t>Conditional Requirements</t>
  </si>
  <si>
    <t>Ene</t>
  </si>
  <si>
    <t>Eco</t>
  </si>
  <si>
    <t>Sub-total weighted points achieved:</t>
  </si>
  <si>
    <t>Total weighted points achieved:</t>
  </si>
  <si>
    <t>Mpumalanga</t>
  </si>
  <si>
    <t xml:space="preserve">North Sonderend Sandstone Fynbos </t>
  </si>
  <si>
    <t xml:space="preserve">Overberg Sandstone Fynbos </t>
  </si>
  <si>
    <t>An additional point is awarded where:
- At least one point above is achieved; AND
- There is a Blackwater Treatment Maintenance Plan; AND
- There is a maintenance contract for a minimum of five years to ensure that the blackwater treatment system operates as intended by the design.
Where no blackwater treatment system is installed, the additional point is ‘Not Applicable’ and is excluded from the points available, used to calculate the Emissions Category Score. Type 'na' in the No. of Points Achieved column.</t>
  </si>
  <si>
    <r>
      <t xml:space="preserve">ON SITE RENEWABLE ELECTRICITY GENERATION </t>
    </r>
    <r>
      <rPr>
        <b/>
        <sz val="10"/>
        <color indexed="9"/>
        <rFont val="Arial"/>
        <family val="2"/>
      </rPr>
      <t>(actual building only)</t>
    </r>
  </si>
  <si>
    <r>
      <t xml:space="preserve">OTHER ON SITE GENERATION </t>
    </r>
    <r>
      <rPr>
        <b/>
        <sz val="10"/>
        <color indexed="9"/>
        <rFont val="Arial"/>
        <family val="2"/>
      </rPr>
      <t>(actual building only)</t>
    </r>
  </si>
  <si>
    <t>&lt;--From Potable Water Calculator</t>
  </si>
  <si>
    <t>3% Occupants shower</t>
  </si>
  <si>
    <t>Shower</t>
  </si>
  <si>
    <t>Calc (3%)</t>
  </si>
  <si>
    <t>Green Star SA – Office Pilot is based on national and international guidelines, including primarily the Australian Green Star system, as well as the US LEED Green Building Rating System and UK's BREEAM Environmental Assessment Method.</t>
  </si>
  <si>
    <t xml:space="preserve">Up to three points are awarded where:
The contractor implements a Waste Management Plan (WMP), retains waste records and issues quarterly reports to the building owner; AND
A percentage (by mass) of all demolition and construction waste is reused or recycled as follows:  
- One point for 30% of the waste; 
- Two points for 50% of waste; and                                                                                                                                                                                                         - Three points for 70% of waste. </t>
  </si>
  <si>
    <t>To ensure buildings are designed with regard to future maintenance and are correctly commissioned before handover.</t>
  </si>
  <si>
    <t>THESE COLUMNS HIDDEN</t>
  </si>
  <si>
    <t>To encourage and recognise the selection of insulants that do not contribute to long-term damage to the Earth’s stratospheric ozone layer.</t>
  </si>
  <si>
    <t>Baseline</t>
  </si>
  <si>
    <t>WC (Avg. l/flush)</t>
  </si>
  <si>
    <t>Urinal (Avg. l/flush)</t>
  </si>
  <si>
    <t>Taps (Avg. L/min)</t>
  </si>
  <si>
    <t>Showers (Avg. L/min)</t>
  </si>
  <si>
    <t>Urinal (Avg. l/flush) in group of 2</t>
  </si>
  <si>
    <r>
      <t xml:space="preserve">WELS Fixture Flow Rates (Averaged where a range is permitted) </t>
    </r>
    <r>
      <rPr>
        <b/>
        <sz val="10"/>
        <color indexed="10"/>
        <rFont val="Arial"/>
        <family val="2"/>
      </rPr>
      <t>NOT USED IN SA TOOL!!!!</t>
    </r>
  </si>
  <si>
    <t>The application of Green Star SA - Office v1 to all commercial office projects is encouraged to assess and improve their environmental design attributes.  No fee is payable to the GBCSA for such use, however formal recognition of the Green Star SA rating - and the right to promote the same - requires undertaking the formal certification process offered by the GBCSA.</t>
  </si>
  <si>
    <t>Green Star SA Office v1 Tool Release Date:</t>
  </si>
  <si>
    <t>Changes &amp; Amendments</t>
  </si>
  <si>
    <t>To encourage and recognise sustainable building initiatives that are currently outside of the scope of this Green Star SA rating tool but which have a substantial or significant environmental benefit.</t>
  </si>
  <si>
    <t>To encourage and recognise the adoption of a formal environmental management system in line with established guidelines during construction.</t>
  </si>
  <si>
    <t>To encourage and recognise measures to reduce uncontrolled air leakage in buildings, and reward the testing and achievement of good airtightness levels.</t>
  </si>
  <si>
    <t>One point is awarded where:
An air test is carried out on the completed building in accordance with CIBSE TM23:2000 (Testing buildings for air leakage) to assess leakage rates, and a leakage rate of less than 15m3/hr/m² is achieved at a relative pressure of 50Pa.</t>
  </si>
  <si>
    <r>
      <t>L/day/m</t>
    </r>
    <r>
      <rPr>
        <b/>
        <vertAlign val="superscript"/>
        <sz val="10"/>
        <color indexed="9"/>
        <rFont val="Arial"/>
        <family val="2"/>
      </rPr>
      <t>2</t>
    </r>
  </si>
  <si>
    <t>Other greywater Collection Sources</t>
  </si>
  <si>
    <t>750m-1km</t>
  </si>
  <si>
    <t>15min</t>
  </si>
  <si>
    <t>30min</t>
  </si>
  <si>
    <t xml:space="preserve">Tanqua Karoo </t>
  </si>
  <si>
    <t xml:space="preserve">Tanqua Sheet Wash Plains Vygieveld </t>
  </si>
  <si>
    <t xml:space="preserve">Southern Karoo </t>
  </si>
  <si>
    <t xml:space="preserve">Eastern Gwarrieveld </t>
  </si>
  <si>
    <t>Points</t>
  </si>
  <si>
    <t>ECOLOGICAL DIVERSITY INDEX:</t>
  </si>
  <si>
    <t>Credit Summary</t>
  </si>
  <si>
    <t>Energy Calculator</t>
  </si>
  <si>
    <t xml:space="preserve">The predicted rating is shown in the Summary worksheet.  More detail on point scores (both achieved and those to be confirmed) are shown in the Credit Summary and Graphical Summary worksheets at the end of the tool.  </t>
  </si>
  <si>
    <t>Limitations</t>
  </si>
  <si>
    <t xml:space="preserve">The following estimated discharge to sewer is based on the data entered above and does not represent actual discharge to the sewer in the building. </t>
  </si>
  <si>
    <t>Greywater collected from showers/taps</t>
  </si>
  <si>
    <t>Blackwater collected from showers/taps/WCs/urinals</t>
  </si>
  <si>
    <t>Five Star</t>
  </si>
  <si>
    <t>Six Stars</t>
  </si>
  <si>
    <t>Mandatory requirements</t>
  </si>
  <si>
    <t>Carbon Dioxide Monitoring and Control</t>
  </si>
  <si>
    <t>Daylight</t>
  </si>
  <si>
    <t>To encourage and recognise buildings that are designed to reduce the discomfort of glare from natural light.</t>
  </si>
  <si>
    <t>Fittings selection</t>
  </si>
  <si>
    <t xml:space="preserve">Credit Criteria or Compliance Requirements. They are an extension of the Technical Manual; it is the responsibility of the project teams to stay </t>
  </si>
  <si>
    <t xml:space="preserve">up-to-date with this section of the GBCSA website. The CIR rulings offer alternative compliance options whenever those have been deemed </t>
  </si>
  <si>
    <t>equivalent in meeting the Aim of Credit.</t>
  </si>
  <si>
    <t>ERROR MESSAGES</t>
  </si>
  <si>
    <t>ERROR, sum of no. of points achieved and points to be confirmed exceeds the total no. of available points</t>
  </si>
  <si>
    <t>ERROR, Value entered in 'No. of points achieved' must be a number or 'na'</t>
  </si>
  <si>
    <t>[ERROR: Please check for error message in worksheet]</t>
  </si>
  <si>
    <r>
      <t xml:space="preserve">Up to twenty points are awarded where it is demonstrated that the building’s predicted greenhouse gas emissions have been reduced below the Conditional Requirement. 
</t>
    </r>
    <r>
      <rPr>
        <b/>
        <sz val="10"/>
        <rFont val="Arial"/>
        <family val="2"/>
      </rPr>
      <t>Compliance Route 1 - Energy modelling</t>
    </r>
    <r>
      <rPr>
        <sz val="10"/>
        <rFont val="Arial"/>
        <family val="2"/>
      </rPr>
      <t xml:space="preserve">
The office is to be modelled using the GBCSA protocol, and the predicted carbon emissions compared with a baseline office in the same location constructed to the requirements of the SANS 204:2008 'deemed to satisfy' clauses. Points are then awarded on a linear scale with 0 points for the baseline building and 20 points for a net zero operating emissions building.
The points are determined by the Green Star SA Energy Calculator.
</t>
    </r>
  </si>
  <si>
    <r>
      <t>Compliance Route 2 - ASHRAE guide</t>
    </r>
    <r>
      <rPr>
        <sz val="10"/>
        <rFont val="Arial"/>
        <family val="2"/>
      </rPr>
      <t xml:space="preserve">
As an alternative to the energy modelling route, 4 points are awarded for offices &lt; 2,000m² UA if the design complies with ASHRAE </t>
    </r>
    <r>
      <rPr>
        <i/>
        <sz val="10"/>
        <rFont val="Arial"/>
        <family val="2"/>
      </rPr>
      <t>Advanced Energy Design Guide for Small Office Buildings</t>
    </r>
    <r>
      <rPr>
        <sz val="10"/>
        <rFont val="Arial"/>
        <family val="2"/>
      </rPr>
      <t xml:space="preserve">.  </t>
    </r>
  </si>
  <si>
    <t xml:space="preserve">Gold Reef Mountain Bushveld </t>
  </si>
  <si>
    <t xml:space="preserve">Kaalrug Mountain Bushveld </t>
  </si>
  <si>
    <t xml:space="preserve">Loskopdam Mountain Bushveld </t>
  </si>
  <si>
    <t xml:space="preserve">Malelane Mountain Bushveld </t>
  </si>
  <si>
    <t xml:space="preserve">Mmabolo Mountain Bushveld </t>
  </si>
  <si>
    <t xml:space="preserve">Norite Koppies Bushveld </t>
  </si>
  <si>
    <t xml:space="preserve">Northern Lebombo Bushveld </t>
  </si>
  <si>
    <t xml:space="preserve">Ohrigstad Mountain Bushveld </t>
  </si>
  <si>
    <t xml:space="preserve">If the site is within 15 minutes travel time (via a public transport connecting service with a frequency of no more than 30 minutes) of a public transport interchange then the services available from the interchange can be included in the Calculator with the following modifications:
•  the number of interchange services for each type and frequency to be entered in the tables above should be halved; and
•  the distance to the interchange services is equal to the distance from the site to the connecting service plus 250m. </t>
  </si>
  <si>
    <t>To encourage and recognise developments that minimise discharge to the municipal sewerage system.</t>
  </si>
  <si>
    <t>To encourage and recognise commissioning and handover initiatives that ensure that all building services can operate to optimal design potential.</t>
  </si>
  <si>
    <t>Building Users' Guide</t>
  </si>
  <si>
    <t>Bethlehem</t>
  </si>
  <si>
    <t>Cape Town</t>
  </si>
  <si>
    <t>Precipitation Average Monthly (mm)</t>
  </si>
  <si>
    <t>January</t>
  </si>
  <si>
    <t xml:space="preserve">Credits = </t>
  </si>
  <si>
    <t>How to use the Calculator</t>
  </si>
  <si>
    <t>Determine the number and type of public transport options within 1km of the building and the walking distance to each.</t>
  </si>
  <si>
    <t>Determine the frequency of each service between 7.30am and 9.30am and between 4.30pm and 6.30pm from Monday to Friday (excluding public holidays) from current timetables.</t>
  </si>
  <si>
    <t xml:space="preserve">Ithala Quartzite Sourveld </t>
  </si>
  <si>
    <t xml:space="preserve">Lesotho Highland Basalt Grassland </t>
  </si>
  <si>
    <t xml:space="preserve">Northern Drakensberg Highland Grassland </t>
  </si>
  <si>
    <t xml:space="preserve">Northern Escarpment Afromontane Fynbos </t>
  </si>
  <si>
    <t xml:space="preserve">Northern Escarpment Dolomite Grassland </t>
  </si>
  <si>
    <t xml:space="preserve">Northern Escarpment Quartzite Sourveld </t>
  </si>
  <si>
    <t xml:space="preserve">Southern Drakensberg Highland Grassland </t>
  </si>
  <si>
    <t xml:space="preserve">Stormberg Plateau Grassland </t>
  </si>
  <si>
    <t xml:space="preserve">uKhahlamba Basalt Grassland </t>
  </si>
  <si>
    <t xml:space="preserve">Wolkberg Dolomite Grassland </t>
  </si>
  <si>
    <t>Brownfield Site</t>
  </si>
  <si>
    <t>L/day/m2 benchmark ((L/day/person)/(m2/person))</t>
  </si>
  <si>
    <t>Wat-1 Occupant Amenity Water 
Predicted Potable Water Rating Benchmark</t>
  </si>
  <si>
    <t>Shower Demand</t>
  </si>
  <si>
    <t>To encourage and recognise design that reduces potable water consumption from heat rejection systems.</t>
  </si>
  <si>
    <t>Two points are awarded where:
- A minimum of 5% of all parking spaces are dedicated solely for use by car-pool vehicles, car-share vehicles, hybrid and other alternative fuel vehicles. All qualifying spaces must be located in preferred parking locations and be designed and labelled for the intended vehicle types; 
AND
- A minimum of 5% or 5 parking spaces (whichever is greater) are designed and labelled for mopeds, scooters and/or motorbikes, and all of these must be located in preferred parking locations.
If no parking spaces are to be provided, this credit this credit is ‘Not Applicable’ and is excluded from the points available, used to calculate the Transport category score. Type 'na' in the No. of Points Achieved column.</t>
  </si>
  <si>
    <t>To encourage and recognise developments that minimise light pollution into the night sky.</t>
  </si>
  <si>
    <t>To encourage and recognise building systems design that eliminates the risk of Legionnaires’ disease (Legionellosis).</t>
  </si>
  <si>
    <t>WC uses per day per person.</t>
  </si>
  <si>
    <t>Urinal auto timer</t>
  </si>
  <si>
    <t>minutes</t>
  </si>
  <si>
    <t>Duration of showers</t>
  </si>
  <si>
    <t>One point is awarded where:
- 50% (by area) of the structural framing, roofing, and façade cladding systems are designed for disassembly. 
OR 
- 95% of the total façade is designed for disassembly.
If the material cost of the structural framing, roofing, and façade cladding systems represent less than 1% of the project’s total contract value, this credit is ‘Not Applicable’ and is excluded from the points available, used to calculate the Materials Category Score. Type 'na' in the No. of Points Achieved column.</t>
  </si>
  <si>
    <t>Fynbos South Coast Centre</t>
  </si>
  <si>
    <t xml:space="preserve">Albany Dune Strandveld </t>
  </si>
  <si>
    <t xml:space="preserve">well protected </t>
  </si>
  <si>
    <t>Fynbos Southeast Centre</t>
  </si>
  <si>
    <t xml:space="preserve">Algoa Dune Strandveld </t>
  </si>
  <si>
    <t>Fynbos Southwest Centre</t>
  </si>
  <si>
    <t>What is Green Star SA?</t>
  </si>
  <si>
    <t>Credit Summary for:</t>
  </si>
  <si>
    <t>Transport</t>
  </si>
  <si>
    <t>Ref No.</t>
  </si>
  <si>
    <t>Title</t>
  </si>
  <si>
    <t>Aim of Credit</t>
  </si>
  <si>
    <t>Taps</t>
  </si>
  <si>
    <t>To encourage and recognise the reduction in use of Poly Vinyl Chloride (PVC) products in South African buildings.</t>
  </si>
  <si>
    <t xml:space="preserve">Kouga Sandstone Grassy Fynbos </t>
  </si>
  <si>
    <t xml:space="preserve">Loerie Conglomerate Fynbos </t>
  </si>
  <si>
    <t xml:space="preserve">North Outeniqua Sandstone Fynbos </t>
  </si>
  <si>
    <t xml:space="preserve">South Outeniqua Sandstone Fynbos </t>
  </si>
  <si>
    <r>
      <t>L/day/m</t>
    </r>
    <r>
      <rPr>
        <b/>
        <vertAlign val="superscript"/>
        <sz val="12"/>
        <rFont val="Arial"/>
        <family val="2"/>
      </rPr>
      <t>2</t>
    </r>
  </si>
  <si>
    <t xml:space="preserve">Breede Shale Renosterveld </t>
  </si>
  <si>
    <t xml:space="preserve">Central Ruens Shale Renosterveld </t>
  </si>
  <si>
    <t xml:space="preserve">Eastern Ruens Shale Renosterveld </t>
  </si>
  <si>
    <t xml:space="preserve">Mossel Bay Shale Renosterveld </t>
  </si>
  <si>
    <t xml:space="preserve">Ruens Silcrete Renosterveld </t>
  </si>
  <si>
    <t xml:space="preserve">Western Ruens Shale Renosterveld </t>
  </si>
  <si>
    <t xml:space="preserve">Renosterveld West Coast Centre </t>
  </si>
  <si>
    <t xml:space="preserve">Peninsula Shale Renosterveld </t>
  </si>
  <si>
    <t xml:space="preserve">Piketberg Quartz Succulent Shrubland </t>
  </si>
  <si>
    <t xml:space="preserve">&lt;1 </t>
  </si>
  <si>
    <t xml:space="preserve">Swartland Alluvium Renosterveld </t>
  </si>
  <si>
    <t>Address of Building:</t>
  </si>
  <si>
    <t>% of points achieved</t>
  </si>
  <si>
    <t>Weighted Score</t>
  </si>
  <si>
    <t>Percent of Available Points Achieved</t>
  </si>
  <si>
    <t>(Innovation is not weighted)</t>
  </si>
  <si>
    <t>February</t>
  </si>
  <si>
    <t>September</t>
  </si>
  <si>
    <t>October</t>
  </si>
  <si>
    <t>November</t>
  </si>
  <si>
    <t xml:space="preserve">December </t>
  </si>
  <si>
    <t>annual number of rain days</t>
  </si>
  <si>
    <t>Beaufort West</t>
  </si>
  <si>
    <t>Bela-Bela</t>
  </si>
  <si>
    <t>Belfast</t>
  </si>
  <si>
    <t>Bethal</t>
  </si>
  <si>
    <t>Bloemfontein</t>
  </si>
  <si>
    <t>Calvinia</t>
  </si>
  <si>
    <t>De Aar</t>
  </si>
  <si>
    <t>Durban</t>
  </si>
  <si>
    <t>East London</t>
  </si>
  <si>
    <t>George</t>
  </si>
  <si>
    <t>Johannesburg</t>
  </si>
  <si>
    <t>Kimberley</t>
  </si>
  <si>
    <t>Ladysmith</t>
  </si>
  <si>
    <t>Langebaan</t>
  </si>
  <si>
    <t>Musina</t>
  </si>
  <si>
    <t>Nelspruit</t>
  </si>
  <si>
    <t>Nmmabatho</t>
  </si>
  <si>
    <t>Pietermaritzburg</t>
  </si>
  <si>
    <t>Pilansberg</t>
  </si>
  <si>
    <t>Polokwane</t>
  </si>
  <si>
    <t>Port Elizabeth</t>
  </si>
  <si>
    <t>Pretoria</t>
  </si>
  <si>
    <t>Richards Bay</t>
  </si>
  <si>
    <t>Skukuza</t>
  </si>
  <si>
    <t>Thohoyandou</t>
  </si>
  <si>
    <t>Tstsikama</t>
  </si>
  <si>
    <t>Umtata</t>
  </si>
  <si>
    <t>Upington</t>
  </si>
  <si>
    <t>total</t>
  </si>
  <si>
    <t>annual number of rain days &gt;1mm</t>
  </si>
  <si>
    <t>WCs:</t>
  </si>
  <si>
    <t>Urinals:</t>
  </si>
  <si>
    <t>Indoor Taps:</t>
  </si>
  <si>
    <t>Showerheads:</t>
  </si>
  <si>
    <t>of total.</t>
  </si>
  <si>
    <t>Total Minutes/Day</t>
  </si>
  <si>
    <t>Total Consumption</t>
  </si>
  <si>
    <r>
      <t>L/day/m</t>
    </r>
    <r>
      <rPr>
        <b/>
        <vertAlign val="superscript"/>
        <sz val="10"/>
        <rFont val="Arial"/>
        <family val="2"/>
      </rPr>
      <t>2</t>
    </r>
    <r>
      <rPr>
        <b/>
        <sz val="10"/>
        <rFont val="Arial"/>
        <family val="2"/>
      </rPr>
      <t xml:space="preserve"> benchmark </t>
    </r>
  </si>
  <si>
    <t>Control</t>
  </si>
  <si>
    <t>PIR</t>
  </si>
  <si>
    <t>Manual</t>
  </si>
  <si>
    <t>Timed</t>
  </si>
  <si>
    <t>Type</t>
  </si>
  <si>
    <t>Flow time(seconds)</t>
  </si>
  <si>
    <t>Tap running time</t>
  </si>
  <si>
    <t>Flow time(minutes)</t>
  </si>
  <si>
    <t xml:space="preserve">  Tap Controls tables</t>
  </si>
  <si>
    <t>Select Type</t>
  </si>
  <si>
    <t xml:space="preserve">Southeastern Richtersveld Mountain Desert </t>
  </si>
  <si>
    <t>Renosterveld Eastern Centre</t>
  </si>
  <si>
    <t xml:space="preserve">Southern Nababiepsberge Mountain Desert </t>
  </si>
  <si>
    <t>Green Star SA Accredited Professional</t>
  </si>
  <si>
    <t xml:space="preserve">•  6 Star Green Star Certified Rating recognises and rewards "World Leadership".  </t>
  </si>
  <si>
    <t xml:space="preserve">Aggeneys Gravel Vygieveld </t>
  </si>
  <si>
    <t xml:space="preserve">Swartland Silcrete Renosterveld </t>
  </si>
  <si>
    <t xml:space="preserve">South Strandveld </t>
  </si>
  <si>
    <t xml:space="preserve">Blombos Sand Strandveld </t>
  </si>
  <si>
    <t xml:space="preserve">Groot Brak Dune Strandveld </t>
  </si>
  <si>
    <t xml:space="preserve">Overberg Dune Strandveld </t>
  </si>
  <si>
    <t xml:space="preserve">Southern Cape Dune Fynbos </t>
  </si>
  <si>
    <t xml:space="preserve">Cape Seashore Vegetation </t>
  </si>
  <si>
    <t xml:space="preserve">West Strandveld </t>
  </si>
  <si>
    <t xml:space="preserve">Cape Flats Dune Strandveld </t>
  </si>
  <si>
    <r>
      <t>Building Efficiency</t>
    </r>
    <r>
      <rPr>
        <sz val="10"/>
        <rFont val="Arial"/>
        <family val="2"/>
      </rPr>
      <t xml:space="preserve">
For new buildings, where it is demonstrated that Building Efficiency, defined as the ratio of the total UA over the total GFA, is at least 85%. </t>
    </r>
  </si>
  <si>
    <t>Urban Area and Unallocated</t>
  </si>
  <si>
    <t xml:space="preserve">   Note- efficient tenant lighting is rewarded by Green Star SA credits Ene-3 and Ene-4</t>
  </si>
  <si>
    <r>
      <t>kWh/m</t>
    </r>
    <r>
      <rPr>
        <sz val="10"/>
        <rFont val="Arial"/>
        <family val="2"/>
      </rPr>
      <t>2</t>
    </r>
  </si>
  <si>
    <r>
      <t>kWh/m</t>
    </r>
    <r>
      <rPr>
        <sz val="10"/>
        <rFont val="Arial"/>
        <family val="2"/>
      </rPr>
      <t>2</t>
    </r>
    <r>
      <rPr>
        <sz val="10"/>
        <rFont val="Arial"/>
        <family val="2"/>
      </rPr>
      <t xml:space="preserve"> </t>
    </r>
  </si>
  <si>
    <t>An additional point is awarded where:
- The point above is achieved; AND
- The project has installed a refrigerant recovery system that is:
   &gt; Equipped with an automated pump-down system; and
   &gt; Sized to effectively and safely capture, isolate, and store 95% (by weight) of the maximum refrigerant charge.
Where no refrigerants are used in the project OR if all points in Emi-1 ‘Refrigerant ODP’ and Emi-2 ‘Refrigerant GWP’ are achieved, this credit is ‘Not Applicable’ and is excluded from the points available, used to calculate the Emissions Category Score. Type 'na' in the No. of Points Achieved column.</t>
  </si>
  <si>
    <t>Average monthly rainfall for the building location (mm):</t>
  </si>
  <si>
    <t>Location</t>
  </si>
  <si>
    <t xml:space="preserve">Hellskloof Canyon Desert </t>
  </si>
  <si>
    <t>Lowveld</t>
  </si>
  <si>
    <t>Office Usable Floor Area</t>
  </si>
  <si>
    <t>Usable floor area</t>
  </si>
  <si>
    <t>THESE ROWS BELOW ARE HIDDEN</t>
  </si>
  <si>
    <t>Bioregion code</t>
  </si>
  <si>
    <t>Bio-Region ID Number</t>
  </si>
  <si>
    <t>Ecological Significance Category</t>
  </si>
  <si>
    <t>&lt;Don't know&gt;</t>
  </si>
  <si>
    <t>none</t>
  </si>
  <si>
    <t>Default to highest significance</t>
  </si>
  <si>
    <t>Occupant Amenity Water</t>
  </si>
  <si>
    <t>Landscape Irrigation</t>
  </si>
  <si>
    <t>Heat Rejection Water</t>
  </si>
  <si>
    <r>
      <t xml:space="preserve">Building Description:
</t>
    </r>
    <r>
      <rPr>
        <sz val="8"/>
        <color indexed="9"/>
        <rFont val="Arial"/>
        <family val="2"/>
      </rPr>
      <t>(Orientation, Form, Structure, Façade, etc.)</t>
    </r>
  </si>
  <si>
    <t>Indigenous Endemic Habitat (&gt; 10 years old)*</t>
  </si>
  <si>
    <t>Indigenous Endemic Habitat (&gt; 20 years old)*</t>
  </si>
  <si>
    <t>Bioregion</t>
  </si>
  <si>
    <t>Local Connectivity</t>
  </si>
  <si>
    <t>Exceeding Green Star SA Benchmarks</t>
  </si>
  <si>
    <t>To encourage and recognise projects that achieve environmental benefits in excess of the current Green Star SA benchmarks.</t>
  </si>
  <si>
    <t>Are there any blackwater harvesting systems, and if so, do they comply with Local Authority requirements?</t>
  </si>
  <si>
    <t xml:space="preserve">Blackwater harvested is used for (please tick appropriate box(es)): </t>
  </si>
  <si>
    <t>To encourage and recognise development on land that has limited ecological value and to discourage development on ecologically valuable sites.</t>
  </si>
  <si>
    <t>One point is awarded where:
- All topsoil impacted by the construction works is separated and protected from degradation, erosion or mixing with fill or waste;
AND where at project completion:
- Protected topsoil is spread over impacted areas to a minimum depth of 200mm;
or
- 75% of all protected topsoil (by volume) remains on site. 
AND where protected topsoil remaining on site is productive.
Where no topsoil was impacted by the construction works, this credit is ‘Not Applicable’ and is excluded from the points available, used to calculate the Land Use &amp; Ecology Category Score. Type 'na' in the No. of Points Achieved column.</t>
  </si>
  <si>
    <t>One point is awarded where the building either:
Includes a dedicated tenant’s exhaust riser with the following characteristics:
- Provides no less than 0.2 L/s/m² for 100% of the UA; AND
- Has a capacity of 0.35 L/s/ m² for 100% of UA on any individual floor; AND
- The exhaust system is not recycled to other enclosures of different use.
OR
Provides an exhaust louver for tenant extract in each tenanted area of a size equivalent to 0.175m2/m2 of UA and with an exhaust point at least 7m away from any openable window or air intake.</t>
  </si>
  <si>
    <t>Up to four points are awarded where it is demonstrated that the lighting power densities for 95% of the UA meets the following criteria at 720mm above FFL with the default maintenance factor of 0.8:
- One point for energy use of 3.0 W/m² per 100 Lux;
- Two points for energy use of 2.5 W/m² per 100 Lux;
- Three points for energy use of 2.0 W/m² per 100 Lux; or
- Four points for energy use of 1.5 W/m² per 100 Lux.</t>
  </si>
  <si>
    <t xml:space="preserve">Up to two points are awarded as follows:
One point is awarded where:                                                                                                                                                   
- Water meters are installed for all major water uses in the project.
                                                                                                                                                                                                                                                                                                                                              An additional point is awarded where
- The above is achieved; AND                                                                                                                    
- An automated effective mechanism for monitoring water consumption data is installed. </t>
  </si>
  <si>
    <t>Steel</t>
  </si>
  <si>
    <t>Sustainable Timber</t>
  </si>
  <si>
    <t>To encourage and recognise the specification of reused timber products or timber that has certified environmentally-responsible forest management practices.</t>
  </si>
  <si>
    <t>Design for Disassembly</t>
  </si>
  <si>
    <r>
      <t>Roof area into tank m</t>
    </r>
    <r>
      <rPr>
        <vertAlign val="superscript"/>
        <sz val="10"/>
        <rFont val="HelveticaNeue-Roman"/>
      </rPr>
      <t>2</t>
    </r>
  </si>
  <si>
    <t>To encourage and recognise the installation of energy sub-metering to facilitate ongoing management of energy consumption.</t>
  </si>
  <si>
    <t>To encourage and recognise designs that provide artificial lighting with minimal energy consumption.</t>
  </si>
  <si>
    <t>One point is awarded where:
- There is sufficient temporary storage for a minimum of 80% of the routine fire protection system test water and maintenance drain-downs, for reuse on-site; and
- Each floor fitted with a sprinkler system has isolation valves or shut-off points for floor-by-floor testing;
OR
- The fire protection system does not expel water for testing.
If the building does not have a sprinkler system, this credit is ‘Not Applicable’ and is excluded from the points available, used to calculate the Water Category Score.
Type 'na' in the No. of Points Achieved column.</t>
  </si>
  <si>
    <t>Work Days</t>
  </si>
  <si>
    <t>Total Days</t>
  </si>
  <si>
    <t>WC Consumption</t>
  </si>
  <si>
    <t>The Eco-Conditional Requirement is met where the project development footprint
• Is not located on prime agricultural land. Refurbishments/redevelopments that remain within the existing development footprint are exempt from this criterion;
• Is not located on vegetation of high ecological value or within a 100 metre buffer of vegetation of high ecological value. Refurbishments/redevelopments that remain within the existing development footprint are exempt from this criterion;
• Is not located on land with confirmed presence or high probability of threatened red listed species, or within a defined buffer relevant to the specific threatened red listed species or habitat found. Refurbishments/redevelopments that remain within the existing development footprint are exempt from this criterion; and</t>
  </si>
  <si>
    <t>Up to two points are awarded, provided that it is demonstrated that safe, well-lit, dedicated pedestrian facilities are provided between the office development and the adjacent street network, conforming to SANS 10246.
One point is awarded where:
- Any four of the following are located within 400m of a public entrance to the building:
Bank/ATM, convenience grocery/supermarket, day care, cleaners/laundry, medical/dental offices, pharmacy, post office, restaurant/canteen/cafeteria, fitness centre/gym, library, school;
One point is awarded where:
- There is a minimum average gross density of 35 dwelling units/hectare for the entire area within 400m of the office development.</t>
  </si>
  <si>
    <t>To encourage and recognise the design of systems that aim to reduce the consumption of potable water for landscape irrigation.</t>
  </si>
  <si>
    <t xml:space="preserve">Namib Seashore Vegetation </t>
  </si>
  <si>
    <r>
      <t xml:space="preserve">One point is awarded where:
</t>
    </r>
    <r>
      <rPr>
        <b/>
        <sz val="10"/>
        <rFont val="Arial"/>
        <family val="2"/>
      </rPr>
      <t>Naturally ventilated spaces</t>
    </r>
    <r>
      <rPr>
        <sz val="10"/>
        <rFont val="Arial"/>
        <family val="2"/>
      </rPr>
      <t xml:space="preserve">
95% of the UA is naturally ventilated in accordance with SANS 10400-O; AND 
Ventilation rates are directly controlled by occupants; AND
Carbon dioxide monitoring is provided for every 100m² of area of occupied floor plan to give an audible/visual alarm if CO2 levels rise above 1,000ppm. 
</t>
    </r>
    <r>
      <rPr>
        <b/>
        <sz val="10"/>
        <rFont val="Arial"/>
        <family val="2"/>
      </rPr>
      <t>Mechanically ventilated spaces</t>
    </r>
    <r>
      <rPr>
        <sz val="10"/>
        <rFont val="Arial"/>
        <family val="2"/>
      </rPr>
      <t xml:space="preserve"> 
A carbon dioxide (CO2) monitoring and control system with a minimum of one CO2 sensor at all return points on each floor, is provided to facilitate continuous monitoring and adjustment of outside air ventilation rates to each level, to ensure independent control of ventilation rates to achieve outside air requirements;
OR 
HVAC systems provide 100% outside air with no recirculated component.
</t>
    </r>
    <r>
      <rPr>
        <b/>
        <sz val="10"/>
        <rFont val="Arial"/>
        <family val="2"/>
      </rPr>
      <t>Mixed-mode ventilated spaces</t>
    </r>
    <r>
      <rPr>
        <sz val="10"/>
        <rFont val="Arial"/>
        <family val="2"/>
      </rPr>
      <t xml:space="preserve">
Both modes of operation must satisfy the relevant mechanical and natural ventilation criteria.</t>
    </r>
  </si>
  <si>
    <t>Up to three points are awarded in this credit; there are two alternative credit criteria:
The percentage of the UA that has a measured Daylight Factor (DF) of not less than 2.0%, at desk-height level (720mm AFFL) under a uniform design sky;
OR
The percentage of the UA that has a Daylight Illuminance (DI) of at least 250 Lux.
In both cases are the points awarded based on percentage of UA as follows:
- One point is awarded for 30% of UA;
- Two points are awarded for 60% of UA; or
- Three points are awarded for 90% of UA.</t>
  </si>
  <si>
    <t>Are there any greywater harvesting systems, and if so, do they comply with Local Authority requirements?</t>
  </si>
  <si>
    <t xml:space="preserve">Greywater harvested is used for (please tick appropriate box(es)): </t>
  </si>
  <si>
    <t>External Lighting</t>
  </si>
  <si>
    <t>Domestic Hot Water</t>
  </si>
  <si>
    <t>Miscellaneous Equipment</t>
  </si>
  <si>
    <t>Small Power (tenant)</t>
  </si>
  <si>
    <t>Sub basement Parking Area (B2 and below) in m²:</t>
  </si>
  <si>
    <r>
      <t>Total Car Parking Area in m</t>
    </r>
    <r>
      <rPr>
        <sz val="10"/>
        <color indexed="9"/>
        <rFont val="Arial"/>
        <family val="2"/>
      </rPr>
      <t>²:</t>
    </r>
  </si>
  <si>
    <t>Sub Basement Car Parking Area</t>
  </si>
  <si>
    <t xml:space="preserve">One point is awarded where:
90% of the UA of the project is delivered as any combination of shell and core or integrated fitout. 
</t>
  </si>
  <si>
    <t xml:space="preserve">Tanqua Escarpment Succulent Shrubland </t>
  </si>
  <si>
    <t xml:space="preserve">The GBCSA encourages all interested parties to use Green Star SA - Office v1 to validate the environmental initiatives of new commercial office buildings or base building commercial office refurbishments. The use of Green Star SA - Office v1 is encouraged on all such projects to assess and improve their environmental design attributes.  </t>
  </si>
  <si>
    <t xml:space="preserve">Roggeveld Karoo </t>
  </si>
  <si>
    <t xml:space="preserve">West Bushmanland Klipveld </t>
  </si>
  <si>
    <t xml:space="preserve">West Coast Sandveld </t>
  </si>
  <si>
    <t xml:space="preserve">Aughrabies Sandy Grassland </t>
  </si>
  <si>
    <t xml:space="preserve">Namaqualand Arid Grassland </t>
  </si>
  <si>
    <t>Rainwater Run-off Coefficient</t>
  </si>
  <si>
    <t>Rainwater demand kL/day</t>
  </si>
  <si>
    <t>To encourage and recognise the specification of products with low formaldehyde emission levels.</t>
  </si>
  <si>
    <t>% of showers</t>
  </si>
  <si>
    <t>NOTE: Use of Green Star SA - Office v1 may predict a rating that differs from that achieved via formal Green Star SA certification. Detailed guidance on credit compliance criteria is contained in the Green Star SA - Office v1 Technical Manual.</t>
  </si>
  <si>
    <t>To encourage and recognise designs that prolong the useful life of existing products and materials.</t>
  </si>
  <si>
    <t xml:space="preserve">One point is awarded where no ozone-depleting substances are associated with either the manufacture or the composition of all thermal insulants in the project. </t>
  </si>
  <si>
    <t>Total L/day for Showers</t>
  </si>
  <si>
    <t>Current Project Phase:</t>
  </si>
  <si>
    <t>Postcode:</t>
  </si>
  <si>
    <t>Contact Person:</t>
  </si>
  <si>
    <t>Project Manager:</t>
  </si>
  <si>
    <t>Architect:</t>
  </si>
  <si>
    <t>Structural/Civil Engineer:</t>
  </si>
  <si>
    <t>Quantity Surveyor:</t>
  </si>
  <si>
    <t>Acoustic Consultant:</t>
  </si>
  <si>
    <t>Landscaping Consultant:</t>
  </si>
  <si>
    <t>Building Surveyor:</t>
  </si>
  <si>
    <t>Main Contractor:</t>
  </si>
  <si>
    <t>Local Planning Authority:</t>
  </si>
  <si>
    <t xml:space="preserve">•  4 Star Green Star Certified Rating recognises and rewards "Best Practice";  </t>
  </si>
  <si>
    <t>Points Available</t>
  </si>
  <si>
    <t>Points Achieved</t>
  </si>
  <si>
    <t>needs to read yes ONLY if they have been met.</t>
  </si>
  <si>
    <t>To encourage and recognise commissioning initiatives that ensure optimum occupant comfort and energy efficient services performance throughout the year.</t>
  </si>
  <si>
    <t>POINTS ACHIEVED:</t>
  </si>
  <si>
    <t>Weighted Score (achieved)</t>
  </si>
  <si>
    <t>Credits tbc</t>
  </si>
  <si>
    <t>% of credits tbc</t>
  </si>
  <si>
    <t>Weighted Score 
tbc</t>
  </si>
  <si>
    <t>Achieved + tbc credits</t>
  </si>
  <si>
    <t>% of achieved + tbc</t>
  </si>
  <si>
    <t>Potential weighted score</t>
  </si>
  <si>
    <t>Error check</t>
  </si>
  <si>
    <t>State list</t>
  </si>
  <si>
    <t>Land use &amp; Ecology</t>
  </si>
  <si>
    <t>Total</t>
  </si>
  <si>
    <t xml:space="preserve">State selected = </t>
  </si>
  <si>
    <t>Overall Score</t>
  </si>
  <si>
    <t>Scores required for GBRT Ratings</t>
  </si>
  <si>
    <t>Type of assessment</t>
  </si>
  <si>
    <t>No Rating</t>
  </si>
  <si>
    <t>Category Score Data</t>
  </si>
  <si>
    <t>New Building</t>
  </si>
  <si>
    <t>One Star</t>
  </si>
  <si>
    <t>Refurbished Building</t>
  </si>
  <si>
    <t>Two Star</t>
  </si>
  <si>
    <t>Pumps</t>
  </si>
  <si>
    <t>Lighting (tenant)</t>
  </si>
  <si>
    <t>Supplementary Cooling (tenant)</t>
  </si>
  <si>
    <t>SUB TOTALS (kWh/year)</t>
  </si>
  <si>
    <t>kWh/year</t>
  </si>
  <si>
    <t>To encourage and recognise developments that minimise stormwater run-off to, and the pollution of, the natural watercourses.</t>
  </si>
  <si>
    <t>Green Star SA rating tools use six stars to measure performance.  Projects that obtain a predicted rating of one, two or three stars are not eligible for formal certification.  Projects that obtain a predicted 4 Star rating or above are eligible to apply for formal certification, whereby a:</t>
  </si>
  <si>
    <r>
      <t>kgCO</t>
    </r>
    <r>
      <rPr>
        <vertAlign val="subscript"/>
        <sz val="10"/>
        <color indexed="9"/>
        <rFont val="Arial"/>
        <family val="2"/>
      </rPr>
      <t>2</t>
    </r>
    <r>
      <rPr>
        <sz val="10"/>
        <color indexed="9"/>
        <rFont val="Arial"/>
        <family val="2"/>
      </rPr>
      <t>/m²/year</t>
    </r>
  </si>
  <si>
    <r>
      <t>net saving kgCO</t>
    </r>
    <r>
      <rPr>
        <vertAlign val="subscript"/>
        <sz val="8"/>
        <color indexed="9"/>
        <rFont val="Arial"/>
        <family val="2"/>
      </rPr>
      <t>2</t>
    </r>
    <r>
      <rPr>
        <sz val="8"/>
        <color indexed="9"/>
        <rFont val="Arial"/>
        <family val="2"/>
      </rPr>
      <t>/m²/year</t>
    </r>
  </si>
  <si>
    <r>
      <t>net saving kgCO</t>
    </r>
    <r>
      <rPr>
        <vertAlign val="subscript"/>
        <sz val="8"/>
        <color indexed="9"/>
        <rFont val="Arial"/>
        <family val="2"/>
      </rPr>
      <t>2</t>
    </r>
    <r>
      <rPr>
        <sz val="8"/>
        <color indexed="9"/>
        <rFont val="Arial"/>
        <family val="2"/>
      </rPr>
      <t>/year</t>
    </r>
  </si>
  <si>
    <r>
      <t>fuel factor 
kgCO</t>
    </r>
    <r>
      <rPr>
        <vertAlign val="subscript"/>
        <sz val="8"/>
        <color indexed="9"/>
        <rFont val="Arial"/>
        <family val="2"/>
      </rPr>
      <t>2</t>
    </r>
    <r>
      <rPr>
        <sz val="8"/>
        <color indexed="9"/>
        <rFont val="Arial"/>
        <family val="2"/>
      </rPr>
      <t>/kWh</t>
    </r>
  </si>
  <si>
    <r>
      <t>fuel CO</t>
    </r>
    <r>
      <rPr>
        <vertAlign val="subscript"/>
        <sz val="10"/>
        <color indexed="9"/>
        <rFont val="Arial"/>
        <family val="2"/>
      </rPr>
      <t>2</t>
    </r>
    <r>
      <rPr>
        <sz val="10"/>
        <color indexed="9"/>
        <rFont val="Arial"/>
        <family val="2"/>
      </rPr>
      <t xml:space="preserve"> factor</t>
    </r>
  </si>
  <si>
    <t xml:space="preserve">Up to two points can be awarded for an innovation initiative where:
- The initiative is a technology or process that is considered a ‘first’ in South Africa or in the world; 
OR 
- The project substantially contributes to the broader market transformation towards sustainable development in South Africa or in the world.
Points for this credit are allocated as follows:
- One point is awarded when either of the above is true for the South African market; and
- Two points are awarded when either of the above is true for the global market.
Up to five innovation initiatives can be awarded points under this credit, but no individual initiative can achieve more than two points in this credit. Qualifying initiatives may achieve additional points in other Innovation credits; however, the maximum points available for any one building assessment under Inn-1, Inn-2 and Inn-3 is five (in total). </t>
  </si>
  <si>
    <t xml:space="preserve">Albany Alluvial Vegetation </t>
  </si>
  <si>
    <t>Fynbos Northwest Centre</t>
  </si>
  <si>
    <t>litres/day</t>
  </si>
  <si>
    <t>Note: Water saving devices are currently not rewarded for reducing energy use associated with hot water production.</t>
  </si>
  <si>
    <t>Hot water consumption per day per m2</t>
  </si>
  <si>
    <t>Hot water usage per day for usable area</t>
  </si>
  <si>
    <t>Efficiency factor to account for distribution losses</t>
  </si>
  <si>
    <t xml:space="preserve">Notional building energy use </t>
  </si>
  <si>
    <t>Hot water usage in Joules is:</t>
  </si>
  <si>
    <r>
      <t xml:space="preserve">DOMESTIC HOT WATER ENERGY USAGE </t>
    </r>
    <r>
      <rPr>
        <b/>
        <sz val="10"/>
        <color indexed="9"/>
        <rFont val="Arial"/>
        <family val="2"/>
      </rPr>
      <t>(notional building only)</t>
    </r>
  </si>
  <si>
    <r>
      <t xml:space="preserve">Up to two points are awarded where 95% of the project’s UA does not exceed the maximum internal noise levels recommended in SANS 10103:2004 as follows:
Building Services Design 
- One point is awarded where, within the entire base building general office space, noise from the building services does not exceed:
    40dBAeq for general office space
    45dBAeq for open plan office space (&gt;50m²)
Overall Building
- One point is awarded where within the base building office space, the </t>
    </r>
    <r>
      <rPr>
        <sz val="10"/>
        <rFont val="Arial"/>
        <family val="2"/>
      </rPr>
      <t>ambient sound level</t>
    </r>
    <r>
      <rPr>
        <sz val="10"/>
        <color indexed="8"/>
        <rFont val="Arial"/>
        <family val="2"/>
      </rPr>
      <t xml:space="preserve"> does not exceed:
    40dBAeq for general office space
    45dBAeq for open plan office space (&gt;50m²)</t>
    </r>
  </si>
  <si>
    <t>To encourage and recognise specification of interior finishes that minimise the contribution and levels of Volatile Organic Compounds in buildings.</t>
  </si>
  <si>
    <t>Maximum BW Supply Quantities</t>
  </si>
  <si>
    <t>Selected Demands (Check Boxes)</t>
  </si>
  <si>
    <t>Maximum GW Supply Quantities</t>
  </si>
  <si>
    <t>WATER BALANCE DEMAND ANALYSIS</t>
  </si>
  <si>
    <t>AMENITY CONSUMPTION/DEMAND</t>
  </si>
  <si>
    <t>Maximum L/day harvested (treated supply)</t>
  </si>
  <si>
    <t>Drop-down Output</t>
  </si>
  <si>
    <t>RW GW BW Decision</t>
  </si>
  <si>
    <t>Cooling T</t>
  </si>
  <si>
    <t>FS Testing</t>
  </si>
  <si>
    <t>WC &amp; Us</t>
  </si>
  <si>
    <t>S &amp; T</t>
  </si>
  <si>
    <t>Total Actual Demand</t>
  </si>
  <si>
    <t>Annual Maximum Non-Potable Demands &amp; Supply Breakdown</t>
  </si>
  <si>
    <t>% Supplied by Reused</t>
  </si>
  <si>
    <t>Total Monthly Effective use of Harvest Water</t>
  </si>
  <si>
    <t>Maximum RW &amp; SW Demand Quantity</t>
  </si>
  <si>
    <t>Supply of Effective Use to Demands</t>
  </si>
  <si>
    <t>% of required demand met by effective Rainwater/Stormwater harvest</t>
  </si>
  <si>
    <t>One point is awarded where: 
- All gas boilers have NOx emissions of &lt; 100 mg/kWh (at 0% excess O2); AND
- All generators comply with the Tier 3 emissions standards as defined by the United States Environmental Protection Agency (EPA) or the equivalent European Stage IIIA standard.
Where no boilers or generators are installed, this credit is 'Not Applicable' and is excluded from the points available, used to calculate the Emissions Category Score. Type 'na' in the No. of Points Achieved column.</t>
  </si>
  <si>
    <r>
      <t xml:space="preserve">Up to two points are awarded where it is demonstrated that user controls are provided for the base building heating, cooling and ventilation systems (where present) as follows:
</t>
    </r>
    <r>
      <rPr>
        <b/>
        <sz val="10"/>
        <color indexed="8"/>
        <rFont val="Arial"/>
        <family val="2"/>
      </rPr>
      <t>Naturally ventilated spaces</t>
    </r>
    <r>
      <rPr>
        <sz val="10"/>
        <color indexed="8"/>
        <rFont val="Arial"/>
        <family val="2"/>
      </rPr>
      <t xml:space="preserve">
User controls are defined as an individually controllable ventilation opening of not less than 0.75m², together with individual temperature control or thermostatic control to the local heat source (if a heating system is provided). 
- One point where user controls are provided every 30m²  of the UA; OR
- Two points where user controls are provided every 15m² of the UA.
</t>
    </r>
    <r>
      <rPr>
        <b/>
        <sz val="10"/>
        <color indexed="8"/>
        <rFont val="Arial"/>
        <family val="2"/>
      </rPr>
      <t>Mechanically ventilated spaces</t>
    </r>
    <r>
      <rPr>
        <sz val="10"/>
        <color indexed="8"/>
        <rFont val="Arial"/>
        <family val="2"/>
      </rPr>
      <t xml:space="preserve">
The base building HVAC system allows for tenant installation of user control of air supply rate, air temperature or mean radiant temperature:
- One point where user controls are provided every 30m²  of the UA; or
- Two points where user controls are provided every 15m² of the UA.
</t>
    </r>
    <r>
      <rPr>
        <b/>
        <sz val="10"/>
        <color indexed="8"/>
        <rFont val="Arial"/>
        <family val="2"/>
      </rPr>
      <t>Mixed-mode ventilated spaces</t>
    </r>
    <r>
      <rPr>
        <sz val="10"/>
        <color indexed="8"/>
        <rFont val="Arial"/>
        <family val="2"/>
      </rPr>
      <t xml:space="preserve">
For mixed-mode buildings, the above mechanical and natural ventilation user control criteria must be achieved.</t>
    </r>
  </si>
  <si>
    <t>Tra-1</t>
  </si>
  <si>
    <t>Tra-2</t>
  </si>
  <si>
    <t>Tra-3</t>
  </si>
  <si>
    <t>Tra-4</t>
  </si>
  <si>
    <t>Tra-5</t>
  </si>
  <si>
    <t>Wat-1</t>
  </si>
  <si>
    <t>Wat-2</t>
  </si>
  <si>
    <t>Wat-3</t>
  </si>
  <si>
    <t>Wat-4</t>
  </si>
  <si>
    <t>Wat-5</t>
  </si>
  <si>
    <t>Mat-1</t>
  </si>
  <si>
    <t>Mat-2</t>
  </si>
  <si>
    <t>Mat-3</t>
  </si>
  <si>
    <t>Mat-4</t>
  </si>
  <si>
    <t>Mat-5</t>
  </si>
  <si>
    <t>Mat-6</t>
  </si>
  <si>
    <t>Mat-7</t>
  </si>
  <si>
    <t>Mat-8</t>
  </si>
  <si>
    <t>Mat-9</t>
  </si>
  <si>
    <t>Mat-10</t>
  </si>
  <si>
    <t>Mat-11</t>
  </si>
  <si>
    <t xml:space="preserve">Eco- </t>
  </si>
  <si>
    <t>Eco-1</t>
  </si>
  <si>
    <t>Eco-2</t>
  </si>
  <si>
    <t>Eco-3</t>
  </si>
  <si>
    <t>Eco-4</t>
  </si>
  <si>
    <t>Emi-1</t>
  </si>
  <si>
    <t>Emi-2</t>
  </si>
  <si>
    <t>Emi-3</t>
  </si>
  <si>
    <t>Emi-4</t>
  </si>
  <si>
    <t>Emi-5</t>
  </si>
  <si>
    <t>Emi-6</t>
  </si>
  <si>
    <t>Emi-7</t>
  </si>
  <si>
    <t>Emi-8</t>
  </si>
  <si>
    <t>Emi-9</t>
  </si>
  <si>
    <t>Up to five points are available as follows:
Up to four points are awarded where the building outflows to the sewerage system due to building occupants’ usage have been reduced against an average-practice benchmark as follows:
- One point for a 30% reduction;
- Two points for a 50% reduction;
- Three points for a 70% reduction; or
- Four points for a 90% reduction.
The points are determined by the Green Star SA Sewage Calculator.</t>
  </si>
  <si>
    <t xml:space="preserve">     WC &amp; Urinal Flushing</t>
  </si>
  <si>
    <t xml:space="preserve">     Shower &amp; Taps (treated to potable)</t>
  </si>
  <si>
    <t>One point is awarded where:
At least 1% of the project’s total contract value is represented by reused products/materials.
This credit excludes materials specifically addressed by other credits (i.e. steel, concrete, PVC and timber); neither does it address the reuse of the original building(s) on the site (addressed in Mat-2 ‘Building Reuse’).</t>
  </si>
  <si>
    <t>All predicted recycled water consumption</t>
  </si>
  <si>
    <t>L/day/m2</t>
  </si>
  <si>
    <t>•  raise awareness of green building benefits;</t>
  </si>
  <si>
    <t xml:space="preserve">Type of fuel used </t>
  </si>
  <si>
    <t>Amount of fuel used (calorific value in kWh)</t>
  </si>
  <si>
    <t>Total Commercial Office GFA in m²:</t>
  </si>
  <si>
    <t>Total Gross Floor Area (GFA) in m²:</t>
  </si>
  <si>
    <t>Total Commercial Office Usable Area (UA) in m²:</t>
  </si>
  <si>
    <t xml:space="preserve">Saldanha Flats Strandveld </t>
  </si>
  <si>
    <t xml:space="preserve">Saldanha Granite Strandveld </t>
  </si>
  <si>
    <t xml:space="preserve">Saldanha Limestone Strandveld </t>
  </si>
  <si>
    <t>Highveld Alluvial Vegetation</t>
  </si>
  <si>
    <t xml:space="preserve">KwaZulu-Natal Coastal Belt </t>
  </si>
  <si>
    <t xml:space="preserve">Maputaland Coastal Belt </t>
  </si>
  <si>
    <t xml:space="preserve">Maputaland Wooded Grassland </t>
  </si>
  <si>
    <t xml:space="preserve">Pondoland-Natal Sandstone Coastal Sourveld </t>
  </si>
  <si>
    <t xml:space="preserve">Transkei Coastal Belt </t>
  </si>
  <si>
    <t xml:space="preserve">Amatole Mistbelt Grassland </t>
  </si>
  <si>
    <t xml:space="preserve">Amatole Montane Grassland </t>
  </si>
  <si>
    <t xml:space="preserve">Barberton Montane Grassland </t>
  </si>
  <si>
    <t xml:space="preserve">Drakensberg Afroalpine Heathland </t>
  </si>
  <si>
    <t xml:space="preserve">Drakensberg-Amatole Afromontane Fynbos </t>
  </si>
  <si>
    <t>After Sensitivity weighting</t>
  </si>
  <si>
    <t>Fire System Testing</t>
  </si>
  <si>
    <t xml:space="preserve">Springbokvlakte Thornveld </t>
  </si>
  <si>
    <t xml:space="preserve">Western Sandy Bushveld </t>
  </si>
  <si>
    <t xml:space="preserve">Zeerust Thornveld </t>
  </si>
  <si>
    <t>Category Score</t>
  </si>
  <si>
    <t>not weighted</t>
  </si>
  <si>
    <r>
      <t>Ene-1: Energy</t>
    </r>
    <r>
      <rPr>
        <sz val="10"/>
        <rFont val="Arial"/>
        <family val="2"/>
      </rPr>
      <t xml:space="preserve">
Commissioning has a significant influence on the actual energy performance of a building.</t>
    </r>
  </si>
  <si>
    <t>Predicted Water 
Consumption by Fixtures</t>
  </si>
  <si>
    <t>REDUCED SEWER DISCHARGE</t>
  </si>
  <si>
    <r>
      <t xml:space="preserve">20 </t>
    </r>
    <r>
      <rPr>
        <sz val="10"/>
        <color indexed="9"/>
        <rFont val="Arial"/>
        <family val="2"/>
      </rPr>
      <t>≤</t>
    </r>
    <r>
      <rPr>
        <sz val="8"/>
        <color indexed="9"/>
        <rFont val="Verdana"/>
        <family val="2"/>
      </rPr>
      <t xml:space="preserve"> R &lt; 25</t>
    </r>
  </si>
  <si>
    <r>
      <t xml:space="preserve">25 </t>
    </r>
    <r>
      <rPr>
        <sz val="10"/>
        <color indexed="9"/>
        <rFont val="Arial"/>
        <family val="2"/>
      </rPr>
      <t>≤</t>
    </r>
    <r>
      <rPr>
        <sz val="8"/>
        <color indexed="9"/>
        <rFont val="Verdana"/>
        <family val="2"/>
      </rPr>
      <t xml:space="preserve"> R &lt; 30</t>
    </r>
  </si>
  <si>
    <r>
      <t xml:space="preserve">30 </t>
    </r>
    <r>
      <rPr>
        <sz val="10"/>
        <color indexed="9"/>
        <rFont val="Arial"/>
        <family val="2"/>
      </rPr>
      <t>≤</t>
    </r>
    <r>
      <rPr>
        <sz val="8"/>
        <color indexed="9"/>
        <rFont val="Verdana"/>
        <family val="2"/>
      </rPr>
      <t xml:space="preserve"> R &lt; 35</t>
    </r>
  </si>
  <si>
    <r>
      <t xml:space="preserve">35 </t>
    </r>
    <r>
      <rPr>
        <sz val="10"/>
        <color indexed="9"/>
        <rFont val="Arial"/>
        <family val="2"/>
      </rPr>
      <t>≤</t>
    </r>
    <r>
      <rPr>
        <sz val="8"/>
        <color indexed="9"/>
        <rFont val="Verdana"/>
        <family val="2"/>
      </rPr>
      <t xml:space="preserve"> R &lt; 40</t>
    </r>
  </si>
  <si>
    <r>
      <t xml:space="preserve">40 </t>
    </r>
    <r>
      <rPr>
        <sz val="10"/>
        <color indexed="9"/>
        <rFont val="Arial"/>
        <family val="2"/>
      </rPr>
      <t>≤</t>
    </r>
    <r>
      <rPr>
        <sz val="8"/>
        <color indexed="9"/>
        <rFont val="Verdana"/>
        <family val="2"/>
      </rPr>
      <t xml:space="preserve"> R &lt; 45</t>
    </r>
  </si>
  <si>
    <r>
      <t xml:space="preserve">45 </t>
    </r>
    <r>
      <rPr>
        <sz val="10"/>
        <color indexed="9"/>
        <rFont val="Arial"/>
        <family val="2"/>
      </rPr>
      <t>≤</t>
    </r>
    <r>
      <rPr>
        <sz val="8"/>
        <color indexed="9"/>
        <rFont val="Verdana"/>
        <family val="2"/>
      </rPr>
      <t xml:space="preserve"> R &lt; 50</t>
    </r>
  </si>
  <si>
    <r>
      <t xml:space="preserve">50 </t>
    </r>
    <r>
      <rPr>
        <sz val="10"/>
        <color indexed="9"/>
        <rFont val="Arial"/>
        <family val="2"/>
      </rPr>
      <t>≤</t>
    </r>
    <r>
      <rPr>
        <sz val="8"/>
        <color indexed="9"/>
        <rFont val="Verdana"/>
        <family val="2"/>
      </rPr>
      <t xml:space="preserve"> R &lt; 55</t>
    </r>
  </si>
  <si>
    <r>
      <t xml:space="preserve">90 </t>
    </r>
    <r>
      <rPr>
        <sz val="10"/>
        <color indexed="9"/>
        <rFont val="Arial"/>
        <family val="2"/>
      </rPr>
      <t>≤</t>
    </r>
    <r>
      <rPr>
        <sz val="8"/>
        <color indexed="9"/>
        <rFont val="Verdana"/>
        <family val="2"/>
      </rPr>
      <t xml:space="preserve"> R &lt; 95</t>
    </r>
  </si>
  <si>
    <r>
      <t xml:space="preserve">95 </t>
    </r>
    <r>
      <rPr>
        <sz val="10"/>
        <color indexed="9"/>
        <rFont val="Arial"/>
        <family val="2"/>
      </rPr>
      <t>≤</t>
    </r>
    <r>
      <rPr>
        <sz val="8"/>
        <color indexed="9"/>
        <rFont val="Verdana"/>
        <family val="2"/>
      </rPr>
      <t xml:space="preserve"> R &lt; 100</t>
    </r>
  </si>
  <si>
    <t>b) Urinals on Auto-Timer Flush</t>
  </si>
  <si>
    <t>Total L/day for auto-timer flush Urinals</t>
  </si>
  <si>
    <t>Number of urinal visits (total occupants)</t>
  </si>
  <si>
    <t>Auto ERROR message</t>
  </si>
  <si>
    <t>Total L/day for ALL Urinals</t>
  </si>
  <si>
    <t>Ave. L/flush</t>
  </si>
  <si>
    <t>Total Ave.F/Day</t>
  </si>
  <si>
    <r>
      <t>L/day/m</t>
    </r>
    <r>
      <rPr>
        <vertAlign val="superscript"/>
        <sz val="10"/>
        <rFont val="HelveticaNeue-Roman"/>
      </rPr>
      <t>2</t>
    </r>
  </si>
  <si>
    <t>TOTAL AMENITY DEMAND</t>
  </si>
  <si>
    <r>
      <t xml:space="preserve">Are there any other recycled/harvested water demands in the project?
</t>
    </r>
    <r>
      <rPr>
        <sz val="10"/>
        <color indexed="9"/>
        <rFont val="Arial"/>
        <family val="2"/>
      </rPr>
      <t>Enter recycled water demand only, disregard potable water use. This is to determine the availability of recycled/reused/harvested water for occupant amenity (i.e. fixtures and fittings) purposes.</t>
    </r>
  </si>
  <si>
    <t>OTHER PREDICTED RECYCLED/HARVESTED WATER DEMANDS/CONSUMPTION</t>
  </si>
  <si>
    <t>Results of tick boxes at left</t>
  </si>
  <si>
    <t>Demands from tick boxes at left (kL/day)</t>
  </si>
  <si>
    <t>External Areas (excluding Car Parking) in m²:</t>
  </si>
  <si>
    <t>Province:</t>
  </si>
  <si>
    <t>Total Blackwater Inflow/Resource (L)</t>
  </si>
  <si>
    <t>Total Greywater Inflow/Resource (L)</t>
  </si>
  <si>
    <t>Rainfall Runoff Co-efficients</t>
  </si>
  <si>
    <t xml:space="preserve">Tembe Sandy Bushveld </t>
  </si>
  <si>
    <t xml:space="preserve">Tsende Mopaneveld </t>
  </si>
  <si>
    <t xml:space="preserve">Tzaneen Sour Lowveld </t>
  </si>
  <si>
    <t xml:space="preserve">Western Maputaland Sandy Bushveld </t>
  </si>
  <si>
    <t xml:space="preserve">Western Maputuland Clay Bushveld </t>
  </si>
  <si>
    <t xml:space="preserve">Zululand Coastal Thornveld </t>
  </si>
  <si>
    <t xml:space="preserve">Zululand Lowveld </t>
  </si>
  <si>
    <t xml:space="preserve">Mountain Bushveld </t>
  </si>
  <si>
    <t xml:space="preserve">Andesite Mountain Bushveld </t>
  </si>
  <si>
    <t xml:space="preserve">Barberton Serpentine Sourveld </t>
  </si>
  <si>
    <t xml:space="preserve">Gauteng Shale Mountain Bushveld </t>
  </si>
  <si>
    <t>To encourage and recognise systems that effectively deliver optimum air quality to any occupant throughout the occupied area.</t>
  </si>
  <si>
    <t>Up to two points are awarded where:
A significant portion of the office UA has a direct line of sight to the outdoors or into an adequately sized and day-lit atrium: 
- One point for 60% of the UA; or
- Two points for 80% of the UA.</t>
  </si>
  <si>
    <t xml:space="preserve">Green Star SA - Office v1 validates the environmental initiatives of new commercial office buildings or base building commercial office refurbishments.  </t>
  </si>
  <si>
    <t>What does Green Star SA - Office v1 do?</t>
  </si>
  <si>
    <t>Who can use Green Star SA - Office v1?</t>
  </si>
  <si>
    <t>What does Green Star SA - Office  v1 do?</t>
  </si>
  <si>
    <t>Greenfields/ Brownfields</t>
  </si>
  <si>
    <t>Before Sensitivity weighting</t>
  </si>
  <si>
    <t xml:space="preserve">Langebaan Dune Strandveld </t>
  </si>
  <si>
    <t xml:space="preserve">Up to three points are awarded as follows:
One point is awarded for:
A building predominantly framed in structural steel (&gt;50% by cost compared with the reinforced/precast/stressed concrete framing component), one point is awarded where: 60% of all structural steel, by mass, in the project either has a post-consumer recycled content greater than 40%, or is reused. 
OR
A building predominantly framed in reinforced/precast/stressed concrete (&gt;50% by cost compared with the structural steel framing component), one point is awarded where: 60% of all reinforcing/stressing steel, by mass, in the project either has a post-consumer recycled content greater than 90%, or is reused. 
</t>
  </si>
  <si>
    <t>An additional two points are awarded where: 90% of all steel (total of structural steel, reinforcing/stressing steel and steel products), by mass, in the project either has a post-consumer recycled content greater than 60%, or is reused. 
If the material cost of steel represents less than 1% of the project’s total contract value, this credit is ‘Not Applicable’ and is excluded from the points available, used to calculate the Materials Category Score. Type 'na' in the No. of Points Achieved column.</t>
  </si>
  <si>
    <t>Two points are available as follows:
One point is awarded where 50% (by cost) of all timber products used in the building and construction works have been sourced from any combination of the following:
- Reused timber;
- Post-consumer recycled timber; or
- Forest Stewardship Council (FSC) Certified Timber.
An additional point is awarded where 95% (by cost) of all timber products used in the building and construction works satisfy the abovementioned sourcing criteria.
If the material cost of timber represents less than 0.1% of the project’s total contract value then this credit is ‘Not Applicable’ and is excluded from the points available, used to calculate the Materials Category Score. Type 'na' in the No. of Points Achieved column.</t>
  </si>
  <si>
    <t>The use of Green Star SA - Office v1 without formal certification by the GBCSA does not entitle the user or any other party to promote the Green Star rating achieved.  No fee is payable to the GBCSA for such use, however formal recognition of the Green Star SA rating - and the right to promote the same - requires undertaking the formal certification process offered by the GBCSA.</t>
  </si>
  <si>
    <t>One point is awarded where:
There are no evaporative cooling towers or other evaporative cooling systems serving the building.</t>
  </si>
  <si>
    <t>To encourage and recognise the reduction of embodied energy and resource depletion occurring through use of concrete.</t>
  </si>
  <si>
    <t>STATE BASED WEIGHTING FACTORS</t>
  </si>
  <si>
    <t>Category</t>
  </si>
  <si>
    <t>Weighting</t>
  </si>
  <si>
    <t>Max Score per category</t>
  </si>
  <si>
    <t>The Green Star rating system was created to:</t>
  </si>
  <si>
    <t>RECYCLED/HARVESTED WATER DEMAND FOR IRRIGATION (L/day)</t>
  </si>
  <si>
    <t>RECYCLED/HARVESTED WATER DEMAND FOR COOLING TOWERS (L/day)</t>
  </si>
  <si>
    <t>RECYCLED/HARVESTED WATER DEMAND FOR FIRE SYSTEM TESTING (L/day)</t>
  </si>
  <si>
    <t>Non-absorbent roof (&gt; 30 pitch)</t>
  </si>
  <si>
    <t>Flat non-absorbent roof (&lt;30 Pitch)</t>
  </si>
  <si>
    <t>Flushes per day</t>
  </si>
  <si>
    <t>No. of Cisterns</t>
  </si>
  <si>
    <t>Tap type</t>
  </si>
  <si>
    <t>input by project</t>
  </si>
  <si>
    <t xml:space="preserve">times flushing per day based on flushing </t>
  </si>
  <si>
    <t>Calc 
(3%)</t>
  </si>
  <si>
    <t>Shower Demand
(3%)</t>
  </si>
  <si>
    <t xml:space="preserve">minutes per person per business day. </t>
  </si>
  <si>
    <t xml:space="preserve">Showers for 3% of staff </t>
  </si>
  <si>
    <t>Corrected error in 'Energy Calculator' caused by missing calculation cells. Removed reference to Green Star SA - Retail Centre v1 Technical Manual in 'Energy' sheet.</t>
  </si>
  <si>
    <r>
      <t>Cladding</t>
    </r>
    <r>
      <rPr>
        <sz val="10"/>
        <rFont val="Arial"/>
        <family val="2"/>
      </rPr>
      <t xml:space="preserve">
25% of the roof cladding area has a dual function (e.g. roof garden substrate or photovoltaic shingles serve as cladding); OR
25% of the façade cladding area has a dual function (e.g. photovoltaic panels serve as cladding).</t>
    </r>
  </si>
  <si>
    <t>To encourage and recognise office buildings that are integrated with or built adjacent to community amenities and/or dwellings in order to reduce the overall number of automobile trips taken by building users.</t>
  </si>
  <si>
    <t>Up to two points are awarded as follows:
- One point where 50% of the fluorocarbon refrigerant charge has been replaced with refrigerant(s) that have a Global Warming Potential (GWP) of 10 or less; or
- Two points where all refrigerants have a GWP of 10 or less OR where no refrigerants are used at all.</t>
  </si>
  <si>
    <t xml:space="preserve">Northern Knersvlakte Vygieveld </t>
  </si>
  <si>
    <t xml:space="preserve">Northern Richtersveld Scorpionstailveld </t>
  </si>
  <si>
    <t xml:space="preserve">Richtersveld Western Foothill Shrubland </t>
  </si>
  <si>
    <t xml:space="preserve">Riethuis Quartz Vygieveld </t>
  </si>
  <si>
    <t>Percentage of indoor taps used for greywater collection</t>
  </si>
  <si>
    <t xml:space="preserve">Percentage of showers used for greywater collection </t>
  </si>
  <si>
    <t>Selections</t>
  </si>
  <si>
    <t>Factors</t>
  </si>
  <si>
    <t>Calculation</t>
  </si>
  <si>
    <t>Unit or description</t>
  </si>
  <si>
    <t xml:space="preserve">North Rooiberg Sandstone Fynbos </t>
  </si>
  <si>
    <t xml:space="preserve">North Swartberg Sandstone Fynbos </t>
  </si>
  <si>
    <t xml:space="preserve">South Kammanassie Sandstone Fynbos </t>
  </si>
  <si>
    <t>Gauteng</t>
  </si>
  <si>
    <t>W Cape</t>
  </si>
  <si>
    <t>E Cape</t>
  </si>
  <si>
    <t>KZN</t>
  </si>
  <si>
    <t>N Cape</t>
  </si>
  <si>
    <t>Limpopo</t>
  </si>
  <si>
    <t>N West</t>
  </si>
  <si>
    <t>Free State</t>
  </si>
  <si>
    <t>To encourage and recognise the environmental advantages gained, in the form of reduced transportation emissions, by using materials and products that are sourced within close proximity to the site.</t>
  </si>
  <si>
    <t xml:space="preserve">Error Message = </t>
  </si>
  <si>
    <t>Man-3</t>
  </si>
  <si>
    <t xml:space="preserve">Northern Richtersveld Red Duneveld </t>
  </si>
  <si>
    <t xml:space="preserve">Northern Richtersveld Sandveld </t>
  </si>
  <si>
    <t xml:space="preserve">Northern Richtersveld Yellow Duneveld </t>
  </si>
  <si>
    <t xml:space="preserve">Richtersveld Coastal Duneveld </t>
  </si>
  <si>
    <t xml:space="preserve">Richtersveld White Duneveld </t>
  </si>
  <si>
    <t xml:space="preserve">Southern Richtersveld Red Duneveld </t>
  </si>
  <si>
    <t xml:space="preserve">Southern Richtersveld Sandveld </t>
  </si>
  <si>
    <t xml:space="preserve">Southern Richtersveld Yellow Duneveld </t>
  </si>
  <si>
    <t xml:space="preserve">Southern Coastal Forest </t>
  </si>
  <si>
    <t>West Coast Sandveld</t>
  </si>
  <si>
    <t>West Strandveld</t>
  </si>
  <si>
    <t xml:space="preserve">Northern Afrotemperate Forest </t>
  </si>
  <si>
    <t xml:space="preserve">Northern Mistbelt Forest </t>
  </si>
  <si>
    <t>Western Lowland Karoo</t>
  </si>
  <si>
    <t xml:space="preserve">Scarp Forest </t>
  </si>
  <si>
    <t>Western Mountain Shrubland</t>
  </si>
  <si>
    <t>Southern Afrotemperate Forest</t>
  </si>
  <si>
    <t>Western Upland Karoo</t>
  </si>
  <si>
    <t xml:space="preserve">Southern Mistbelt Forest </t>
  </si>
  <si>
    <t>Wetland Forest</t>
  </si>
  <si>
    <t xml:space="preserve">Lowveld Riverine Forest </t>
  </si>
  <si>
    <t xml:space="preserve">Mangrove Forest </t>
  </si>
  <si>
    <t>Swamp Forest</t>
  </si>
  <si>
    <t xml:space="preserve">Fynbos Alluvial Vegetation </t>
  </si>
  <si>
    <t xml:space="preserve">Cape Lowland Alluvial Vegetation </t>
  </si>
  <si>
    <t xml:space="preserve">Fynbos Kamiesberg Centre </t>
  </si>
  <si>
    <t xml:space="preserve">Kamiesberg Granite Fynbos </t>
  </si>
  <si>
    <t xml:space="preserve">Fynbos Karoo Mountain Centre </t>
  </si>
  <si>
    <t xml:space="preserve">Cango Conglomerate Fynbos </t>
  </si>
  <si>
    <t>M76*P83</t>
  </si>
  <si>
    <t>Up to two points are awarded where it is demonstrated that the building has reduced its peak electrical demand load on electricity infrastructure as follows:
One point where:
- Peak electrical demand is actively reduced by 15%; 
OR 
- The difference between the peak and average demand does not exceed 40%.
Two points where:
- Peak electrical demand is actively reduced by 30%;
OR 
- The difference between the peak and average demand does not exceed 20%.</t>
  </si>
  <si>
    <t>To encourage and recognise designs that provide ample amounts of outside air to counteract build-up of indoor pollutants.</t>
  </si>
  <si>
    <t>To encourage and recognise building systems design that minimises environmental damage from refrigerant leaks.</t>
  </si>
  <si>
    <t xml:space="preserve">Hantam Plateau Dolerite Bulb Veld </t>
  </si>
  <si>
    <t xml:space="preserve">Namaqualand Granite Renosterveld </t>
  </si>
  <si>
    <t xml:space="preserve">Roggeveld Shale Renosterveld </t>
  </si>
  <si>
    <t xml:space="preserve">Renosterveld Mountain Centre </t>
  </si>
  <si>
    <t xml:space="preserve">Ceres Shale Renosterveld </t>
  </si>
  <si>
    <t xml:space="preserve">Matjiesfontein Shale Renosterveld </t>
  </si>
  <si>
    <t xml:space="preserve">Montagu Shale Renosterveld </t>
  </si>
  <si>
    <t>Achieved</t>
  </si>
  <si>
    <t>tbc</t>
  </si>
  <si>
    <t>Three Star</t>
  </si>
  <si>
    <t xml:space="preserve">Type selected = </t>
  </si>
  <si>
    <t>Four Star</t>
  </si>
  <si>
    <t xml:space="preserve"> L/minute</t>
  </si>
  <si>
    <t>varies</t>
  </si>
  <si>
    <t>Predicted Recycled/Harvested Water available to Fixtures</t>
  </si>
  <si>
    <r>
      <t>Finishes</t>
    </r>
    <r>
      <rPr>
        <sz val="10"/>
        <rFont val="Arial"/>
        <family val="2"/>
      </rPr>
      <t xml:space="preserve">
95% of all base building floor material is exposed structure with no covering (e.g. exposed sealed concrete floor); OR
95% of all base building ceiling is exposed structure (and services, where relevant) with no cladding (e.g. exposed concrete ceiling). </t>
    </r>
  </si>
  <si>
    <t>Mechanical Engineer:</t>
  </si>
  <si>
    <t>Wet Services Engineer:</t>
  </si>
  <si>
    <t>Fire Systems Engineer:</t>
  </si>
  <si>
    <t xml:space="preserve">South Rooiberg Sandstone Fynbos </t>
  </si>
  <si>
    <t xml:space="preserve">South Swartberg Sandstone Fynbos </t>
  </si>
  <si>
    <t xml:space="preserve">Northern KwaZulu-Natal Shrubland </t>
  </si>
  <si>
    <t xml:space="preserve">Northern Zululand Mistbelt Grassland </t>
  </si>
  <si>
    <t xml:space="preserve">Queenstown Thornveld </t>
  </si>
  <si>
    <t xml:space="preserve">Up to two points are awarded independently of each other as follows:
One point is awarded where it is demonstrated that:
The contractor implements a comprehensive, project-specific Environmental Management Plan (EMP) for the works in accordance with Section 3 of the New South Wales (Australia) Environmental Management System guidelines 2007.
</t>
  </si>
  <si>
    <t xml:space="preserve">One point is awarded where it is demonstrated that:
The Contractor has valid ISO14001 Environmental Management System (EMS) accreditation prior to and throughout the project. 
</t>
  </si>
  <si>
    <t>Split Man-6 credit to allow for a divide in achievable points.</t>
  </si>
  <si>
    <t>Base building on site electricity generation</t>
  </si>
  <si>
    <t>Overall Generation Efficiency</t>
  </si>
  <si>
    <r>
      <t>kWh/m</t>
    </r>
    <r>
      <rPr>
        <sz val="10"/>
        <color indexed="9"/>
        <rFont val="Arial"/>
        <family val="2"/>
      </rPr>
      <t>²</t>
    </r>
    <r>
      <rPr>
        <sz val="10"/>
        <color indexed="9"/>
        <rFont val="Arial"/>
        <family val="2"/>
      </rPr>
      <t>/year</t>
    </r>
  </si>
  <si>
    <t>Added Mpumalanga to 'Building Input' tab.</t>
  </si>
  <si>
    <t>Corrected error in 'Energy Calculator' relating to 'on site generation' calculations.</t>
  </si>
  <si>
    <t>Round 1 Pre-Submission Checklist</t>
  </si>
  <si>
    <t>Green Star SA Project Submission - Applicant Declaration</t>
  </si>
  <si>
    <t>*This page must be printed and signed by the project applicant, and included in the general section of the project submission for Round 1 and Round 2.</t>
  </si>
  <si>
    <t>Administration</t>
  </si>
  <si>
    <t>Signed Certification Agreement has been received by the GBCSA</t>
  </si>
  <si>
    <t>Please Confirm</t>
  </si>
  <si>
    <t>The correct and full assessment fee has been received by the GBCSA</t>
  </si>
  <si>
    <t>No Credit Interpretation Requests or Technical Clarifications are outstanding</t>
  </si>
  <si>
    <t>The latest version of the GSSA rating tool has been used</t>
  </si>
  <si>
    <t>Eligibility</t>
  </si>
  <si>
    <t>In the projects opinion, the project meets the following Eligibility Criteria:</t>
  </si>
  <si>
    <t>Eligibility Criteria 1: Spatial differentiation</t>
  </si>
  <si>
    <t>Eligibility Criteria 2: Space use</t>
  </si>
  <si>
    <t>Submission content and presentation</t>
  </si>
  <si>
    <t>All files are in PDF format only and unlocked, in one layer.</t>
  </si>
  <si>
    <t>Within each category folder, one merged PDF file is provided for each credit targetted</t>
  </si>
  <si>
    <t>Bookmarks have been added for each documentation requirement in the individual credit pdf files</t>
  </si>
  <si>
    <t>A completed Green Star SA Excel spreadsheet (for the relevant tool) is included</t>
  </si>
  <si>
    <t>Credit cover sheets (based on the template provided) are included for each credit</t>
  </si>
  <si>
    <t>All reports, letters and drawings referring to the project are on a letterhead and signed where stipulated or where they confirm a commitment</t>
  </si>
  <si>
    <t>Drawings are not in draft form and where applicable carry the "Tender", "For Construction" or “As Built’ stamp/status</t>
  </si>
  <si>
    <t>Specifications are not in draft format</t>
  </si>
  <si>
    <t>All relevant information is included within the credit it supports. (Appendices for each credit can be included, but they must be within the credit itself, clearly referenced within the documentation and have relevant sections highlighted.)</t>
  </si>
  <si>
    <r>
      <t xml:space="preserve">All relevant communication with the GBCSA is included </t>
    </r>
    <r>
      <rPr>
        <sz val="11"/>
        <color theme="1"/>
        <rFont val="Arial Narrow"/>
        <family val="2"/>
      </rPr>
      <t xml:space="preserve">(including CIR Rulings and Technical Clarifications relevant to this project) </t>
    </r>
  </si>
  <si>
    <t>All drawings are still legible after scaling (especially small stamps, monitors/sensors etc.)</t>
  </si>
  <si>
    <t>All inputs are consistent throughout the submission. (E.g. the fresh air rates claimed in IEQ-1 Ventilation Rates are consistent with Energy modelling in Ene-1. Assessors will not award points and will require conformation where there are inconsistencies.)</t>
  </si>
  <si>
    <t>Submission for each credit includes all documentation stipulated in the Technical Manual and the TC/CIR portal on the GBCSA website</t>
  </si>
  <si>
    <t>All credits claiming “na” have the required supporting documentation</t>
  </si>
  <si>
    <t xml:space="preserve">CD/DVD cover and CD/DVD, communicates the official project name, project reference number, project address, Green Star SA Tool, contact person’s details, submission round and date. </t>
  </si>
  <si>
    <t xml:space="preserve">Folders are included within the digital submission (CD’s) and correspond to the Green Star SA categories and are in the correct order, following the categories and credits. </t>
  </si>
  <si>
    <t>All documents are orientated in the same direction</t>
  </si>
  <si>
    <t>The AP declaration has been signed and submitted with the submission</t>
  </si>
  <si>
    <t>Submission delivery</t>
  </si>
  <si>
    <t>Four digital copies (four CDs) have been prepared for the submission</t>
  </si>
  <si>
    <r>
      <rPr>
        <b/>
        <sz val="10"/>
        <rFont val="Arial"/>
        <family val="2"/>
      </rPr>
      <t>Note:</t>
    </r>
    <r>
      <rPr>
        <sz val="10"/>
        <rFont val="Arial"/>
        <family val="2"/>
      </rPr>
      <t xml:space="preserve"> If any of the above have not been complied with, the GBCSA reserves the right to return submission documentation to the project for re-submission and compliance with the above.</t>
    </r>
  </si>
  <si>
    <t>Please complete the white cells only below, and submit the completed submission only if all aspects have been addressed.</t>
  </si>
  <si>
    <t>Round 2 Pre-Submission Checklist</t>
  </si>
  <si>
    <t>Eligibility has been established and all conditional requirements have been met OR any eligibility issues raised in Round 1 have been addressed</t>
  </si>
  <si>
    <t xml:space="preserve">All comments from Round 1 have been clearly addressed; new information and/or new credits are highlighted. </t>
  </si>
  <si>
    <t xml:space="preserve">Name: ___________________________________      Company: ___________________________________    </t>
  </si>
  <si>
    <t xml:space="preserve">Signature of Applicant: ___________________________________                        </t>
  </si>
  <si>
    <t>R1 &amp; R2 Pre-Submission checklists added. Applicant Declaration added.</t>
  </si>
  <si>
    <t xml:space="preserve">The Green Building Council of South Africa (GBCSA) aims to ensure that every Green Star SA submission is of a good quality and reflects the appropriate correct and true contractual documents on the project (whether they are Design or As Built project contractual documents). In this regard, the GBCSA requires that all Green Star SA project applicants sign this acknowledgement and declaration letter. 
Acknowledgement and declaration by the Green Star SA project applicant:
I/We,___________________________________________________, the person/s responsible for compiling the Green Star SA submission on behalf of ________________________________________________ (the Applicant), confirm that I/we have taken due care, and acknowledge and declare that (to the best of my/our knowledge):
1. I/We have read and understood the relevant technical manual, the conditions of certification and any relevant Technical Clarifications, Errata and Credit Interpretation Requests. 
2. All documentation submitted by me/us on behalf of the Applicant towards this Green Star SA submission has been verified by the appropriate professional/s as being true, correct and accurate.
3. All documentation submitted by me/us on behalf of the Applicant complies with all applicable legislation.
4. All documents and reports submitted to me/us by the Applicant's project team are true and correct and accurately reflect the project’s contractual documentation (whether for a Design or As Built submission).
5. All documents and reports which I/we have prepared for the submission are true and correct and accurately reflect the project’s contractual documentation (whether for a Design or As Built submission).
6. I/We have disclosed all applicable information relevant to the Application and undertake to disclose any further information that may influence the Application.
Where the GBCSA identifies any serious or systematic non-conformances on project documentation in a submission from the Applicant, the GBCSA has the right to query such non-conformance/s with the Applicant, at which point the Applicant is required to investigate this further with its project team, and provide a written response to the GBCSA by no later than 7 (seven) business days from the date on which the query was made to the Applicant by the GBCSA. If the response from the Applicant confirms that the information provided was incorrect, the Applicant's project team can:
a) For a Round 1 submission re-submit the correct information in Round 2 (as per assessor comments) or clarify that the information is not available and concede the point in Round 2
b) For a Round 2 submission, confirm to the GBCSA the incorrect nature of the information submitted, in which event the incorrect information will be excluded from the submission documents counted in the Round 2 results.
If the response from the Applicant confirms that the information provided was correct, the Applicant's project team can, on behalf of the Applicant:
c) In a Round 1 submission re-submit the correct information in Round 2.
d) In a Round 2 submission, notify the GBCSA that such information was in fact correct, in which event the GBCSA will run this by the assessors for a final review before the results are published. 
Where these processes are not followed and the relevant submission documents remain under question, the GBCSA will notify the Applicant, and the credit/s to which this information relates will be unobtainable. Where this incomplete process occurs more than once, with the Applicant, the GBCSA reserves the right not to accept any further submissions from this Applicant in future. At the first instance where this incomplete process occurs, the Applicant will be placed on twelve (12) months’ probation, during which time any similar infringement would allow the GBCSA to exercise its right to not accept any further submissions from the Applicant. Further to this, where the Applicant is a Green Star SA Accredited Professional (GSSA AP), the GBCSA reserves the right to remove the Applicant’s GSSA AP qualification and remove them from the GSSA AP registry on the GBCSA’s website. 
Signature: ___________________________________    Date: ___________________________________     
Name: ___________________________________      Company: ___________________________________    
Signature of Applicant’s line manager warranting that s/he is duly authorised: ___________________________________                        
Name of Applicant’s line manager warranting that s/he is duly authorised: ___________________________________       
</t>
  </si>
  <si>
    <t>Eligibility Criteria 3: Conditional requirements (project meets Ene-0 and Eco-0 conditional requirements)</t>
  </si>
  <si>
    <t>Eligibility Criteria 4: Timing of Certification (project must be certified within 24 months of practical completion)</t>
  </si>
  <si>
    <t>Relevant sections of the documentation and drawings have been highlighted to draw the assessors attention to relevant information</t>
  </si>
  <si>
    <t>A general section is included to provide an overview of the project. (It should include architectural drawings, elevations, site plans and complete area summary table for GFA and UA)</t>
  </si>
  <si>
    <t xml:space="preserve">The project team acknowledges that the design meets the conditional requirements as stipulated in the Green Star SA Office v1 Technical Manual. Green Star SA projects are only eligible for formal certification by the GBCSA when ALL Eligibility Criterion (and Conditional Requirements) are met. Please refer to the Technical Manual for further information. </t>
  </si>
  <si>
    <t>The project team acknowledges that the design does NOT meet the conditional requirements as stipulated in the Green Star SA Office v1 Technical Manual. This Green Star SA project is therefore NOT eligible for formal certification by the GBCSA. Please refer to the Technical Manual for further information.</t>
  </si>
  <si>
    <t xml:space="preserve">Deleted "Retail Centre" and replaced with "Office" in the ECO-0 Conditional requirement comments </t>
  </si>
  <si>
    <t>Added Revised credit criteria for EMI-05 Water Pollution applicable for all projects registered after 08 November 2012</t>
  </si>
  <si>
    <t>Error corrected in potable water calculator with respect to links to sewage calculator.</t>
  </si>
  <si>
    <r>
      <t xml:space="preserve">Up to three points are awarded as follows (revised criteria for projects registered after 08 November 2012 is in </t>
    </r>
    <r>
      <rPr>
        <i/>
        <sz val="11"/>
        <rFont val="Arial"/>
        <family val="2"/>
      </rPr>
      <t>Italic</t>
    </r>
    <r>
      <rPr>
        <sz val="10"/>
        <rFont val="Arial"/>
        <family val="2"/>
      </rPr>
      <t xml:space="preserve">): 
One point is awarded where the development does not increase peak stormwater flows for rainfall events of up to a 1-in-2 year storm.
</t>
    </r>
    <r>
      <rPr>
        <i/>
        <sz val="10"/>
        <rFont val="Arial"/>
        <family val="2"/>
      </rPr>
      <t xml:space="preserve">
</t>
    </r>
    <r>
      <rPr>
        <i/>
        <sz val="11"/>
        <rFont val="Arial"/>
        <family val="2"/>
      </rPr>
      <t>One point is awarded where:</t>
    </r>
    <r>
      <rPr>
        <sz val="11"/>
        <rFont val="Arial"/>
        <family val="2"/>
      </rPr>
      <t xml:space="preserve">
</t>
    </r>
    <r>
      <rPr>
        <i/>
        <sz val="11"/>
        <rFont val="Arial"/>
        <family val="2"/>
      </rPr>
      <t>- The development does not increase (pre-development) peak stormwater flows for rainfall events of up to a 1-in-2 year storm;
AND
- The Total Suspended Solids (TSS) are reduced by 80% for the runoff volume resulting from the 1-in-2 year storm;
AND
- Litter, oil and grease are trapped at source.</t>
    </r>
    <r>
      <rPr>
        <sz val="10"/>
        <rFont val="Arial"/>
        <family val="2"/>
      </rPr>
      <t xml:space="preserve">
</t>
    </r>
  </si>
  <si>
    <r>
      <t xml:space="preserve">One point is awarded where all stormwater leaving the site, at any time up to a 1-in-20 year storm event, is treated or filtered in accordance with either:
    &gt; CSIRO Urban Stormwater: Best Practice Environmental Management Guidelines
    OR
    &gt; Australian and New Zealand Environment Conservation Council (ANZECC)’s Guidelines for Urban Stormwater Management.
</t>
    </r>
    <r>
      <rPr>
        <i/>
        <sz val="11"/>
        <rFont val="Arial"/>
        <family val="2"/>
      </rPr>
      <t>One point is awarded where:
- The development does not increase (pre-development) peak stormwater flows for rainfall events of up to a 1-in-20 year storm;
AND
- Litter, oil and grease are trapped at source.</t>
    </r>
  </si>
  <si>
    <r>
      <t xml:space="preserve">An additional point is awarded where:
- Both of the above points are achieved; AND
- A riparian buffer zone that has three separate zones of pollution buffering is installed within 9 meters of a waterway or natural watercourse and the development. 
Where the project site does not contain or is not immediately adjacent to a waterway, the additional point is ‘Not Applicable’ and is excluded from the points available, used to calculate the Emissions Category Score. Type 'na' in the No. of Points Achieved column.
</t>
    </r>
    <r>
      <rPr>
        <i/>
        <sz val="11"/>
        <rFont val="Arial"/>
        <family val="2"/>
      </rPr>
      <t>One point is awarded where:
- The runoff volume resulting from the 1 day rainfall, that is equalled or exceeded on average 3 times per year, is either captured and re-used on-site or infiltrated within the site;
AND
- Litter, oil and grease are trapped at source.</t>
    </r>
  </si>
  <si>
    <t>Todays Date:</t>
  </si>
  <si>
    <t>Construction Commencement Date:</t>
  </si>
  <si>
    <t>Fully Registered Date:</t>
  </si>
  <si>
    <t>Practical Completion Date:</t>
  </si>
  <si>
    <t>Site Handover Date:</t>
  </si>
  <si>
    <t xml:space="preserve">Each page of all documents must be marked by use of a label indicating what Documentation Requirement it is supporting </t>
  </si>
  <si>
    <t>A general section is included to provide an overview of the project. (It should include architectural drawings, elevations, site plans, complete area summary table for GFA and UA, and 2 x images/renderings of the project)</t>
  </si>
  <si>
    <t xml:space="preserve">Added in R1 and R2 Pre-Submission Checklist that all documents (each page) is labelled to indicate which Documentation Requirement it is submitted towards. 
Added several dates under Building Input.
Added in R2 Pre-Submission Checklist that project team must submit 2 x images/renderings of project in the general section
Added extra space for additional descriptions of sanitary fittings in Potable Water Calculator. </t>
  </si>
  <si>
    <t xml:space="preserve">Corrected error in the Potable Water Calculator calculations </t>
  </si>
  <si>
    <t>Last Modified: 25 November 2013</t>
  </si>
  <si>
    <t>Predicted Sustainabble Water Sources</t>
  </si>
  <si>
    <t xml:space="preserve">Sustainable Water Sources from offsite </t>
  </si>
  <si>
    <r>
      <t>Predicted amenity potable(mains) water replacement due to sustainable water sources (L/day/m</t>
    </r>
    <r>
      <rPr>
        <b/>
        <vertAlign val="superscript"/>
        <sz val="10"/>
        <color indexed="9"/>
        <rFont val="Arial"/>
        <family val="2"/>
      </rPr>
      <t>2</t>
    </r>
    <r>
      <rPr>
        <b/>
        <sz val="10"/>
        <color indexed="9"/>
        <rFont val="Arial"/>
        <family val="2"/>
      </rPr>
      <t xml:space="preserve">): </t>
    </r>
  </si>
  <si>
    <t xml:space="preserve">Other Sustainable </t>
  </si>
  <si>
    <t>Make-up or Supply Required from Alternative Sources (Greywater, Rainwater &amp;/or Stormwater, Other)</t>
  </si>
  <si>
    <t>Alternative Supply Demand Breakdown (Greywater, Rainwater &amp;/or Stormwater, Other)</t>
  </si>
  <si>
    <t>Make-up or Supply Required from Alternative Sources (Rainwater/Stormwater, Other)</t>
  </si>
  <si>
    <t>Alternative Supply Demand Breakdown (Rainwater/Stormwater, Other)</t>
  </si>
  <si>
    <t>RECYCLED WATER REUSE 4th PRIORITY - OTHER SUSTAINABLE WATER SOURCES</t>
  </si>
  <si>
    <t>Total Inflow/Resource (L)</t>
  </si>
  <si>
    <t>Potable Water Used</t>
  </si>
  <si>
    <t>Maximum SW Supply Quantities</t>
  </si>
  <si>
    <t>Are there any other Sustainable Water Sources supplying the site?</t>
  </si>
  <si>
    <t>Reused SW Supply (kL/day)</t>
  </si>
  <si>
    <t>Total Sustainable Water Supply (m3/month)</t>
  </si>
  <si>
    <t>Sustainable Water</t>
  </si>
  <si>
    <r>
      <t>L/day/m</t>
    </r>
    <r>
      <rPr>
        <b/>
        <vertAlign val="superscript"/>
        <sz val="10"/>
        <color indexed="9"/>
        <rFont val="Arial"/>
        <family val="2"/>
      </rPr>
      <t>3</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</si>
</sst>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_(* \(#,##0.00\);_(* &quot;-&quot;??_);_(@_)"/>
    <numFmt numFmtId="165" formatCode="0.000"/>
    <numFmt numFmtId="166" formatCode="0.0"/>
    <numFmt numFmtId="167" formatCode="0.0%"/>
    <numFmt numFmtId="168" formatCode="0.0\ \k\l"/>
    <numFmt numFmtId="169" formatCode="0.0\ \k\L"/>
    <numFmt numFmtId="170" formatCode="#\ \k\l"/>
    <numFmt numFmtId="171" formatCode="0.00000000000000"/>
    <numFmt numFmtId="172" formatCode="_(* #,##0_);_(* \(#,##0\);_(* &quot;-&quot;??_);_(@_)"/>
    <numFmt numFmtId="173" formatCode="_(* #,##0.00000_);_(* \(#,##0.00000\);_(* &quot;-&quot;??_);_(@_)"/>
    <numFmt numFmtId="174" formatCode="_-* #,##0_-;\-* #,##0_-;_-* &quot;-&quot;?????_-;_-@_-"/>
    <numFmt numFmtId="175" formatCode="0.0\m\2"/>
    <numFmt numFmtId="176" formatCode="0.00\ \k\L"/>
    <numFmt numFmtId="177" formatCode="0.000\ \k\L"/>
    <numFmt numFmtId="178" formatCode="[$-1C09]dd\ mmmm\ yyyy;@"/>
  </numFmts>
  <fonts count="211">
    <font>
      <sz val="10"/>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u/>
      <sz val="7.5"/>
      <color indexed="12"/>
      <name val="Geneva"/>
      <family val="2"/>
    </font>
    <font>
      <sz val="10"/>
      <name val="HelveticaNeue-Roman"/>
      <family val="2"/>
    </font>
    <font>
      <sz val="11"/>
      <name val="Arial"/>
      <family val="2"/>
    </font>
    <font>
      <sz val="24"/>
      <name val="Arial"/>
      <family val="2"/>
    </font>
    <font>
      <b/>
      <sz val="12"/>
      <color indexed="10"/>
      <name val="HelveticaNeue-Roman"/>
      <family val="2"/>
    </font>
    <font>
      <b/>
      <sz val="12"/>
      <name val="Arial"/>
      <family val="2"/>
    </font>
    <font>
      <b/>
      <sz val="10"/>
      <color indexed="10"/>
      <name val="HelveticaNeue-Roman"/>
      <family val="2"/>
    </font>
    <font>
      <b/>
      <sz val="10"/>
      <name val="HelveticaNeue-Roman"/>
      <family val="2"/>
    </font>
    <font>
      <b/>
      <sz val="10"/>
      <name val="Arial"/>
      <family val="2"/>
    </font>
    <font>
      <sz val="8"/>
      <name val="Arial"/>
      <family val="2"/>
    </font>
    <font>
      <b/>
      <sz val="10"/>
      <color indexed="10"/>
      <name val="Arial"/>
      <family val="2"/>
    </font>
    <font>
      <b/>
      <sz val="10"/>
      <color indexed="11"/>
      <name val="Arial"/>
      <family val="2"/>
    </font>
    <font>
      <sz val="9"/>
      <name val="Arial"/>
      <family val="2"/>
    </font>
    <font>
      <sz val="36"/>
      <name val="HelveticaNeue-Roman"/>
      <family val="2"/>
    </font>
    <font>
      <sz val="13"/>
      <name val="HelveticaNeue-Roman"/>
      <family val="2"/>
    </font>
    <font>
      <sz val="10"/>
      <name val="Century Gothic"/>
      <family val="2"/>
    </font>
    <font>
      <sz val="10"/>
      <color indexed="8"/>
      <name val="Arial"/>
      <family val="2"/>
    </font>
    <font>
      <b/>
      <sz val="10"/>
      <color indexed="8"/>
      <name val="Arial"/>
      <family val="2"/>
    </font>
    <font>
      <b/>
      <sz val="14"/>
      <color indexed="8"/>
      <name val="Arial"/>
      <family val="2"/>
    </font>
    <font>
      <b/>
      <i/>
      <sz val="18"/>
      <color indexed="17"/>
      <name val="Arial"/>
      <family val="2"/>
    </font>
    <font>
      <i/>
      <sz val="14"/>
      <name val="Arial"/>
      <family val="2"/>
    </font>
    <font>
      <b/>
      <sz val="14"/>
      <color indexed="10"/>
      <name val="Arial"/>
      <family val="2"/>
    </font>
    <font>
      <b/>
      <i/>
      <sz val="12"/>
      <color indexed="10"/>
      <name val="Arial"/>
      <family val="2"/>
    </font>
    <font>
      <sz val="16"/>
      <name val="Arial"/>
      <family val="2"/>
    </font>
    <font>
      <b/>
      <i/>
      <sz val="10"/>
      <name val="Arial"/>
      <family val="2"/>
    </font>
    <font>
      <sz val="10"/>
      <color indexed="10"/>
      <name val="Arial"/>
      <family val="2"/>
    </font>
    <font>
      <b/>
      <sz val="14"/>
      <name val="Arial"/>
      <family val="2"/>
    </font>
    <font>
      <b/>
      <u/>
      <sz val="10"/>
      <name val="Arial"/>
      <family val="2"/>
    </font>
    <font>
      <sz val="10"/>
      <color indexed="9"/>
      <name val="Arial"/>
      <family val="2"/>
    </font>
    <font>
      <sz val="8"/>
      <color indexed="9"/>
      <name val="Arial"/>
      <family val="2"/>
    </font>
    <font>
      <sz val="12"/>
      <name val="Arial"/>
      <family val="2"/>
    </font>
    <font>
      <sz val="10"/>
      <name val="Arial"/>
      <family val="2"/>
    </font>
    <font>
      <i/>
      <sz val="10"/>
      <name val="Arial"/>
      <family val="2"/>
    </font>
    <font>
      <b/>
      <u/>
      <sz val="10"/>
      <name val="Arial"/>
      <family val="2"/>
    </font>
    <font>
      <i/>
      <sz val="20"/>
      <name val="Arial"/>
      <family val="2"/>
    </font>
    <font>
      <b/>
      <u/>
      <sz val="12"/>
      <name val="Arial"/>
      <family val="2"/>
    </font>
    <font>
      <i/>
      <sz val="16"/>
      <name val="Arial"/>
      <family val="2"/>
    </font>
    <font>
      <sz val="16"/>
      <color indexed="10"/>
      <name val="Arial"/>
      <family val="2"/>
    </font>
    <font>
      <b/>
      <sz val="8"/>
      <color indexed="81"/>
      <name val="Tahoma"/>
      <family val="2"/>
    </font>
    <font>
      <sz val="8"/>
      <color indexed="81"/>
      <name val="Tahoma"/>
      <family val="2"/>
    </font>
    <font>
      <b/>
      <sz val="11"/>
      <name val="Arial"/>
      <family val="2"/>
    </font>
    <font>
      <b/>
      <sz val="16.5"/>
      <color indexed="9"/>
      <name val="Arial"/>
      <family val="2"/>
    </font>
    <font>
      <b/>
      <sz val="16"/>
      <color indexed="9"/>
      <name val="Arial"/>
      <family val="2"/>
    </font>
    <font>
      <b/>
      <sz val="10"/>
      <color indexed="9"/>
      <name val="Arial"/>
      <family val="2"/>
    </font>
    <font>
      <b/>
      <sz val="22"/>
      <color indexed="9"/>
      <name val="Arial"/>
      <family val="2"/>
    </font>
    <font>
      <sz val="10"/>
      <color indexed="9"/>
      <name val="Arial"/>
      <family val="2"/>
    </font>
    <font>
      <b/>
      <sz val="10"/>
      <color indexed="9"/>
      <name val="Arial"/>
      <family val="2"/>
    </font>
    <font>
      <b/>
      <sz val="14"/>
      <color indexed="9"/>
      <name val="Arial"/>
      <family val="2"/>
    </font>
    <font>
      <b/>
      <sz val="10"/>
      <color indexed="8"/>
      <name val="Arial"/>
      <family val="2"/>
    </font>
    <font>
      <sz val="10"/>
      <color indexed="8"/>
      <name val="Arial"/>
      <family val="2"/>
    </font>
    <font>
      <b/>
      <sz val="10"/>
      <color indexed="10"/>
      <name val="Arial"/>
      <family val="2"/>
    </font>
    <font>
      <sz val="10"/>
      <color indexed="14"/>
      <name val="Arial"/>
      <family val="2"/>
    </font>
    <font>
      <sz val="10"/>
      <color indexed="9"/>
      <name val="Verdana"/>
      <family val="2"/>
    </font>
    <font>
      <b/>
      <sz val="22"/>
      <color indexed="9"/>
      <name val="Arial"/>
      <family val="2"/>
    </font>
    <font>
      <sz val="16.5"/>
      <color indexed="9"/>
      <name val="Arial"/>
      <family val="2"/>
    </font>
    <font>
      <b/>
      <sz val="14"/>
      <color indexed="9"/>
      <name val="Arial"/>
      <family val="2"/>
    </font>
    <font>
      <sz val="10.5"/>
      <color indexed="9"/>
      <name val="Arial"/>
      <family val="2"/>
    </font>
    <font>
      <b/>
      <sz val="10.5"/>
      <color indexed="9"/>
      <name val="Arial"/>
      <family val="2"/>
    </font>
    <font>
      <b/>
      <sz val="18"/>
      <color indexed="9"/>
      <name val="Arial"/>
      <family val="2"/>
    </font>
    <font>
      <sz val="12"/>
      <color indexed="9"/>
      <name val="Arial"/>
      <family val="2"/>
    </font>
    <font>
      <b/>
      <sz val="12"/>
      <color indexed="9"/>
      <name val="Arial"/>
      <family val="2"/>
    </font>
    <font>
      <sz val="12"/>
      <color indexed="8"/>
      <name val="Arial"/>
      <family val="2"/>
    </font>
    <font>
      <sz val="14"/>
      <color indexed="9"/>
      <name val="Arial"/>
      <family val="2"/>
    </font>
    <font>
      <b/>
      <sz val="16"/>
      <color indexed="9"/>
      <name val="Arial"/>
      <family val="2"/>
    </font>
    <font>
      <sz val="11"/>
      <name val="HelveticaNeue-Roman"/>
      <family val="2"/>
    </font>
    <font>
      <sz val="7"/>
      <name val="Times New Roman"/>
      <family val="1"/>
    </font>
    <font>
      <b/>
      <sz val="8"/>
      <name val="Century Gothic"/>
      <family val="2"/>
    </font>
    <font>
      <b/>
      <sz val="16.5"/>
      <color indexed="9"/>
      <name val="HelveticaNeue-Roman"/>
      <family val="2"/>
    </font>
    <font>
      <b/>
      <sz val="12"/>
      <color indexed="9"/>
      <name val="HelveticaNeue-Roman"/>
      <family val="2"/>
    </font>
    <font>
      <sz val="10"/>
      <color indexed="9"/>
      <name val="HelveticaNeue-Roman"/>
    </font>
    <font>
      <b/>
      <sz val="10"/>
      <name val="Arial"/>
      <family val="2"/>
    </font>
    <font>
      <sz val="12"/>
      <color indexed="9"/>
      <name val="Arial"/>
      <family val="2"/>
    </font>
    <font>
      <b/>
      <sz val="14"/>
      <color indexed="9"/>
      <name val="HelveticaNeue-Roman"/>
      <family val="2"/>
    </font>
    <font>
      <b/>
      <vertAlign val="superscript"/>
      <sz val="10"/>
      <color indexed="9"/>
      <name val="Arial"/>
      <family val="2"/>
    </font>
    <font>
      <b/>
      <sz val="13"/>
      <color indexed="9"/>
      <name val="Arial"/>
      <family val="2"/>
    </font>
    <font>
      <sz val="16.5"/>
      <name val="Arial"/>
      <family val="2"/>
    </font>
    <font>
      <b/>
      <sz val="16.5"/>
      <name val="Arial"/>
      <family val="2"/>
    </font>
    <font>
      <sz val="16.5"/>
      <name val="HelveticaNeue-Roman"/>
      <family val="2"/>
    </font>
    <font>
      <b/>
      <sz val="11"/>
      <color indexed="9"/>
      <name val="Arial"/>
      <family val="2"/>
    </font>
    <font>
      <b/>
      <sz val="18"/>
      <name val="Arial"/>
      <family val="2"/>
    </font>
    <font>
      <b/>
      <sz val="12"/>
      <name val="HelveticaNeue-Roman"/>
      <family val="2"/>
    </font>
    <font>
      <b/>
      <sz val="8"/>
      <color indexed="9"/>
      <name val="Arial"/>
      <family val="2"/>
    </font>
    <font>
      <b/>
      <sz val="11"/>
      <name val="HelveticaNeue-Roman"/>
      <family val="2"/>
    </font>
    <font>
      <sz val="8"/>
      <name val="HelveticaNeue-Roman"/>
      <family val="2"/>
    </font>
    <font>
      <sz val="18"/>
      <color indexed="9"/>
      <name val="Arial"/>
      <family val="2"/>
    </font>
    <font>
      <sz val="18"/>
      <name val="Arial"/>
      <family val="2"/>
    </font>
    <font>
      <vertAlign val="superscript"/>
      <sz val="10"/>
      <name val="HelveticaNeue-Roman"/>
    </font>
    <font>
      <b/>
      <sz val="16"/>
      <name val="Arial"/>
      <family val="2"/>
    </font>
    <font>
      <b/>
      <vertAlign val="superscript"/>
      <sz val="12"/>
      <name val="Arial"/>
      <family val="2"/>
    </font>
    <font>
      <b/>
      <vertAlign val="superscript"/>
      <sz val="10"/>
      <name val="Arial"/>
      <family val="2"/>
    </font>
    <font>
      <sz val="10"/>
      <name val="Verdana"/>
      <family val="2"/>
    </font>
    <font>
      <b/>
      <sz val="10"/>
      <color indexed="9"/>
      <name val="HelveticaNeue-Roman"/>
    </font>
    <font>
      <sz val="9"/>
      <color indexed="81"/>
      <name val="Tahoma"/>
      <family val="2"/>
    </font>
    <font>
      <b/>
      <sz val="22"/>
      <color indexed="9"/>
      <name val="Arial"/>
      <family val="2"/>
    </font>
    <font>
      <b/>
      <sz val="14"/>
      <color indexed="8"/>
      <name val="Arial"/>
      <family val="2"/>
    </font>
    <font>
      <b/>
      <sz val="14"/>
      <color indexed="9"/>
      <name val="Arial"/>
      <family val="2"/>
    </font>
    <font>
      <sz val="10"/>
      <name val="Arial"/>
      <family val="2"/>
    </font>
    <font>
      <b/>
      <sz val="8"/>
      <name val="Arial"/>
      <family val="2"/>
    </font>
    <font>
      <sz val="8"/>
      <name val="Arial"/>
      <family val="2"/>
    </font>
    <font>
      <b/>
      <sz val="8"/>
      <color indexed="53"/>
      <name val="Arial"/>
      <family val="2"/>
    </font>
    <font>
      <b/>
      <sz val="11"/>
      <color indexed="9"/>
      <name val="Arial"/>
      <family val="2"/>
    </font>
    <font>
      <b/>
      <sz val="10"/>
      <color indexed="9"/>
      <name val="Arial"/>
      <family val="2"/>
    </font>
    <font>
      <sz val="10"/>
      <name val="Verdana"/>
      <family val="2"/>
    </font>
    <font>
      <u/>
      <sz val="10"/>
      <name val="Arial"/>
      <family val="2"/>
    </font>
    <font>
      <sz val="11"/>
      <color indexed="9"/>
      <name val="Arial"/>
      <family val="2"/>
    </font>
    <font>
      <i/>
      <sz val="9"/>
      <color indexed="9"/>
      <name val="Arial"/>
      <family val="2"/>
    </font>
    <font>
      <vertAlign val="subscript"/>
      <sz val="10"/>
      <color indexed="9"/>
      <name val="Arial"/>
      <family val="2"/>
    </font>
    <font>
      <vertAlign val="subscript"/>
      <sz val="8"/>
      <color indexed="9"/>
      <name val="Arial"/>
      <family val="2"/>
    </font>
    <font>
      <b/>
      <sz val="12"/>
      <color indexed="8"/>
      <name val="Arial"/>
      <family val="2"/>
    </font>
    <font>
      <b/>
      <sz val="12"/>
      <color indexed="8"/>
      <name val="Arial"/>
      <family val="2"/>
    </font>
    <font>
      <sz val="10"/>
      <color indexed="55"/>
      <name val="Arial"/>
      <family val="2"/>
    </font>
    <font>
      <sz val="10"/>
      <color indexed="23"/>
      <name val="Arial"/>
      <family val="2"/>
    </font>
    <font>
      <b/>
      <sz val="20"/>
      <color indexed="9"/>
      <name val="Verdana"/>
      <family val="2"/>
    </font>
    <font>
      <b/>
      <sz val="10"/>
      <color indexed="23"/>
      <name val="Arial"/>
      <family val="2"/>
    </font>
    <font>
      <b/>
      <sz val="11"/>
      <color indexed="23"/>
      <name val="Arial"/>
      <family val="2"/>
    </font>
    <font>
      <b/>
      <sz val="8"/>
      <color indexed="23"/>
      <name val="Arial"/>
      <family val="2"/>
    </font>
    <font>
      <sz val="8"/>
      <color indexed="23"/>
      <name val="Arial"/>
      <family val="2"/>
    </font>
    <font>
      <b/>
      <sz val="10"/>
      <color indexed="23"/>
      <name val="Verdana"/>
      <family val="2"/>
    </font>
    <font>
      <b/>
      <sz val="10"/>
      <color indexed="23"/>
      <name val="Verdana"/>
      <family val="2"/>
    </font>
    <font>
      <b/>
      <sz val="10"/>
      <color indexed="8"/>
      <name val="HelveticaNeue-Roman"/>
      <family val="2"/>
    </font>
    <font>
      <b/>
      <sz val="10"/>
      <name val="HelveticaNeue-Roman"/>
    </font>
    <font>
      <b/>
      <sz val="10"/>
      <color indexed="10"/>
      <name val="HelveticaNeue-Roman"/>
    </font>
    <font>
      <i/>
      <sz val="9"/>
      <color indexed="81"/>
      <name val="Tahoma"/>
      <family val="2"/>
    </font>
    <font>
      <b/>
      <sz val="10"/>
      <color indexed="14"/>
      <name val="Arial"/>
      <family val="2"/>
    </font>
    <font>
      <b/>
      <sz val="16"/>
      <color indexed="10"/>
      <name val="Arial"/>
      <family val="2"/>
    </font>
    <font>
      <b/>
      <sz val="9"/>
      <color indexed="81"/>
      <name val="Tahoma"/>
      <family val="2"/>
    </font>
    <font>
      <sz val="10"/>
      <color indexed="9"/>
      <name val="Arial"/>
      <family val="2"/>
    </font>
    <font>
      <sz val="8"/>
      <color indexed="9"/>
      <name val="Arial"/>
      <family val="2"/>
    </font>
    <font>
      <b/>
      <sz val="10"/>
      <color indexed="9"/>
      <name val="Verdana"/>
      <family val="2"/>
    </font>
    <font>
      <b/>
      <sz val="16.5"/>
      <color indexed="9"/>
      <name val="Arial"/>
      <family val="2"/>
    </font>
    <font>
      <b/>
      <sz val="12"/>
      <color indexed="9"/>
      <name val="Arial"/>
      <family val="2"/>
    </font>
    <font>
      <b/>
      <sz val="10"/>
      <color indexed="9"/>
      <name val="HelveticaNeue-Roman"/>
      <family val="2"/>
    </font>
    <font>
      <sz val="10"/>
      <color indexed="9"/>
      <name val="HelveticaNeue-Roman"/>
      <family val="2"/>
    </font>
    <font>
      <i/>
      <u/>
      <sz val="9"/>
      <color indexed="9"/>
      <name val="Arial"/>
      <family val="2"/>
    </font>
    <font>
      <sz val="14"/>
      <color indexed="9"/>
      <name val="Arial"/>
      <family val="2"/>
    </font>
    <font>
      <sz val="10"/>
      <color indexed="23"/>
      <name val="Verdana"/>
      <family val="2"/>
    </font>
    <font>
      <sz val="11"/>
      <color indexed="8"/>
      <name val="Calibri"/>
      <family val="2"/>
    </font>
    <font>
      <b/>
      <sz val="12"/>
      <color indexed="8"/>
      <name val="Calibri"/>
      <family val="2"/>
    </font>
    <font>
      <sz val="11"/>
      <color indexed="9"/>
      <name val="Calibri"/>
      <family val="2"/>
    </font>
    <font>
      <sz val="11"/>
      <color indexed="25"/>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name val="Calibri"/>
      <family val="2"/>
    </font>
    <font>
      <b/>
      <sz val="9"/>
      <color indexed="23"/>
      <name val="Arial"/>
      <family val="2"/>
    </font>
    <font>
      <b/>
      <i/>
      <sz val="12"/>
      <color indexed="9"/>
      <name val="Arial"/>
      <family val="2"/>
    </font>
    <font>
      <i/>
      <sz val="10"/>
      <color indexed="9"/>
      <name val="Arial"/>
      <family val="2"/>
    </font>
    <font>
      <sz val="8"/>
      <color indexed="11"/>
      <name val="Arial"/>
      <family val="2"/>
    </font>
    <font>
      <i/>
      <sz val="10"/>
      <color indexed="11"/>
      <name val="Arial"/>
      <family val="2"/>
    </font>
    <font>
      <b/>
      <sz val="8"/>
      <color indexed="10"/>
      <name val="Arial"/>
      <family val="2"/>
    </font>
    <font>
      <b/>
      <sz val="18"/>
      <color indexed="9"/>
      <name val="Arial"/>
      <family val="2"/>
    </font>
    <font>
      <sz val="18"/>
      <color indexed="9"/>
      <name val="Arial"/>
      <family val="2"/>
    </font>
    <font>
      <sz val="18"/>
      <color indexed="55"/>
      <name val="Arial"/>
      <family val="2"/>
    </font>
    <font>
      <sz val="18"/>
      <color indexed="23"/>
      <name val="Arial"/>
      <family val="2"/>
    </font>
    <font>
      <sz val="10"/>
      <color indexed="10"/>
      <name val="Arial"/>
      <family val="2"/>
    </font>
    <font>
      <vertAlign val="superscript"/>
      <sz val="9"/>
      <color indexed="81"/>
      <name val="Tahoma"/>
      <family val="2"/>
    </font>
    <font>
      <sz val="9"/>
      <color indexed="9"/>
      <name val="Arial"/>
      <family val="2"/>
    </font>
    <font>
      <vertAlign val="superscript"/>
      <sz val="9"/>
      <color indexed="9"/>
      <name val="Arial"/>
      <family val="2"/>
    </font>
    <font>
      <sz val="10"/>
      <color indexed="10"/>
      <name val="HelveticaNeue-Roman"/>
      <family val="2"/>
    </font>
    <font>
      <sz val="10"/>
      <color indexed="45"/>
      <name val="HelveticaNeue-Roman"/>
      <family val="2"/>
    </font>
    <font>
      <b/>
      <sz val="11"/>
      <color indexed="10"/>
      <name val="HelveticaNeue-Roman"/>
    </font>
    <font>
      <b/>
      <sz val="16"/>
      <color indexed="10"/>
      <name val="HelveticaNeue-Roman"/>
      <family val="2"/>
    </font>
    <font>
      <b/>
      <sz val="14"/>
      <color indexed="10"/>
      <name val="HelveticaNeue-Roman"/>
    </font>
    <font>
      <b/>
      <i/>
      <sz val="10"/>
      <name val="HelveticaNeue-Roman"/>
    </font>
    <font>
      <sz val="10"/>
      <name val="HelveticaNeue-Roman"/>
    </font>
    <font>
      <b/>
      <sz val="18"/>
      <color indexed="9"/>
      <name val="HelveticaNeue-Roman"/>
    </font>
    <font>
      <i/>
      <sz val="10"/>
      <color indexed="8"/>
      <name val="Arial"/>
      <family val="2"/>
    </font>
    <font>
      <sz val="10"/>
      <color indexed="9"/>
      <name val="Verdana"/>
      <family val="2"/>
    </font>
    <font>
      <sz val="8"/>
      <color indexed="9"/>
      <name val="Verdana"/>
      <family val="2"/>
    </font>
    <font>
      <b/>
      <i/>
      <sz val="10"/>
      <color indexed="9"/>
      <name val="Arial"/>
      <family val="2"/>
    </font>
    <font>
      <sz val="12"/>
      <color indexed="9"/>
      <name val="Arial"/>
      <family val="2"/>
    </font>
    <font>
      <sz val="9"/>
      <color indexed="10"/>
      <name val="Arial"/>
      <family val="2"/>
    </font>
    <font>
      <b/>
      <sz val="10"/>
      <name val="Verdana"/>
      <family val="2"/>
    </font>
    <font>
      <sz val="9"/>
      <color indexed="8"/>
      <name val="Arial"/>
      <family val="2"/>
    </font>
    <font>
      <b/>
      <sz val="8"/>
      <color rgb="FF000000"/>
      <name val="Arial"/>
      <family val="2"/>
    </font>
    <font>
      <b/>
      <sz val="11"/>
      <color rgb="FF000000"/>
      <name val="Arial"/>
      <family val="2"/>
    </font>
    <font>
      <b/>
      <sz val="11"/>
      <color rgb="FF000000"/>
      <name val="HelveticaNeue-Roman"/>
    </font>
    <font>
      <i/>
      <sz val="24"/>
      <name val="Arial"/>
      <family val="2"/>
    </font>
    <font>
      <sz val="11"/>
      <color theme="1"/>
      <name val="Arial Narrow"/>
      <family val="2"/>
    </font>
    <font>
      <b/>
      <sz val="11"/>
      <color theme="1"/>
      <name val="Arial"/>
      <family val="2"/>
    </font>
    <font>
      <sz val="11"/>
      <color theme="0" tint="-0.499984740745262"/>
      <name val="Calibri"/>
      <family val="2"/>
      <scheme val="minor"/>
    </font>
    <font>
      <sz val="11"/>
      <name val="Arial Narrow"/>
      <family val="2"/>
    </font>
    <font>
      <b/>
      <i/>
      <sz val="10"/>
      <color rgb="FFFF0000"/>
      <name val="Arial"/>
      <family val="2"/>
    </font>
    <font>
      <b/>
      <i/>
      <sz val="10"/>
      <color rgb="FFFF0000"/>
      <name val="Verdana"/>
      <family val="2"/>
    </font>
    <font>
      <sz val="11"/>
      <color theme="1"/>
      <name val="Arial"/>
      <family val="2"/>
    </font>
    <font>
      <sz val="10"/>
      <color theme="0"/>
      <name val="Arial"/>
      <family val="2"/>
    </font>
    <font>
      <i/>
      <sz val="11"/>
      <name val="Arial"/>
      <family val="2"/>
    </font>
    <font>
      <b/>
      <sz val="10"/>
      <color theme="0"/>
      <name val="Arial"/>
      <family val="2"/>
    </font>
    <font>
      <u/>
      <sz val="7.5"/>
      <color indexed="12"/>
      <name val="Geneva"/>
    </font>
    <font>
      <sz val="9"/>
      <color theme="0"/>
      <name val="Arial"/>
      <family val="2"/>
    </font>
    <font>
      <sz val="9"/>
      <color theme="1"/>
      <name val="Arial"/>
      <family val="2"/>
    </font>
    <font>
      <sz val="9"/>
      <color theme="1" tint="0.14999847407452621"/>
      <name val="Arial"/>
      <family val="2"/>
    </font>
  </fonts>
  <fills count="48">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6"/>
      </patternFill>
    </fill>
    <fill>
      <patternFill patternType="solid">
        <fgColor indexed="55"/>
      </patternFill>
    </fill>
    <fill>
      <patternFill patternType="solid">
        <fgColor indexed="27"/>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22"/>
        <bgColor indexed="64"/>
      </patternFill>
    </fill>
    <fill>
      <patternFill patternType="solid">
        <fgColor indexed="34"/>
        <bgColor indexed="64"/>
      </patternFill>
    </fill>
    <fill>
      <patternFill patternType="solid">
        <fgColor indexed="55"/>
        <bgColor indexed="64"/>
      </patternFill>
    </fill>
    <fill>
      <patternFill patternType="solid">
        <fgColor indexed="11"/>
        <bgColor indexed="32"/>
      </patternFill>
    </fill>
    <fill>
      <patternFill patternType="solid">
        <fgColor indexed="11"/>
        <bgColor indexed="40"/>
      </patternFill>
    </fill>
    <fill>
      <patternFill patternType="solid">
        <fgColor indexed="22"/>
        <bgColor indexed="40"/>
      </patternFill>
    </fill>
    <fill>
      <patternFill patternType="solid">
        <fgColor indexed="57"/>
        <bgColor indexed="64"/>
      </patternFill>
    </fill>
    <fill>
      <patternFill patternType="solid">
        <fgColor indexed="13"/>
        <bgColor indexed="64"/>
      </patternFill>
    </fill>
    <fill>
      <patternFill patternType="solid">
        <fgColor indexed="46"/>
        <bgColor indexed="64"/>
      </patternFill>
    </fill>
    <fill>
      <patternFill patternType="solid">
        <fgColor indexed="10"/>
        <bgColor indexed="64"/>
      </patternFill>
    </fill>
    <fill>
      <patternFill patternType="solid">
        <fgColor indexed="14"/>
        <bgColor indexed="64"/>
      </patternFill>
    </fill>
    <fill>
      <patternFill patternType="solid">
        <fgColor indexed="44"/>
        <bgColor indexed="64"/>
      </patternFill>
    </fill>
    <fill>
      <patternFill patternType="solid">
        <fgColor indexed="53"/>
        <bgColor indexed="64"/>
      </patternFill>
    </fill>
    <fill>
      <patternFill patternType="solid">
        <fgColor indexed="8"/>
        <bgColor indexed="64"/>
      </patternFill>
    </fill>
    <fill>
      <patternFill patternType="solid">
        <fgColor indexed="51"/>
        <bgColor indexed="64"/>
      </patternFill>
    </fill>
    <fill>
      <patternFill patternType="solid">
        <fgColor indexed="63"/>
        <bgColor indexed="64"/>
      </patternFill>
    </fill>
    <fill>
      <patternFill patternType="solid">
        <fgColor indexed="40"/>
        <bgColor indexed="64"/>
      </patternFill>
    </fill>
    <fill>
      <patternFill patternType="solid">
        <fgColor indexed="55"/>
        <bgColor indexed="32"/>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69696"/>
        <bgColor indexed="64"/>
      </patternFill>
    </fill>
    <fill>
      <patternFill patternType="solid">
        <fgColor rgb="FF2C3238"/>
        <bgColor indexed="64"/>
      </patternFill>
    </fill>
  </fills>
  <borders count="1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bottom/>
      <diagonal/>
    </border>
    <border>
      <left/>
      <right style="double">
        <color indexed="64"/>
      </right>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top style="thin">
        <color indexed="64"/>
      </top>
      <bottom style="medium">
        <color indexed="8"/>
      </bottom>
      <diagonal/>
    </border>
    <border>
      <left/>
      <right style="thin">
        <color indexed="64"/>
      </right>
      <top style="thin">
        <color indexed="64"/>
      </top>
      <bottom style="medium">
        <color indexed="8"/>
      </bottom>
      <diagonal/>
    </border>
    <border>
      <left style="thin">
        <color indexed="64"/>
      </left>
      <right/>
      <top style="medium">
        <color indexed="8"/>
      </top>
      <bottom/>
      <diagonal/>
    </border>
    <border>
      <left/>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style="thin">
        <color indexed="8"/>
      </top>
      <bottom style="thin">
        <color indexed="8"/>
      </bottom>
      <diagonal/>
    </border>
    <border>
      <left style="medium">
        <color indexed="8"/>
      </left>
      <right/>
      <top/>
      <bottom/>
      <diagonal/>
    </border>
    <border>
      <left/>
      <right style="medium">
        <color indexed="8"/>
      </right>
      <top style="medium">
        <color indexed="8"/>
      </top>
      <bottom style="thin">
        <color indexed="8"/>
      </bottom>
      <diagonal/>
    </border>
    <border>
      <left/>
      <right style="medium">
        <color indexed="8"/>
      </right>
      <top style="medium">
        <color indexed="8"/>
      </top>
      <bottom/>
      <diagonal/>
    </border>
    <border>
      <left/>
      <right style="medium">
        <color indexed="8"/>
      </right>
      <top style="medium">
        <color indexed="8"/>
      </top>
      <bottom style="medium">
        <color indexed="8"/>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8"/>
      </left>
      <right/>
      <top style="medium">
        <color indexed="8"/>
      </top>
      <bottom style="medium">
        <color indexed="8"/>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41">
    <xf numFmtId="0" fontId="0" fillId="0" borderId="0"/>
    <xf numFmtId="0" fontId="144" fillId="2" borderId="0" applyNumberFormat="0" applyBorder="0" applyAlignment="0" applyProtection="0"/>
    <xf numFmtId="0" fontId="144" fillId="3" borderId="0" applyNumberFormat="0" applyBorder="0" applyAlignment="0" applyProtection="0"/>
    <xf numFmtId="0" fontId="144" fillId="4" borderId="0" applyNumberFormat="0" applyBorder="0" applyAlignment="0" applyProtection="0"/>
    <xf numFmtId="0" fontId="144" fillId="2" borderId="0" applyNumberFormat="0" applyBorder="0" applyAlignment="0" applyProtection="0"/>
    <xf numFmtId="0" fontId="144" fillId="5" borderId="0" applyNumberFormat="0" applyBorder="0" applyAlignment="0" applyProtection="0"/>
    <xf numFmtId="0" fontId="144" fillId="3" borderId="0" applyNumberFormat="0" applyBorder="0" applyAlignment="0" applyProtection="0"/>
    <xf numFmtId="0" fontId="144" fillId="6" borderId="0" applyNumberFormat="0" applyBorder="0" applyAlignment="0" applyProtection="0"/>
    <xf numFmtId="0" fontId="144" fillId="3" borderId="0" applyNumberFormat="0" applyBorder="0" applyAlignment="0" applyProtection="0"/>
    <xf numFmtId="0" fontId="144" fillId="4" borderId="0" applyNumberFormat="0" applyBorder="0" applyAlignment="0" applyProtection="0"/>
    <xf numFmtId="0" fontId="144" fillId="6" borderId="0" applyNumberFormat="0" applyBorder="0" applyAlignment="0" applyProtection="0"/>
    <xf numFmtId="0" fontId="144" fillId="7" borderId="0" applyNumberFormat="0" applyBorder="0" applyAlignment="0" applyProtection="0"/>
    <xf numFmtId="0" fontId="144" fillId="3" borderId="0" applyNumberFormat="0" applyBorder="0" applyAlignment="0" applyProtection="0"/>
    <xf numFmtId="0" fontId="146" fillId="8" borderId="0" applyNumberFormat="0" applyBorder="0" applyAlignment="0" applyProtection="0"/>
    <xf numFmtId="0" fontId="146" fillId="9" borderId="0" applyNumberFormat="0" applyBorder="0" applyAlignment="0" applyProtection="0"/>
    <xf numFmtId="0" fontId="146" fillId="4" borderId="0" applyNumberFormat="0" applyBorder="0" applyAlignment="0" applyProtection="0"/>
    <xf numFmtId="0" fontId="146" fillId="6" borderId="0" applyNumberFormat="0" applyBorder="0" applyAlignment="0" applyProtection="0"/>
    <xf numFmtId="0" fontId="146" fillId="8" borderId="0" applyNumberFormat="0" applyBorder="0" applyAlignment="0" applyProtection="0"/>
    <xf numFmtId="0" fontId="146" fillId="3" borderId="0" applyNumberFormat="0" applyBorder="0" applyAlignment="0" applyProtection="0"/>
    <xf numFmtId="0" fontId="146" fillId="8" borderId="0" applyNumberFormat="0" applyBorder="0" applyAlignment="0" applyProtection="0"/>
    <xf numFmtId="0" fontId="146" fillId="10" borderId="0" applyNumberFormat="0" applyBorder="0" applyAlignment="0" applyProtection="0"/>
    <xf numFmtId="0" fontId="146" fillId="4" borderId="0" applyNumberFormat="0" applyBorder="0" applyAlignment="0" applyProtection="0"/>
    <xf numFmtId="0" fontId="146" fillId="11" borderId="0" applyNumberFormat="0" applyBorder="0" applyAlignment="0" applyProtection="0"/>
    <xf numFmtId="0" fontId="146" fillId="8" borderId="0" applyNumberFormat="0" applyBorder="0" applyAlignment="0" applyProtection="0"/>
    <xf numFmtId="0" fontId="146" fillId="9" borderId="0" applyNumberFormat="0" applyBorder="0" applyAlignment="0" applyProtection="0"/>
    <xf numFmtId="0" fontId="147" fillId="12" borderId="0" applyNumberFormat="0" applyBorder="0" applyAlignment="0" applyProtection="0"/>
    <xf numFmtId="0" fontId="148" fillId="2" borderId="1" applyNumberFormat="0" applyAlignment="0" applyProtection="0"/>
    <xf numFmtId="0" fontId="149" fillId="13" borderId="2" applyNumberFormat="0" applyAlignment="0" applyProtection="0"/>
    <xf numFmtId="164" fontId="6" fillId="0" borderId="0" applyFont="0" applyFill="0" applyBorder="0" applyAlignment="0" applyProtection="0"/>
    <xf numFmtId="0" fontId="150" fillId="0" borderId="0" applyNumberFormat="0" applyFill="0" applyBorder="0" applyAlignment="0" applyProtection="0"/>
    <xf numFmtId="0" fontId="151" fillId="14" borderId="0" applyNumberFormat="0" applyBorder="0" applyAlignment="0" applyProtection="0"/>
    <xf numFmtId="0" fontId="152" fillId="0" borderId="3" applyNumberFormat="0" applyFill="0" applyAlignment="0" applyProtection="0"/>
    <xf numFmtId="0" fontId="153" fillId="0" borderId="4" applyNumberFormat="0" applyFill="0" applyAlignment="0" applyProtection="0"/>
    <xf numFmtId="0" fontId="154" fillId="0" borderId="5" applyNumberFormat="0" applyFill="0" applyAlignment="0" applyProtection="0"/>
    <xf numFmtId="0" fontId="154" fillId="0" borderId="0" applyNumberFormat="0" applyFill="0" applyBorder="0" applyAlignment="0" applyProtection="0"/>
    <xf numFmtId="0" fontId="8" fillId="0" borderId="0" applyNumberFormat="0" applyFill="0" applyBorder="0" applyAlignment="0" applyProtection="0">
      <alignment vertical="top"/>
      <protection locked="0"/>
    </xf>
    <xf numFmtId="0" fontId="155" fillId="3" borderId="1" applyNumberFormat="0" applyAlignment="0" applyProtection="0"/>
    <xf numFmtId="0" fontId="156" fillId="0" borderId="6" applyNumberFormat="0" applyFill="0" applyAlignment="0" applyProtection="0"/>
    <xf numFmtId="0" fontId="157" fillId="1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144" fillId="0" borderId="0"/>
    <xf numFmtId="0" fontId="7" fillId="0" borderId="0"/>
    <xf numFmtId="0" fontId="6" fillId="16" borderId="7" applyNumberFormat="0" applyFont="0" applyAlignment="0" applyProtection="0"/>
    <xf numFmtId="0" fontId="158" fillId="2" borderId="8" applyNumberFormat="0" applyAlignment="0" applyProtection="0"/>
    <xf numFmtId="9" fontId="6" fillId="0" borderId="0" applyFont="0" applyFill="0" applyBorder="0" applyAlignment="0" applyProtection="0"/>
    <xf numFmtId="0" fontId="159" fillId="0" borderId="0" applyNumberFormat="0" applyFill="0" applyBorder="0" applyAlignment="0" applyProtection="0"/>
    <xf numFmtId="0" fontId="160" fillId="0" borderId="9" applyNumberFormat="0" applyFill="0" applyAlignment="0" applyProtection="0"/>
    <xf numFmtId="0" fontId="161" fillId="0" borderId="0" applyNumberFormat="0" applyFill="0" applyBorder="0" applyAlignment="0" applyProtection="0"/>
    <xf numFmtId="0" fontId="4" fillId="0" borderId="0"/>
    <xf numFmtId="0" fontId="3" fillId="0" borderId="0"/>
    <xf numFmtId="0" fontId="6" fillId="0" borderId="0"/>
    <xf numFmtId="0" fontId="6" fillId="0" borderId="0"/>
    <xf numFmtId="0" fontId="207"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6" fillId="0" borderId="0"/>
    <xf numFmtId="0" fontId="144" fillId="7" borderId="0" applyNumberFormat="0" applyBorder="0" applyAlignment="0" applyProtection="0"/>
    <xf numFmtId="0" fontId="144" fillId="2" borderId="0" applyNumberFormat="0" applyBorder="0" applyAlignment="0" applyProtection="0"/>
    <xf numFmtId="0" fontId="144" fillId="4" borderId="0" applyNumberFormat="0" applyBorder="0" applyAlignment="0" applyProtection="0"/>
    <xf numFmtId="0" fontId="144" fillId="5" borderId="0" applyNumberFormat="0" applyBorder="0" applyAlignment="0" applyProtection="0"/>
    <xf numFmtId="0" fontId="146" fillId="8" borderId="0" applyNumberFormat="0" applyBorder="0" applyAlignment="0" applyProtection="0"/>
    <xf numFmtId="0" fontId="160" fillId="0" borderId="9" applyNumberFormat="0" applyFill="0" applyAlignment="0" applyProtection="0"/>
    <xf numFmtId="0" fontId="144" fillId="2" borderId="0" applyNumberFormat="0" applyBorder="0" applyAlignment="0" applyProtection="0"/>
    <xf numFmtId="0" fontId="156" fillId="0" borderId="6" applyNumberFormat="0" applyFill="0" applyAlignment="0" applyProtection="0"/>
    <xf numFmtId="0" fontId="144" fillId="6" borderId="0" applyNumberFormat="0" applyBorder="0" applyAlignment="0" applyProtection="0"/>
    <xf numFmtId="0" fontId="144" fillId="6" borderId="0" applyNumberFormat="0" applyBorder="0" applyAlignment="0" applyProtection="0"/>
    <xf numFmtId="0" fontId="146" fillId="3" borderId="0" applyNumberFormat="0" applyBorder="0" applyAlignment="0" applyProtection="0"/>
    <xf numFmtId="0" fontId="146" fillId="8" borderId="0" applyNumberFormat="0" applyBorder="0" applyAlignment="0" applyProtection="0"/>
    <xf numFmtId="0" fontId="146" fillId="10" borderId="0" applyNumberFormat="0" applyBorder="0" applyAlignment="0" applyProtection="0"/>
    <xf numFmtId="0" fontId="146" fillId="4" borderId="0" applyNumberFormat="0" applyBorder="0" applyAlignment="0" applyProtection="0"/>
    <xf numFmtId="0" fontId="146" fillId="11" borderId="0" applyNumberFormat="0" applyBorder="0" applyAlignment="0" applyProtection="0"/>
    <xf numFmtId="0" fontId="146" fillId="8" borderId="0" applyNumberFormat="0" applyBorder="0" applyAlignment="0" applyProtection="0"/>
    <xf numFmtId="0" fontId="146" fillId="9" borderId="0" applyNumberFormat="0" applyBorder="0" applyAlignment="0" applyProtection="0"/>
    <xf numFmtId="0" fontId="147" fillId="12" borderId="0" applyNumberFormat="0" applyBorder="0" applyAlignment="0" applyProtection="0"/>
    <xf numFmtId="0" fontId="148" fillId="2" borderId="1" applyNumberFormat="0" applyAlignment="0" applyProtection="0"/>
    <xf numFmtId="0" fontId="155" fillId="3" borderId="1" applyNumberFormat="0" applyAlignment="0" applyProtection="0"/>
    <xf numFmtId="0" fontId="161" fillId="0" borderId="0" applyNumberFormat="0" applyFill="0" applyBorder="0" applyAlignment="0" applyProtection="0"/>
    <xf numFmtId="164" fontId="6" fillId="0" borderId="0" applyFont="0" applyFill="0" applyBorder="0" applyAlignment="0" applyProtection="0"/>
    <xf numFmtId="0" fontId="157" fillId="15" borderId="0" applyNumberFormat="0" applyBorder="0" applyAlignment="0" applyProtection="0"/>
    <xf numFmtId="0" fontId="154" fillId="0" borderId="0" applyNumberFormat="0" applyFill="0" applyBorder="0" applyAlignment="0" applyProtection="0"/>
    <xf numFmtId="0" fontId="146" fillId="9" borderId="0" applyNumberFormat="0" applyBorder="0" applyAlignment="0" applyProtection="0"/>
    <xf numFmtId="0" fontId="153" fillId="0" borderId="4" applyNumberFormat="0" applyFill="0" applyAlignment="0" applyProtection="0"/>
    <xf numFmtId="0" fontId="6" fillId="16" borderId="7" applyNumberFormat="0" applyFont="0" applyAlignment="0" applyProtection="0"/>
    <xf numFmtId="0" fontId="144" fillId="3" borderId="0" applyNumberFormat="0" applyBorder="0" applyAlignment="0" applyProtection="0"/>
    <xf numFmtId="0" fontId="146" fillId="4" borderId="0" applyNumberFormat="0" applyBorder="0" applyAlignment="0" applyProtection="0"/>
    <xf numFmtId="9" fontId="6" fillId="0" borderId="0" applyFont="0" applyFill="0" applyBorder="0" applyAlignment="0" applyProtection="0"/>
    <xf numFmtId="0" fontId="144" fillId="3" borderId="0" applyNumberFormat="0" applyBorder="0" applyAlignment="0" applyProtection="0"/>
    <xf numFmtId="0" fontId="159" fillId="0" borderId="0" applyNumberFormat="0" applyFill="0" applyBorder="0" applyAlignment="0" applyProtection="0"/>
    <xf numFmtId="0" fontId="154" fillId="0" borderId="5" applyNumberFormat="0" applyFill="0" applyAlignment="0" applyProtection="0"/>
    <xf numFmtId="0" fontId="151" fillId="14" borderId="0" applyNumberFormat="0" applyBorder="0" applyAlignment="0" applyProtection="0"/>
    <xf numFmtId="0" fontId="144" fillId="4"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50" fillId="0" borderId="0" applyNumberFormat="0" applyFill="0" applyBorder="0" applyAlignment="0" applyProtection="0"/>
    <xf numFmtId="0" fontId="146" fillId="6" borderId="0" applyNumberFormat="0" applyBorder="0" applyAlignment="0" applyProtection="0"/>
    <xf numFmtId="0" fontId="152" fillId="0" borderId="3" applyNumberFormat="0" applyFill="0" applyAlignment="0" applyProtection="0"/>
    <xf numFmtId="0" fontId="149" fillId="13" borderId="2" applyNumberFormat="0" applyAlignment="0" applyProtection="0"/>
    <xf numFmtId="0" fontId="144" fillId="3" borderId="0" applyNumberFormat="0" applyBorder="0" applyAlignment="0" applyProtection="0"/>
    <xf numFmtId="0" fontId="146" fillId="8" borderId="0" applyNumberFormat="0" applyBorder="0" applyAlignment="0" applyProtection="0"/>
    <xf numFmtId="0" fontId="144" fillId="3" borderId="0" applyNumberFormat="0" applyBorder="0" applyAlignment="0" applyProtection="0"/>
    <xf numFmtId="0" fontId="158" fillId="2" borderId="8" applyNumberFormat="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cellStyleXfs>
  <cellXfs count="2786">
    <xf numFmtId="0" fontId="0" fillId="0" borderId="0" xfId="0"/>
    <xf numFmtId="0" fontId="7" fillId="0" borderId="0" xfId="42" applyFill="1"/>
    <xf numFmtId="0" fontId="27" fillId="17" borderId="0" xfId="42" applyFont="1" applyFill="1" applyAlignment="1" applyProtection="1">
      <alignment horizontal="left" vertical="center"/>
    </xf>
    <xf numFmtId="0" fontId="7" fillId="0" borderId="0" xfId="42" applyFill="1" applyAlignment="1">
      <alignment horizontal="center"/>
    </xf>
    <xf numFmtId="0" fontId="28" fillId="17" borderId="0" xfId="42" applyFont="1" applyFill="1" applyAlignment="1" applyProtection="1">
      <alignment horizontal="left" vertical="center"/>
    </xf>
    <xf numFmtId="0" fontId="29" fillId="0" borderId="0" xfId="42" applyFont="1" applyFill="1" applyAlignment="1" applyProtection="1">
      <alignment horizontal="left" vertical="center"/>
    </xf>
    <xf numFmtId="0" fontId="30" fillId="0" borderId="0" xfId="42" applyFont="1" applyFill="1" applyAlignment="1">
      <alignment horizontal="left" vertical="center"/>
    </xf>
    <xf numFmtId="15" fontId="31" fillId="0" borderId="0" xfId="42" applyNumberFormat="1" applyFont="1" applyFill="1"/>
    <xf numFmtId="0" fontId="31" fillId="0" borderId="0" xfId="42" applyFont="1" applyFill="1"/>
    <xf numFmtId="0" fontId="31" fillId="0" borderId="0" xfId="42" applyFont="1" applyFill="1" applyAlignment="1">
      <alignment horizontal="center"/>
    </xf>
    <xf numFmtId="0" fontId="13" fillId="0" borderId="0" xfId="42" applyFont="1" applyFill="1" applyAlignment="1">
      <alignment vertical="top" wrapText="1"/>
    </xf>
    <xf numFmtId="0" fontId="13" fillId="0" borderId="0" xfId="42" applyFont="1" applyFill="1" applyBorder="1" applyAlignment="1">
      <alignment horizontal="center" vertical="top" wrapText="1"/>
    </xf>
    <xf numFmtId="0" fontId="13" fillId="0" borderId="0" xfId="42" applyFont="1" applyFill="1" applyAlignment="1">
      <alignment vertical="top"/>
    </xf>
    <xf numFmtId="1" fontId="7" fillId="18" borderId="10" xfId="48" applyNumberFormat="1" applyFont="1" applyFill="1" applyBorder="1" applyAlignment="1">
      <alignment horizontal="center" vertical="center" wrapText="1"/>
    </xf>
    <xf numFmtId="9" fontId="7" fillId="19" borderId="10" xfId="42" applyNumberFormat="1" applyFont="1" applyFill="1" applyBorder="1" applyAlignment="1">
      <alignment horizontal="center" vertical="center" wrapText="1"/>
    </xf>
    <xf numFmtId="9" fontId="7" fillId="20" borderId="10" xfId="42" applyNumberFormat="1" applyFont="1" applyFill="1" applyBorder="1" applyAlignment="1">
      <alignment horizontal="center" vertical="center" wrapText="1"/>
    </xf>
    <xf numFmtId="9" fontId="7" fillId="18" borderId="10" xfId="48" applyFont="1" applyFill="1" applyBorder="1" applyAlignment="1">
      <alignment horizontal="center"/>
    </xf>
    <xf numFmtId="0" fontId="7" fillId="0" borderId="11" xfId="42" applyFill="1" applyBorder="1" applyAlignment="1">
      <alignment horizontal="center"/>
    </xf>
    <xf numFmtId="0" fontId="7" fillId="0" borderId="0" xfId="42" applyFill="1" applyBorder="1" applyAlignment="1">
      <alignment horizontal="center"/>
    </xf>
    <xf numFmtId="0" fontId="7" fillId="0" borderId="0" xfId="42" applyFont="1" applyFill="1" applyBorder="1"/>
    <xf numFmtId="0" fontId="7" fillId="0" borderId="0" xfId="42" applyFill="1" applyAlignment="1">
      <alignment vertical="center"/>
    </xf>
    <xf numFmtId="1" fontId="34" fillId="0" borderId="0" xfId="42" applyNumberFormat="1" applyFont="1" applyFill="1" applyBorder="1" applyAlignment="1">
      <alignment horizontal="center" vertical="center"/>
    </xf>
    <xf numFmtId="0" fontId="7" fillId="0" borderId="0" xfId="42" applyFill="1" applyAlignment="1">
      <alignment horizontal="center" vertical="center"/>
    </xf>
    <xf numFmtId="0" fontId="16" fillId="21" borderId="10" xfId="42" applyFont="1" applyFill="1" applyBorder="1" applyAlignment="1">
      <alignment horizontal="center" vertical="center"/>
    </xf>
    <xf numFmtId="1" fontId="7" fillId="21" borderId="10" xfId="42" applyNumberFormat="1" applyFill="1" applyBorder="1" applyAlignment="1">
      <alignment horizontal="center" vertical="center"/>
    </xf>
    <xf numFmtId="0" fontId="7" fillId="21" borderId="11" xfId="42" applyFill="1" applyBorder="1" applyAlignment="1">
      <alignment horizontal="center" vertical="center"/>
    </xf>
    <xf numFmtId="0" fontId="7" fillId="0" borderId="0" xfId="42" applyFill="1" applyBorder="1" applyAlignment="1">
      <alignment horizontal="center" vertical="center"/>
    </xf>
    <xf numFmtId="1" fontId="34" fillId="22" borderId="12" xfId="42" applyNumberFormat="1" applyFont="1" applyFill="1" applyBorder="1" applyAlignment="1">
      <alignment horizontal="center" vertical="center"/>
    </xf>
    <xf numFmtId="0" fontId="13" fillId="0" borderId="0" xfId="42" applyFont="1" applyFill="1"/>
    <xf numFmtId="0" fontId="7" fillId="0" borderId="0" xfId="42" applyFill="1" applyBorder="1"/>
    <xf numFmtId="0" fontId="33" fillId="18" borderId="13" xfId="42" applyFont="1" applyFill="1" applyBorder="1" applyAlignment="1">
      <alignment horizontal="center"/>
    </xf>
    <xf numFmtId="0" fontId="7" fillId="0" borderId="14" xfId="42" applyFont="1" applyFill="1" applyBorder="1"/>
    <xf numFmtId="0" fontId="16" fillId="0" borderId="15" xfId="42" applyFont="1" applyFill="1" applyBorder="1"/>
    <xf numFmtId="0" fontId="16" fillId="0" borderId="16" xfId="42" applyFont="1" applyFill="1" applyBorder="1"/>
    <xf numFmtId="0" fontId="7" fillId="0" borderId="16" xfId="42" applyFill="1" applyBorder="1"/>
    <xf numFmtId="0" fontId="7" fillId="0" borderId="17" xfId="42" applyFill="1" applyBorder="1"/>
    <xf numFmtId="1" fontId="33" fillId="18" borderId="18" xfId="48" applyNumberFormat="1" applyFont="1" applyFill="1" applyBorder="1" applyAlignment="1">
      <alignment horizontal="center" vertical="center" wrapText="1"/>
    </xf>
    <xf numFmtId="0" fontId="7" fillId="0" borderId="19" xfId="42" applyFont="1" applyFill="1" applyBorder="1" applyAlignment="1">
      <alignment horizontal="left" vertical="top" wrapText="1"/>
    </xf>
    <xf numFmtId="0" fontId="7" fillId="0" borderId="20" xfId="42" applyFill="1" applyBorder="1"/>
    <xf numFmtId="0" fontId="7" fillId="0" borderId="21" xfId="42" applyFill="1" applyBorder="1"/>
    <xf numFmtId="0" fontId="16" fillId="0" borderId="0" xfId="42" applyFont="1" applyFill="1" applyBorder="1" applyAlignment="1">
      <alignment horizontal="center"/>
    </xf>
    <xf numFmtId="0" fontId="16" fillId="0" borderId="21" xfId="42" applyFont="1" applyFill="1" applyBorder="1" applyAlignment="1">
      <alignment horizontal="center"/>
    </xf>
    <xf numFmtId="0" fontId="16" fillId="0" borderId="0" xfId="42" applyFont="1" applyFill="1" applyBorder="1" applyAlignment="1">
      <alignment horizontal="right"/>
    </xf>
    <xf numFmtId="9" fontId="7" fillId="0" borderId="0" xfId="42" applyNumberFormat="1" applyFill="1" applyBorder="1" applyAlignment="1">
      <alignment horizontal="center"/>
    </xf>
    <xf numFmtId="9" fontId="7" fillId="0" borderId="21" xfId="42" applyNumberFormat="1" applyFill="1" applyBorder="1" applyAlignment="1">
      <alignment horizontal="center"/>
    </xf>
    <xf numFmtId="0" fontId="16" fillId="0" borderId="0" xfId="42" applyFont="1" applyFill="1" applyAlignment="1">
      <alignment horizontal="right"/>
    </xf>
    <xf numFmtId="1" fontId="18" fillId="18" borderId="18" xfId="48" applyNumberFormat="1" applyFont="1" applyFill="1" applyBorder="1" applyAlignment="1">
      <alignment horizontal="center" vertical="center" wrapText="1"/>
    </xf>
    <xf numFmtId="0" fontId="16" fillId="0" borderId="19" xfId="42" applyFont="1" applyFill="1" applyBorder="1" applyAlignment="1">
      <alignment horizontal="left" vertical="top" wrapText="1"/>
    </xf>
    <xf numFmtId="0" fontId="16" fillId="0" borderId="22" xfId="42" applyFont="1" applyFill="1" applyBorder="1"/>
    <xf numFmtId="0" fontId="16" fillId="0" borderId="0" xfId="42" applyFont="1" applyFill="1"/>
    <xf numFmtId="0" fontId="7" fillId="0" borderId="23" xfId="42" applyFill="1" applyBorder="1"/>
    <xf numFmtId="0" fontId="16" fillId="0" borderId="24" xfId="42" applyFont="1" applyFill="1" applyBorder="1" applyAlignment="1">
      <alignment horizontal="right"/>
    </xf>
    <xf numFmtId="0" fontId="7" fillId="0" borderId="24" xfId="42" applyFill="1" applyBorder="1"/>
    <xf numFmtId="0" fontId="7" fillId="0" borderId="25" xfId="42" applyFill="1" applyBorder="1"/>
    <xf numFmtId="0" fontId="16" fillId="0" borderId="17" xfId="42" applyFont="1" applyFill="1" applyBorder="1" applyAlignment="1">
      <alignment horizontal="center"/>
    </xf>
    <xf numFmtId="0" fontId="16" fillId="0" borderId="15" xfId="42" applyFont="1" applyFill="1" applyBorder="1" applyAlignment="1">
      <alignment horizontal="left"/>
    </xf>
    <xf numFmtId="0" fontId="7" fillId="0" borderId="16" xfId="42" applyFill="1" applyBorder="1" applyAlignment="1">
      <alignment horizontal="center"/>
    </xf>
    <xf numFmtId="0" fontId="7" fillId="0" borderId="20" xfId="42" applyFont="1" applyFill="1" applyBorder="1" applyAlignment="1">
      <alignment horizontal="right"/>
    </xf>
    <xf numFmtId="1" fontId="7" fillId="0" borderId="0" xfId="42" applyNumberFormat="1" applyFill="1" applyBorder="1" applyAlignment="1">
      <alignment horizontal="center"/>
    </xf>
    <xf numFmtId="0" fontId="7" fillId="0" borderId="20" xfId="42" applyFont="1" applyFill="1" applyBorder="1" applyAlignment="1">
      <alignment horizontal="right" vertical="top" wrapText="1"/>
    </xf>
    <xf numFmtId="0" fontId="7" fillId="0" borderId="21" xfId="42" applyFill="1" applyBorder="1" applyAlignment="1">
      <alignment horizontal="center"/>
    </xf>
    <xf numFmtId="1" fontId="7" fillId="0" borderId="0" xfId="42" applyNumberFormat="1" applyFill="1" applyBorder="1"/>
    <xf numFmtId="166" fontId="7" fillId="0" borderId="0" xfId="42" applyNumberFormat="1" applyFill="1" applyBorder="1"/>
    <xf numFmtId="166" fontId="7" fillId="0" borderId="21" xfId="42" applyNumberFormat="1" applyFill="1" applyBorder="1"/>
    <xf numFmtId="0" fontId="16" fillId="0" borderId="20" xfId="42" applyFont="1" applyFill="1" applyBorder="1" applyAlignment="1">
      <alignment horizontal="right" vertical="top" wrapText="1"/>
    </xf>
    <xf numFmtId="0" fontId="16" fillId="0" borderId="20" xfId="42" applyFont="1" applyFill="1" applyBorder="1" applyAlignment="1">
      <alignment horizontal="right"/>
    </xf>
    <xf numFmtId="1" fontId="7" fillId="0" borderId="21" xfId="42" applyNumberFormat="1" applyFill="1" applyBorder="1" applyAlignment="1">
      <alignment horizontal="center"/>
    </xf>
    <xf numFmtId="1" fontId="7" fillId="0" borderId="25" xfId="42" applyNumberFormat="1" applyFill="1" applyBorder="1" applyAlignment="1">
      <alignment horizontal="center"/>
    </xf>
    <xf numFmtId="0" fontId="7" fillId="0" borderId="0" xfId="42" applyFill="1" applyAlignment="1">
      <alignment horizontal="right"/>
    </xf>
    <xf numFmtId="9" fontId="7" fillId="0" borderId="0" xfId="42" applyNumberFormat="1" applyFill="1" applyAlignment="1">
      <alignment horizontal="center"/>
    </xf>
    <xf numFmtId="0" fontId="16" fillId="23" borderId="0" xfId="42" applyFont="1" applyFill="1" applyAlignment="1" applyProtection="1">
      <alignment horizontal="center" vertical="center"/>
      <protection locked="0"/>
    </xf>
    <xf numFmtId="0" fontId="16" fillId="23" borderId="0" xfId="42" applyFont="1" applyFill="1" applyAlignment="1" applyProtection="1">
      <alignment horizontal="center"/>
      <protection locked="0"/>
    </xf>
    <xf numFmtId="0" fontId="7" fillId="23" borderId="0" xfId="42" applyFont="1" applyFill="1"/>
    <xf numFmtId="0" fontId="7" fillId="23" borderId="0" xfId="42" applyFill="1" applyAlignment="1">
      <alignment horizontal="center"/>
    </xf>
    <xf numFmtId="1" fontId="7" fillId="0" borderId="21" xfId="42" applyNumberFormat="1" applyFill="1" applyBorder="1"/>
    <xf numFmtId="0" fontId="7" fillId="0" borderId="23" xfId="42" applyFont="1" applyFill="1" applyBorder="1" applyAlignment="1">
      <alignment horizontal="right"/>
    </xf>
    <xf numFmtId="0" fontId="7" fillId="0" borderId="16" xfId="42" applyFont="1" applyFill="1" applyBorder="1"/>
    <xf numFmtId="0" fontId="7" fillId="24" borderId="26" xfId="42" applyFill="1" applyBorder="1"/>
    <xf numFmtId="0" fontId="7" fillId="24" borderId="27" xfId="42" applyFill="1" applyBorder="1" applyAlignment="1">
      <alignment horizontal="center"/>
    </xf>
    <xf numFmtId="0" fontId="7" fillId="24" borderId="28" xfId="42" applyFill="1" applyBorder="1"/>
    <xf numFmtId="0" fontId="7" fillId="24" borderId="29" xfId="42" applyFill="1" applyBorder="1" applyAlignment="1">
      <alignment horizontal="center"/>
    </xf>
    <xf numFmtId="0" fontId="35" fillId="24" borderId="30" xfId="42" applyFont="1" applyFill="1" applyBorder="1"/>
    <xf numFmtId="0" fontId="35" fillId="24" borderId="31" xfId="42" applyFont="1" applyFill="1" applyBorder="1"/>
    <xf numFmtId="0" fontId="40" fillId="0" borderId="0" xfId="42" applyFont="1" applyFill="1"/>
    <xf numFmtId="0" fontId="16" fillId="0" borderId="32" xfId="42" applyFont="1" applyFill="1" applyBorder="1"/>
    <xf numFmtId="0" fontId="7" fillId="0" borderId="33" xfId="42" applyFill="1" applyBorder="1"/>
    <xf numFmtId="0" fontId="7" fillId="0" borderId="34" xfId="42" applyFont="1" applyFill="1" applyBorder="1" applyProtection="1">
      <protection locked="0"/>
    </xf>
    <xf numFmtId="0" fontId="7" fillId="0" borderId="35" xfId="42" applyFill="1" applyBorder="1" applyProtection="1">
      <protection locked="0"/>
    </xf>
    <xf numFmtId="0" fontId="35" fillId="21" borderId="36" xfId="42" applyFont="1" applyFill="1" applyBorder="1"/>
    <xf numFmtId="0" fontId="7" fillId="21" borderId="37" xfId="42" applyFill="1" applyBorder="1"/>
    <xf numFmtId="0" fontId="7" fillId="21" borderId="38" xfId="42" applyFont="1" applyFill="1" applyBorder="1" applyAlignment="1">
      <alignment horizontal="right"/>
    </xf>
    <xf numFmtId="0" fontId="7" fillId="23" borderId="39" xfId="42" applyFont="1" applyFill="1" applyBorder="1" applyAlignment="1">
      <alignment horizontal="center"/>
    </xf>
    <xf numFmtId="0" fontId="7" fillId="21" borderId="40" xfId="42" applyFont="1" applyFill="1" applyBorder="1" applyAlignment="1">
      <alignment horizontal="right"/>
    </xf>
    <xf numFmtId="0" fontId="7" fillId="23" borderId="41" xfId="42" applyFont="1" applyFill="1" applyBorder="1"/>
    <xf numFmtId="0" fontId="40" fillId="23" borderId="36" xfId="42" applyFont="1" applyFill="1" applyBorder="1"/>
    <xf numFmtId="0" fontId="41" fillId="21" borderId="38" xfId="42" applyFont="1" applyFill="1" applyBorder="1"/>
    <xf numFmtId="0" fontId="7" fillId="23" borderId="39" xfId="42" applyFill="1" applyBorder="1" applyAlignment="1">
      <alignment horizontal="left"/>
    </xf>
    <xf numFmtId="0" fontId="7" fillId="21" borderId="38" xfId="42" applyFill="1" applyBorder="1"/>
    <xf numFmtId="0" fontId="7" fillId="21" borderId="39" xfId="42" applyFill="1" applyBorder="1"/>
    <xf numFmtId="0" fontId="7" fillId="23" borderId="40" xfId="42" applyFill="1" applyBorder="1" applyAlignment="1">
      <alignment horizontal="left"/>
    </xf>
    <xf numFmtId="0" fontId="7" fillId="23" borderId="41" xfId="42" applyFill="1" applyBorder="1"/>
    <xf numFmtId="0" fontId="43" fillId="0" borderId="42" xfId="42" applyFont="1" applyFill="1" applyBorder="1" applyAlignment="1">
      <alignment horizontal="center" vertical="top" wrapText="1"/>
    </xf>
    <xf numFmtId="0" fontId="7" fillId="21" borderId="43" xfId="42" applyFill="1" applyBorder="1" applyAlignment="1">
      <alignment vertical="center"/>
    </xf>
    <xf numFmtId="167" fontId="32" fillId="18" borderId="13" xfId="48" applyNumberFormat="1" applyFont="1" applyFill="1" applyBorder="1" applyAlignment="1">
      <alignment horizontal="center" vertical="center" wrapText="1"/>
    </xf>
    <xf numFmtId="1" fontId="7" fillId="18" borderId="44" xfId="48" applyNumberFormat="1" applyFont="1" applyFill="1" applyBorder="1" applyAlignment="1">
      <alignment horizontal="center" vertical="center" wrapText="1"/>
    </xf>
    <xf numFmtId="0" fontId="7" fillId="18" borderId="14" xfId="42" applyFill="1" applyBorder="1" applyAlignment="1">
      <alignment horizontal="center"/>
    </xf>
    <xf numFmtId="167" fontId="32" fillId="18" borderId="18" xfId="48" applyNumberFormat="1" applyFont="1" applyFill="1" applyBorder="1" applyAlignment="1">
      <alignment horizontal="center" vertical="center" wrapText="1"/>
    </xf>
    <xf numFmtId="0" fontId="7" fillId="18" borderId="19" xfId="42" applyFill="1" applyBorder="1" applyAlignment="1">
      <alignment horizontal="center"/>
    </xf>
    <xf numFmtId="1" fontId="7" fillId="18" borderId="19" xfId="42" applyNumberFormat="1" applyFill="1" applyBorder="1" applyAlignment="1">
      <alignment horizontal="center"/>
    </xf>
    <xf numFmtId="9" fontId="34" fillId="22" borderId="45" xfId="42" applyNumberFormat="1" applyFont="1" applyFill="1" applyBorder="1" applyAlignment="1">
      <alignment horizontal="center" vertical="center"/>
    </xf>
    <xf numFmtId="1" fontId="34" fillId="22" borderId="46" xfId="42" applyNumberFormat="1" applyFont="1" applyFill="1" applyBorder="1" applyAlignment="1">
      <alignment horizontal="center" vertical="center"/>
    </xf>
    <xf numFmtId="1" fontId="34" fillId="22" borderId="22" xfId="48" applyNumberFormat="1" applyFont="1" applyFill="1" applyBorder="1" applyAlignment="1">
      <alignment horizontal="center" vertical="center"/>
    </xf>
    <xf numFmtId="0" fontId="7" fillId="19" borderId="13" xfId="42" applyFill="1" applyBorder="1" applyAlignment="1">
      <alignment horizontal="center"/>
    </xf>
    <xf numFmtId="9" fontId="7" fillId="19" borderId="44" xfId="42" applyNumberFormat="1" applyFont="1" applyFill="1" applyBorder="1" applyAlignment="1">
      <alignment horizontal="center" vertical="center" wrapText="1"/>
    </xf>
    <xf numFmtId="166" fontId="16" fillId="19" borderId="14" xfId="48" applyNumberFormat="1" applyFont="1" applyFill="1" applyBorder="1" applyAlignment="1">
      <alignment horizontal="center" vertical="center" wrapText="1"/>
    </xf>
    <xf numFmtId="0" fontId="7" fillId="19" borderId="18" xfId="42" applyFill="1" applyBorder="1" applyAlignment="1">
      <alignment horizontal="center"/>
    </xf>
    <xf numFmtId="166" fontId="16" fillId="19" borderId="19" xfId="48" applyNumberFormat="1" applyFont="1" applyFill="1" applyBorder="1" applyAlignment="1">
      <alignment horizontal="center" vertical="center" wrapText="1"/>
    </xf>
    <xf numFmtId="1" fontId="7" fillId="19" borderId="18" xfId="42" applyNumberFormat="1" applyFill="1" applyBorder="1" applyAlignment="1">
      <alignment horizontal="center"/>
    </xf>
    <xf numFmtId="1" fontId="34" fillId="22" borderId="45" xfId="42" applyNumberFormat="1" applyFont="1" applyFill="1" applyBorder="1" applyAlignment="1">
      <alignment horizontal="center" vertical="center"/>
    </xf>
    <xf numFmtId="0" fontId="7" fillId="22" borderId="46" xfId="42" applyFont="1" applyFill="1" applyBorder="1" applyAlignment="1">
      <alignment horizontal="center" vertical="center"/>
    </xf>
    <xf numFmtId="1" fontId="34" fillId="22" borderId="22" xfId="42" applyNumberFormat="1" applyFont="1" applyFill="1" applyBorder="1" applyAlignment="1">
      <alignment horizontal="center" vertical="center"/>
    </xf>
    <xf numFmtId="0" fontId="7" fillId="21" borderId="47" xfId="42" applyFill="1" applyBorder="1" applyAlignment="1">
      <alignment vertical="center"/>
    </xf>
    <xf numFmtId="0" fontId="16" fillId="21" borderId="48" xfId="42" applyFont="1" applyFill="1" applyBorder="1" applyAlignment="1">
      <alignment horizontal="center" vertical="center"/>
    </xf>
    <xf numFmtId="9" fontId="34" fillId="22" borderId="46" xfId="42" applyNumberFormat="1" applyFont="1" applyFill="1" applyBorder="1" applyAlignment="1">
      <alignment horizontal="center" vertical="center"/>
    </xf>
    <xf numFmtId="0" fontId="7" fillId="21" borderId="47" xfId="42" applyFont="1" applyFill="1" applyBorder="1" applyAlignment="1">
      <alignment horizontal="right" vertical="center"/>
    </xf>
    <xf numFmtId="1" fontId="16" fillId="21" borderId="48" xfId="42" applyNumberFormat="1" applyFont="1" applyFill="1" applyBorder="1" applyAlignment="1">
      <alignment horizontal="center" vertical="center"/>
    </xf>
    <xf numFmtId="0" fontId="7" fillId="20" borderId="18" xfId="42" applyFill="1" applyBorder="1" applyAlignment="1">
      <alignment horizontal="center"/>
    </xf>
    <xf numFmtId="166" fontId="16" fillId="20" borderId="19" xfId="48" applyNumberFormat="1" applyFont="1" applyFill="1" applyBorder="1" applyAlignment="1">
      <alignment horizontal="center" vertical="center" wrapText="1"/>
    </xf>
    <xf numFmtId="1" fontId="7" fillId="20" borderId="18" xfId="42" applyNumberFormat="1" applyFill="1" applyBorder="1" applyAlignment="1">
      <alignment horizontal="center"/>
    </xf>
    <xf numFmtId="0" fontId="7" fillId="21" borderId="18" xfId="42" applyFont="1" applyFill="1" applyBorder="1" applyAlignment="1">
      <alignment horizontal="center" vertical="center"/>
    </xf>
    <xf numFmtId="1" fontId="16" fillId="21" borderId="19" xfId="42" applyNumberFormat="1" applyFont="1" applyFill="1" applyBorder="1" applyAlignment="1">
      <alignment horizontal="center" vertical="center"/>
    </xf>
    <xf numFmtId="0" fontId="7" fillId="18" borderId="18" xfId="42" applyFill="1" applyBorder="1" applyAlignment="1">
      <alignment horizontal="center"/>
    </xf>
    <xf numFmtId="166" fontId="16" fillId="18" borderId="19" xfId="42" applyNumberFormat="1" applyFont="1" applyFill="1" applyBorder="1" applyAlignment="1">
      <alignment horizontal="center"/>
    </xf>
    <xf numFmtId="0" fontId="13" fillId="18" borderId="49" xfId="42" applyFont="1" applyFill="1" applyBorder="1" applyAlignment="1">
      <alignment horizontal="left" vertical="top" wrapText="1"/>
    </xf>
    <xf numFmtId="0" fontId="13" fillId="18" borderId="50" xfId="42" applyFont="1" applyFill="1" applyBorder="1" applyAlignment="1">
      <alignment horizontal="center" vertical="top" wrapText="1"/>
    </xf>
    <xf numFmtId="0" fontId="13" fillId="18" borderId="51" xfId="42" applyFont="1" applyFill="1" applyBorder="1" applyAlignment="1">
      <alignment horizontal="center" vertical="top" wrapText="1"/>
    </xf>
    <xf numFmtId="0" fontId="13" fillId="18" borderId="52" xfId="42" applyFont="1" applyFill="1" applyBorder="1" applyAlignment="1">
      <alignment horizontal="center" vertical="top" wrapText="1"/>
    </xf>
    <xf numFmtId="0" fontId="13" fillId="19" borderId="50" xfId="42" applyFont="1" applyFill="1" applyBorder="1" applyAlignment="1">
      <alignment horizontal="center" vertical="top" wrapText="1"/>
    </xf>
    <xf numFmtId="0" fontId="13" fillId="19" borderId="51" xfId="42" applyFont="1" applyFill="1" applyBorder="1" applyAlignment="1">
      <alignment horizontal="center" vertical="top" wrapText="1"/>
    </xf>
    <xf numFmtId="0" fontId="13" fillId="19" borderId="52" xfId="42" applyFont="1" applyFill="1" applyBorder="1" applyAlignment="1">
      <alignment horizontal="center" vertical="top" wrapText="1"/>
    </xf>
    <xf numFmtId="0" fontId="13" fillId="20" borderId="50" xfId="42" applyFont="1" applyFill="1" applyBorder="1" applyAlignment="1">
      <alignment horizontal="center" vertical="top" wrapText="1"/>
    </xf>
    <xf numFmtId="0" fontId="13" fillId="20" borderId="51" xfId="42" applyFont="1" applyFill="1" applyBorder="1" applyAlignment="1">
      <alignment horizontal="center" vertical="top" wrapText="1"/>
    </xf>
    <xf numFmtId="0" fontId="13" fillId="20" borderId="52" xfId="42" applyFont="1" applyFill="1" applyBorder="1" applyAlignment="1">
      <alignment horizontal="center" vertical="top" wrapText="1"/>
    </xf>
    <xf numFmtId="0" fontId="13" fillId="0" borderId="53" xfId="42" applyFont="1" applyFill="1" applyBorder="1" applyAlignment="1">
      <alignment horizontal="center" vertical="top" wrapText="1"/>
    </xf>
    <xf numFmtId="0" fontId="16" fillId="18" borderId="54" xfId="42" applyFont="1" applyFill="1" applyBorder="1" applyAlignment="1">
      <alignment horizontal="left" vertical="top" wrapText="1"/>
    </xf>
    <xf numFmtId="0" fontId="7" fillId="20" borderId="13" xfId="42" applyFill="1" applyBorder="1" applyAlignment="1">
      <alignment horizontal="center"/>
    </xf>
    <xf numFmtId="9" fontId="7" fillId="20" borderId="44" xfId="42" applyNumberFormat="1" applyFont="1" applyFill="1" applyBorder="1" applyAlignment="1">
      <alignment horizontal="center" vertical="center" wrapText="1"/>
    </xf>
    <xf numFmtId="166" fontId="16" fillId="20" borderId="14" xfId="48" applyNumberFormat="1" applyFont="1" applyFill="1" applyBorder="1" applyAlignment="1">
      <alignment horizontal="center" vertical="center" wrapText="1"/>
    </xf>
    <xf numFmtId="0" fontId="7" fillId="18" borderId="13" xfId="42" applyFill="1" applyBorder="1" applyAlignment="1">
      <alignment horizontal="center"/>
    </xf>
    <xf numFmtId="9" fontId="7" fillId="18" borderId="44" xfId="48" applyFont="1" applyFill="1" applyBorder="1" applyAlignment="1">
      <alignment horizontal="center"/>
    </xf>
    <xf numFmtId="166" fontId="16" fillId="18" borderId="14" xfId="42" applyNumberFormat="1" applyFont="1" applyFill="1" applyBorder="1" applyAlignment="1">
      <alignment horizontal="center"/>
    </xf>
    <xf numFmtId="0" fontId="7" fillId="0" borderId="55" xfId="42" applyFill="1" applyBorder="1" applyAlignment="1">
      <alignment horizontal="center"/>
    </xf>
    <xf numFmtId="0" fontId="16" fillId="18" borderId="56" xfId="42" applyFont="1" applyFill="1" applyBorder="1" applyAlignment="1">
      <alignment horizontal="left" vertical="top" wrapText="1"/>
    </xf>
    <xf numFmtId="0" fontId="16" fillId="18" borderId="56" xfId="42" applyFont="1" applyFill="1" applyBorder="1" applyAlignment="1">
      <alignment horizontal="left" vertical="center" wrapText="1"/>
    </xf>
    <xf numFmtId="0" fontId="16" fillId="18" borderId="57" xfId="42" applyFont="1" applyFill="1" applyBorder="1" applyAlignment="1">
      <alignment horizontal="left" vertical="center" wrapText="1"/>
    </xf>
    <xf numFmtId="167" fontId="32" fillId="18" borderId="45" xfId="48" applyNumberFormat="1" applyFont="1" applyFill="1" applyBorder="1" applyAlignment="1">
      <alignment horizontal="center" vertical="center" wrapText="1"/>
    </xf>
    <xf numFmtId="1" fontId="7" fillId="18" borderId="46" xfId="48" applyNumberFormat="1" applyFont="1" applyFill="1" applyBorder="1" applyAlignment="1">
      <alignment horizontal="center" vertical="center" wrapText="1"/>
    </xf>
    <xf numFmtId="0" fontId="7" fillId="18" borderId="22" xfId="42" applyFill="1" applyBorder="1" applyAlignment="1">
      <alignment horizontal="center"/>
    </xf>
    <xf numFmtId="0" fontId="7" fillId="19" borderId="45" xfId="42" applyFill="1" applyBorder="1" applyAlignment="1">
      <alignment horizontal="center"/>
    </xf>
    <xf numFmtId="9" fontId="7" fillId="19" borderId="46" xfId="42" applyNumberFormat="1" applyFont="1" applyFill="1" applyBorder="1" applyAlignment="1">
      <alignment horizontal="center" vertical="center" wrapText="1"/>
    </xf>
    <xf numFmtId="166" fontId="16" fillId="19" borderId="22" xfId="48" applyNumberFormat="1" applyFont="1" applyFill="1" applyBorder="1" applyAlignment="1">
      <alignment horizontal="center" vertical="center" wrapText="1"/>
    </xf>
    <xf numFmtId="0" fontId="7" fillId="20" borderId="45" xfId="42" applyFill="1" applyBorder="1" applyAlignment="1">
      <alignment horizontal="center"/>
    </xf>
    <xf numFmtId="9" fontId="7" fillId="20" borderId="46" xfId="42" applyNumberFormat="1" applyFont="1" applyFill="1" applyBorder="1" applyAlignment="1">
      <alignment horizontal="center" vertical="center" wrapText="1"/>
    </xf>
    <xf numFmtId="166" fontId="16" fillId="20" borderId="22" xfId="48" applyNumberFormat="1" applyFont="1" applyFill="1" applyBorder="1" applyAlignment="1">
      <alignment horizontal="center" vertical="center" wrapText="1"/>
    </xf>
    <xf numFmtId="0" fontId="7" fillId="18" borderId="45" xfId="42" applyFill="1" applyBorder="1" applyAlignment="1">
      <alignment horizontal="center"/>
    </xf>
    <xf numFmtId="9" fontId="7" fillId="18" borderId="46" xfId="48" applyFont="1" applyFill="1" applyBorder="1" applyAlignment="1">
      <alignment horizontal="center"/>
    </xf>
    <xf numFmtId="166" fontId="16" fillId="18" borderId="22" xfId="42" applyNumberFormat="1" applyFont="1" applyFill="1" applyBorder="1" applyAlignment="1">
      <alignment horizontal="center"/>
    </xf>
    <xf numFmtId="0" fontId="7" fillId="0" borderId="12" xfId="42" applyFill="1" applyBorder="1" applyAlignment="1">
      <alignment horizontal="center"/>
    </xf>
    <xf numFmtId="0" fontId="34" fillId="22" borderId="54" xfId="42" applyFont="1" applyFill="1" applyBorder="1" applyAlignment="1">
      <alignment horizontal="left" vertical="center"/>
    </xf>
    <xf numFmtId="9" fontId="34" fillId="22" borderId="50" xfId="42" applyNumberFormat="1" applyFont="1" applyFill="1" applyBorder="1" applyAlignment="1">
      <alignment horizontal="center" vertical="center"/>
    </xf>
    <xf numFmtId="1" fontId="34" fillId="22" borderId="51" xfId="42" applyNumberFormat="1" applyFont="1" applyFill="1" applyBorder="1" applyAlignment="1">
      <alignment horizontal="center" vertical="center"/>
    </xf>
    <xf numFmtId="1" fontId="34" fillId="22" borderId="52" xfId="48" applyNumberFormat="1" applyFont="1" applyFill="1" applyBorder="1" applyAlignment="1">
      <alignment horizontal="center" vertical="center"/>
    </xf>
    <xf numFmtId="1" fontId="34" fillId="22" borderId="50" xfId="42" applyNumberFormat="1" applyFont="1" applyFill="1" applyBorder="1" applyAlignment="1">
      <alignment horizontal="center" vertical="center"/>
    </xf>
    <xf numFmtId="0" fontId="7" fillId="22" borderId="51" xfId="42" applyFont="1" applyFill="1" applyBorder="1" applyAlignment="1">
      <alignment horizontal="center" vertical="center"/>
    </xf>
    <xf numFmtId="1" fontId="34" fillId="22" borderId="52" xfId="42" applyNumberFormat="1" applyFont="1" applyFill="1" applyBorder="1" applyAlignment="1">
      <alignment horizontal="center" vertical="center"/>
    </xf>
    <xf numFmtId="1" fontId="34" fillId="22" borderId="13" xfId="42" applyNumberFormat="1" applyFont="1" applyFill="1" applyBorder="1" applyAlignment="1">
      <alignment horizontal="center" vertical="center"/>
    </xf>
    <xf numFmtId="1" fontId="34" fillId="22" borderId="44" xfId="42" applyNumberFormat="1" applyFont="1" applyFill="1" applyBorder="1" applyAlignment="1">
      <alignment horizontal="center" vertical="center"/>
    </xf>
    <xf numFmtId="1" fontId="34" fillId="22" borderId="14" xfId="42" applyNumberFormat="1" applyFont="1" applyFill="1" applyBorder="1" applyAlignment="1">
      <alignment horizontal="center" vertical="center"/>
    </xf>
    <xf numFmtId="1" fontId="34" fillId="22" borderId="55" xfId="42" applyNumberFormat="1" applyFont="1" applyFill="1" applyBorder="1" applyAlignment="1">
      <alignment horizontal="center" vertical="center"/>
    </xf>
    <xf numFmtId="0" fontId="16" fillId="21" borderId="56" xfId="42" applyFont="1" applyFill="1" applyBorder="1" applyAlignment="1">
      <alignment vertical="center"/>
    </xf>
    <xf numFmtId="0" fontId="34" fillId="22" borderId="57" xfId="42" applyFont="1" applyFill="1" applyBorder="1" applyAlignment="1">
      <alignment horizontal="left" vertical="center"/>
    </xf>
    <xf numFmtId="9" fontId="16" fillId="0" borderId="58" xfId="42" applyNumberFormat="1" applyFont="1" applyBorder="1" applyAlignment="1">
      <alignment horizontal="center"/>
    </xf>
    <xf numFmtId="9" fontId="16" fillId="0" borderId="59" xfId="42" applyNumberFormat="1" applyFont="1" applyBorder="1" applyAlignment="1">
      <alignment horizontal="center"/>
    </xf>
    <xf numFmtId="0" fontId="44" fillId="0" borderId="0" xfId="42" applyFont="1" applyFill="1" applyAlignment="1">
      <alignment horizontal="left" vertical="center"/>
    </xf>
    <xf numFmtId="0" fontId="45" fillId="0" borderId="0" xfId="42" applyFont="1" applyFill="1"/>
    <xf numFmtId="0" fontId="13" fillId="0" borderId="60" xfId="42" applyFont="1" applyFill="1" applyBorder="1" applyAlignment="1">
      <alignment vertical="top" wrapText="1"/>
    </xf>
    <xf numFmtId="0" fontId="13" fillId="0" borderId="37" xfId="42" applyFont="1" applyFill="1" applyBorder="1" applyAlignment="1">
      <alignment vertical="top" wrapText="1"/>
    </xf>
    <xf numFmtId="0" fontId="16" fillId="18" borderId="61" xfId="42" applyFont="1" applyFill="1" applyBorder="1" applyAlignment="1">
      <alignment horizontal="left"/>
    </xf>
    <xf numFmtId="0" fontId="39" fillId="18" borderId="62" xfId="42" applyFont="1" applyFill="1" applyBorder="1" applyAlignment="1">
      <alignment horizontal="center"/>
    </xf>
    <xf numFmtId="0" fontId="38" fillId="18" borderId="63" xfId="42" applyFont="1" applyFill="1" applyBorder="1" applyAlignment="1">
      <alignment horizontal="center" vertical="top" wrapText="1"/>
    </xf>
    <xf numFmtId="0" fontId="38" fillId="18" borderId="62" xfId="42" applyFont="1" applyFill="1" applyBorder="1" applyAlignment="1">
      <alignment horizontal="center" vertical="top" wrapText="1"/>
    </xf>
    <xf numFmtId="0" fontId="38" fillId="18" borderId="64" xfId="42" applyFont="1" applyFill="1" applyBorder="1" applyAlignment="1">
      <alignment horizontal="center" vertical="top" wrapText="1"/>
    </xf>
    <xf numFmtId="0" fontId="7" fillId="18" borderId="38" xfId="42" applyFill="1" applyBorder="1" applyAlignment="1">
      <alignment vertical="center"/>
    </xf>
    <xf numFmtId="0" fontId="7" fillId="18" borderId="0" xfId="42" applyFill="1" applyBorder="1" applyAlignment="1">
      <alignment vertical="center"/>
    </xf>
    <xf numFmtId="0" fontId="7" fillId="18" borderId="0" xfId="42" applyFill="1" applyBorder="1" applyAlignment="1">
      <alignment horizontal="center" vertical="center"/>
    </xf>
    <xf numFmtId="0" fontId="7" fillId="18" borderId="40" xfId="42" applyFill="1" applyBorder="1" applyAlignment="1">
      <alignment vertical="center"/>
    </xf>
    <xf numFmtId="9" fontId="7" fillId="18" borderId="32" xfId="42" applyNumberFormat="1" applyFill="1" applyBorder="1" applyAlignment="1">
      <alignment vertical="center"/>
    </xf>
    <xf numFmtId="9" fontId="39" fillId="18" borderId="32" xfId="42" applyNumberFormat="1" applyFont="1" applyFill="1" applyBorder="1" applyAlignment="1">
      <alignment horizontal="center" vertical="center"/>
    </xf>
    <xf numFmtId="9" fontId="39" fillId="18" borderId="41" xfId="42" applyNumberFormat="1" applyFont="1" applyFill="1" applyBorder="1" applyAlignment="1">
      <alignment horizontal="center" vertical="center"/>
    </xf>
    <xf numFmtId="0" fontId="42" fillId="18" borderId="36" xfId="42" applyFont="1" applyFill="1" applyBorder="1"/>
    <xf numFmtId="0" fontId="7" fillId="18" borderId="38" xfId="42" applyFill="1" applyBorder="1"/>
    <xf numFmtId="0" fontId="13" fillId="18" borderId="65" xfId="42" applyFont="1" applyFill="1" applyBorder="1" applyAlignment="1">
      <alignment vertical="top" wrapText="1"/>
    </xf>
    <xf numFmtId="0" fontId="39" fillId="18" borderId="65" xfId="42" applyFont="1" applyFill="1" applyBorder="1" applyAlignment="1">
      <alignment horizontal="left" vertical="center" wrapText="1"/>
    </xf>
    <xf numFmtId="0" fontId="7" fillId="18" borderId="60" xfId="42" applyFill="1" applyBorder="1"/>
    <xf numFmtId="0" fontId="38" fillId="18" borderId="66" xfId="42" applyFont="1" applyFill="1" applyBorder="1" applyAlignment="1">
      <alignment vertical="top" wrapText="1"/>
    </xf>
    <xf numFmtId="0" fontId="7" fillId="18" borderId="0" xfId="42" applyFont="1" applyFill="1" applyBorder="1" applyAlignment="1">
      <alignment horizontal="center"/>
    </xf>
    <xf numFmtId="0" fontId="7" fillId="18" borderId="0" xfId="42" applyFont="1" applyFill="1" applyBorder="1"/>
    <xf numFmtId="0" fontId="39" fillId="18" borderId="67" xfId="42" applyFont="1" applyFill="1" applyBorder="1" applyAlignment="1">
      <alignment horizontal="left" vertical="top" wrapText="1"/>
    </xf>
    <xf numFmtId="0" fontId="39" fillId="18" borderId="67" xfId="42" applyFont="1" applyFill="1" applyBorder="1" applyAlignment="1">
      <alignment horizontal="left" vertical="center" wrapText="1"/>
    </xf>
    <xf numFmtId="9" fontId="16" fillId="0" borderId="68" xfId="42" applyNumberFormat="1" applyFont="1" applyBorder="1" applyAlignment="1">
      <alignment horizontal="center"/>
    </xf>
    <xf numFmtId="0" fontId="42" fillId="0" borderId="0" xfId="42" applyFont="1" applyFill="1"/>
    <xf numFmtId="1" fontId="18" fillId="18" borderId="45" xfId="48" applyNumberFormat="1" applyFont="1" applyFill="1" applyBorder="1" applyAlignment="1">
      <alignment horizontal="center" vertical="center" wrapText="1"/>
    </xf>
    <xf numFmtId="0" fontId="7" fillId="0" borderId="44" xfId="42" applyFill="1" applyBorder="1"/>
    <xf numFmtId="0" fontId="7" fillId="23" borderId="0" xfId="42" applyFill="1"/>
    <xf numFmtId="9" fontId="91" fillId="18" borderId="16" xfId="0" applyNumberFormat="1" applyFont="1" applyFill="1" applyBorder="1" applyAlignment="1">
      <alignment horizontal="center" wrapText="1"/>
    </xf>
    <xf numFmtId="0" fontId="40" fillId="0" borderId="0" xfId="42" applyFont="1" applyFill="1" applyAlignment="1">
      <alignment horizontal="left"/>
    </xf>
    <xf numFmtId="0" fontId="7" fillId="0" borderId="0" xfId="42" applyFont="1" applyFill="1" applyAlignment="1">
      <alignment horizontal="center"/>
    </xf>
    <xf numFmtId="0" fontId="7" fillId="0" borderId="0" xfId="42" applyFont="1" applyFill="1" applyAlignment="1">
      <alignment horizontal="left"/>
    </xf>
    <xf numFmtId="0" fontId="7" fillId="0" borderId="0" xfId="42" applyFill="1" applyProtection="1">
      <protection locked="0"/>
    </xf>
    <xf numFmtId="0" fontId="7" fillId="23" borderId="0" xfId="42" applyFill="1" applyAlignment="1" applyProtection="1">
      <alignment horizontal="center"/>
      <protection locked="0"/>
    </xf>
    <xf numFmtId="0" fontId="16" fillId="0" borderId="0" xfId="42" applyFont="1" applyFill="1" applyAlignment="1">
      <alignment horizontal="right" vertical="center" wrapText="1"/>
    </xf>
    <xf numFmtId="9" fontId="39" fillId="0" borderId="58" xfId="42" applyNumberFormat="1" applyFont="1" applyBorder="1" applyAlignment="1">
      <alignment horizontal="center"/>
    </xf>
    <xf numFmtId="9" fontId="39" fillId="0" borderId="68" xfId="42" applyNumberFormat="1" applyFont="1" applyBorder="1" applyAlignment="1">
      <alignment horizontal="center"/>
    </xf>
    <xf numFmtId="9" fontId="39" fillId="0" borderId="59" xfId="42" applyNumberFormat="1" applyFont="1" applyBorder="1" applyAlignment="1">
      <alignment horizontal="center"/>
    </xf>
    <xf numFmtId="0" fontId="7" fillId="18" borderId="69" xfId="42" applyFill="1" applyBorder="1" applyAlignment="1">
      <alignment horizontal="center" vertical="center"/>
    </xf>
    <xf numFmtId="0" fontId="7" fillId="18" borderId="70" xfId="42" applyFill="1" applyBorder="1" applyAlignment="1">
      <alignment horizontal="center" vertical="center"/>
    </xf>
    <xf numFmtId="0" fontId="7" fillId="25" borderId="64" xfId="42" applyFill="1" applyBorder="1"/>
    <xf numFmtId="172" fontId="24" fillId="17" borderId="10" xfId="28" applyNumberFormat="1" applyFont="1" applyFill="1" applyBorder="1" applyAlignment="1" applyProtection="1">
      <alignment horizontal="right" vertical="center" wrapText="1"/>
      <protection locked="0"/>
    </xf>
    <xf numFmtId="0" fontId="25" fillId="17" borderId="10" xfId="40" applyFont="1" applyFill="1" applyBorder="1" applyAlignment="1" applyProtection="1">
      <alignment horizontal="center" vertical="center" wrapText="1"/>
      <protection locked="0" hidden="1"/>
    </xf>
    <xf numFmtId="0" fontId="104" fillId="17" borderId="10" xfId="40" applyFont="1" applyFill="1" applyBorder="1" applyAlignment="1" applyProtection="1">
      <alignment vertical="top" wrapText="1"/>
      <protection hidden="1"/>
    </xf>
    <xf numFmtId="0" fontId="24" fillId="17" borderId="10" xfId="40" applyFont="1" applyFill="1" applyBorder="1" applyAlignment="1" applyProtection="1">
      <alignment vertical="top" wrapText="1"/>
      <protection hidden="1"/>
    </xf>
    <xf numFmtId="0" fontId="24" fillId="17" borderId="10" xfId="40" applyFont="1" applyFill="1" applyBorder="1" applyAlignment="1" applyProtection="1">
      <alignment horizontal="left" vertical="top" wrapText="1"/>
      <protection hidden="1"/>
    </xf>
    <xf numFmtId="0" fontId="104" fillId="17" borderId="10" xfId="0" applyFont="1" applyFill="1" applyBorder="1" applyAlignment="1">
      <alignment horizontal="left" vertical="top" wrapText="1"/>
    </xf>
    <xf numFmtId="0" fontId="104" fillId="17" borderId="71" xfId="0" applyFont="1" applyFill="1" applyBorder="1" applyAlignment="1">
      <alignment horizontal="left" vertical="top" wrapText="1"/>
    </xf>
    <xf numFmtId="0" fontId="24" fillId="17" borderId="71" xfId="40" applyFont="1" applyFill="1" applyBorder="1" applyAlignment="1" applyProtection="1">
      <alignment vertical="top" wrapText="1"/>
      <protection hidden="1"/>
    </xf>
    <xf numFmtId="0" fontId="24" fillId="17" borderId="71" xfId="40" applyFont="1" applyFill="1" applyBorder="1" applyAlignment="1" applyProtection="1">
      <alignment horizontal="left" vertical="top" wrapText="1"/>
      <protection hidden="1"/>
    </xf>
    <xf numFmtId="0" fontId="25" fillId="17" borderId="71" xfId="40" applyFont="1" applyFill="1" applyBorder="1" applyAlignment="1" applyProtection="1">
      <alignment horizontal="center" vertical="center" wrapText="1"/>
      <protection locked="0" hidden="1"/>
    </xf>
    <xf numFmtId="0" fontId="25" fillId="17" borderId="43" xfId="40" applyFont="1" applyFill="1" applyBorder="1" applyAlignment="1" applyProtection="1">
      <alignment horizontal="center" vertical="center" wrapText="1"/>
      <protection locked="0" hidden="1"/>
    </xf>
    <xf numFmtId="0" fontId="7" fillId="17" borderId="10" xfId="0" applyFont="1" applyFill="1" applyBorder="1" applyAlignment="1">
      <alignment horizontal="left" vertical="top" wrapText="1"/>
    </xf>
    <xf numFmtId="0" fontId="7" fillId="17" borderId="71" xfId="0" applyFont="1" applyFill="1" applyBorder="1" applyAlignment="1">
      <alignment horizontal="left" vertical="top" wrapText="1"/>
    </xf>
    <xf numFmtId="0" fontId="25" fillId="17" borderId="13" xfId="40" applyFont="1" applyFill="1" applyBorder="1" applyAlignment="1" applyProtection="1">
      <alignment vertical="top" wrapText="1"/>
      <protection hidden="1"/>
    </xf>
    <xf numFmtId="0" fontId="25" fillId="17" borderId="18" xfId="40" applyFont="1" applyFill="1" applyBorder="1" applyAlignment="1" applyProtection="1">
      <alignment vertical="top" wrapText="1"/>
      <protection hidden="1"/>
    </xf>
    <xf numFmtId="0" fontId="24" fillId="17" borderId="10" xfId="40" applyFont="1" applyFill="1" applyBorder="1" applyAlignment="1" applyProtection="1">
      <alignment horizontal="center" vertical="center" wrapText="1"/>
      <protection hidden="1"/>
    </xf>
    <xf numFmtId="0" fontId="24" fillId="17" borderId="44" xfId="40" applyFont="1" applyFill="1" applyBorder="1" applyAlignment="1" applyProtection="1">
      <alignment horizontal="left" vertical="top" wrapText="1"/>
      <protection hidden="1"/>
    </xf>
    <xf numFmtId="0" fontId="24" fillId="17" borderId="44" xfId="40" applyFont="1" applyFill="1" applyBorder="1" applyAlignment="1" applyProtection="1">
      <alignment horizontal="center" vertical="center" wrapText="1"/>
      <protection hidden="1"/>
    </xf>
    <xf numFmtId="0" fontId="25" fillId="17" borderId="44" xfId="40" applyFont="1" applyFill="1" applyBorder="1" applyAlignment="1" applyProtection="1">
      <alignment horizontal="center" vertical="center" wrapText="1"/>
      <protection locked="0" hidden="1"/>
    </xf>
    <xf numFmtId="0" fontId="24" fillId="17" borderId="71" xfId="40" applyFont="1" applyFill="1" applyBorder="1" applyAlignment="1" applyProtection="1">
      <alignment horizontal="center" vertical="center" wrapText="1"/>
      <protection hidden="1"/>
    </xf>
    <xf numFmtId="0" fontId="25" fillId="17" borderId="72" xfId="40" applyFont="1" applyFill="1" applyBorder="1" applyAlignment="1" applyProtection="1">
      <alignment vertical="top" wrapText="1"/>
      <protection hidden="1"/>
    </xf>
    <xf numFmtId="0" fontId="25" fillId="17" borderId="13" xfId="40" applyFont="1" applyFill="1" applyBorder="1" applyAlignment="1" applyProtection="1">
      <alignment horizontal="left" vertical="top" wrapText="1"/>
      <protection hidden="1"/>
    </xf>
    <xf numFmtId="0" fontId="25" fillId="17" borderId="18" xfId="40" applyFont="1" applyFill="1" applyBorder="1" applyAlignment="1" applyProtection="1">
      <alignment horizontal="left" vertical="top" wrapText="1"/>
      <protection hidden="1"/>
    </xf>
    <xf numFmtId="0" fontId="25" fillId="17" borderId="72" xfId="40" applyFont="1" applyFill="1" applyBorder="1" applyAlignment="1" applyProtection="1">
      <alignment horizontal="left" vertical="top" wrapText="1"/>
      <protection hidden="1"/>
    </xf>
    <xf numFmtId="0" fontId="104" fillId="17" borderId="44" xfId="0" applyFont="1" applyFill="1" applyBorder="1" applyAlignment="1">
      <alignment horizontal="left" vertical="top" wrapText="1"/>
    </xf>
    <xf numFmtId="0" fontId="25" fillId="17" borderId="47" xfId="40" applyFont="1" applyFill="1" applyBorder="1" applyAlignment="1" applyProtection="1">
      <alignment horizontal="left" vertical="top" wrapText="1"/>
      <protection hidden="1"/>
    </xf>
    <xf numFmtId="0" fontId="104" fillId="17" borderId="44" xfId="0" applyFont="1" applyFill="1" applyBorder="1" applyAlignment="1">
      <alignment horizontal="left" vertical="top" wrapText="1" readingOrder="1"/>
    </xf>
    <xf numFmtId="0" fontId="104" fillId="17" borderId="44" xfId="0" applyFont="1" applyFill="1" applyBorder="1" applyAlignment="1">
      <alignment vertical="top" wrapText="1"/>
    </xf>
    <xf numFmtId="0" fontId="104" fillId="17" borderId="10" xfId="0" applyFont="1" applyFill="1" applyBorder="1" applyAlignment="1">
      <alignment vertical="top" wrapText="1"/>
    </xf>
    <xf numFmtId="0" fontId="104" fillId="17" borderId="71" xfId="0" applyFont="1" applyFill="1" applyBorder="1" applyAlignment="1">
      <alignment vertical="top" wrapText="1"/>
    </xf>
    <xf numFmtId="0" fontId="104" fillId="17" borderId="43" xfId="0" applyFont="1" applyFill="1" applyBorder="1" applyAlignment="1">
      <alignment vertical="top" wrapText="1"/>
    </xf>
    <xf numFmtId="0" fontId="104" fillId="17" borderId="73" xfId="0" applyFont="1" applyFill="1" applyBorder="1" applyAlignment="1">
      <alignment vertical="top" wrapText="1"/>
    </xf>
    <xf numFmtId="0" fontId="104" fillId="17" borderId="71" xfId="0" applyFont="1" applyFill="1" applyBorder="1" applyAlignment="1">
      <alignment horizontal="left" vertical="top" wrapText="1" readingOrder="1"/>
    </xf>
    <xf numFmtId="0" fontId="104" fillId="17" borderId="73" xfId="0" applyFont="1" applyFill="1" applyBorder="1" applyAlignment="1">
      <alignment horizontal="left" vertical="top" wrapText="1" readingOrder="1"/>
    </xf>
    <xf numFmtId="0" fontId="111" fillId="17" borderId="73" xfId="0" applyFont="1" applyFill="1" applyBorder="1" applyAlignment="1">
      <alignment horizontal="left" vertical="top" wrapText="1" readingOrder="1"/>
    </xf>
    <xf numFmtId="0" fontId="111" fillId="17" borderId="43" xfId="0" applyFont="1" applyFill="1" applyBorder="1" applyAlignment="1">
      <alignment horizontal="left" vertical="top" wrapText="1" readingOrder="1"/>
    </xf>
    <xf numFmtId="0" fontId="25" fillId="17" borderId="47" xfId="40" applyFont="1" applyFill="1" applyBorder="1" applyAlignment="1" applyProtection="1">
      <alignment vertical="top" wrapText="1"/>
      <protection hidden="1"/>
    </xf>
    <xf numFmtId="0" fontId="24" fillId="17" borderId="43" xfId="40" applyFont="1" applyFill="1" applyBorder="1" applyAlignment="1" applyProtection="1">
      <alignment horizontal="left" vertical="top" wrapText="1"/>
      <protection hidden="1"/>
    </xf>
    <xf numFmtId="0" fontId="24" fillId="17" borderId="43" xfId="40" applyFont="1" applyFill="1" applyBorder="1" applyAlignment="1" applyProtection="1">
      <alignment horizontal="center" vertical="center" wrapText="1"/>
      <protection hidden="1"/>
    </xf>
    <xf numFmtId="0" fontId="9" fillId="17" borderId="10" xfId="0" applyFont="1" applyFill="1" applyBorder="1" applyAlignment="1">
      <alignment horizontal="left" vertical="top" wrapText="1"/>
    </xf>
    <xf numFmtId="0" fontId="9" fillId="17" borderId="44" xfId="0" applyFont="1" applyFill="1" applyBorder="1" applyAlignment="1">
      <alignment horizontal="left" vertical="top" wrapText="1"/>
    </xf>
    <xf numFmtId="0" fontId="7" fillId="24" borderId="10" xfId="41" applyFill="1" applyBorder="1" applyAlignment="1" applyProtection="1">
      <alignment horizontal="center" vertical="center"/>
      <protection hidden="1"/>
    </xf>
    <xf numFmtId="1" fontId="24" fillId="17" borderId="10" xfId="42" applyNumberFormat="1" applyFont="1" applyFill="1" applyBorder="1" applyAlignment="1" applyProtection="1">
      <alignment horizontal="center"/>
      <protection locked="0"/>
    </xf>
    <xf numFmtId="0" fontId="69" fillId="17" borderId="18" xfId="42" applyFont="1" applyFill="1" applyBorder="1" applyAlignment="1" applyProtection="1">
      <alignment horizontal="center" vertical="center"/>
      <protection locked="0"/>
    </xf>
    <xf numFmtId="0" fontId="69" fillId="17" borderId="19" xfId="42" applyFont="1" applyFill="1" applyBorder="1" applyAlignment="1" applyProtection="1">
      <alignment horizontal="center" vertical="center"/>
      <protection locked="0"/>
    </xf>
    <xf numFmtId="0" fontId="69" fillId="17" borderId="45" xfId="42" applyFont="1" applyFill="1" applyBorder="1" applyAlignment="1" applyProtection="1">
      <alignment horizontal="center" vertical="center"/>
      <protection locked="0"/>
    </xf>
    <xf numFmtId="0" fontId="69" fillId="17" borderId="22" xfId="42" applyFont="1" applyFill="1" applyBorder="1" applyAlignment="1" applyProtection="1">
      <alignment horizontal="center" vertical="center"/>
      <protection locked="0"/>
    </xf>
    <xf numFmtId="0" fontId="69" fillId="17" borderId="64" xfId="42" applyFont="1" applyFill="1" applyBorder="1" applyAlignment="1" applyProtection="1">
      <alignment horizontal="center" vertical="center"/>
      <protection locked="0"/>
    </xf>
    <xf numFmtId="0" fontId="69" fillId="17" borderId="74" xfId="42" applyFont="1" applyFill="1" applyBorder="1" applyAlignment="1" applyProtection="1">
      <alignment horizontal="center" vertical="center"/>
      <protection locked="0"/>
    </xf>
    <xf numFmtId="0" fontId="25" fillId="24" borderId="71" xfId="40" applyFont="1" applyFill="1" applyBorder="1" applyAlignment="1" applyProtection="1">
      <alignment horizontal="center" vertical="center" wrapText="1"/>
      <protection hidden="1"/>
    </xf>
    <xf numFmtId="0" fontId="7" fillId="0" borderId="0" xfId="42" applyFont="1" applyFill="1"/>
    <xf numFmtId="0" fontId="25" fillId="17" borderId="10" xfId="40" applyFont="1" applyFill="1" applyBorder="1" applyAlignment="1" applyProtection="1">
      <alignment vertical="top" wrapText="1"/>
      <protection hidden="1"/>
    </xf>
    <xf numFmtId="0" fontId="25" fillId="24" borderId="44" xfId="40" applyFont="1" applyFill="1" applyBorder="1" applyAlignment="1" applyProtection="1">
      <alignment horizontal="center" vertical="center" wrapText="1"/>
      <protection hidden="1"/>
    </xf>
    <xf numFmtId="0" fontId="104" fillId="17" borderId="43" xfId="0" applyFont="1" applyFill="1" applyBorder="1" applyAlignment="1">
      <alignment horizontal="left" vertical="top" wrapText="1"/>
    </xf>
    <xf numFmtId="0" fontId="25" fillId="17" borderId="13" xfId="0" applyFont="1" applyFill="1" applyBorder="1" applyAlignment="1" applyProtection="1">
      <alignment vertical="top" wrapText="1"/>
      <protection hidden="1"/>
    </xf>
    <xf numFmtId="0" fontId="25" fillId="17" borderId="44" xfId="0" applyFont="1" applyFill="1" applyBorder="1" applyAlignment="1" applyProtection="1">
      <alignment horizontal="center" vertical="center" wrapText="1"/>
      <protection locked="0" hidden="1"/>
    </xf>
    <xf numFmtId="0" fontId="25" fillId="17" borderId="18" xfId="0" applyFont="1" applyFill="1" applyBorder="1" applyAlignment="1" applyProtection="1">
      <alignment vertical="top" wrapText="1"/>
      <protection hidden="1"/>
    </xf>
    <xf numFmtId="0" fontId="25" fillId="17" borderId="10" xfId="0" applyFont="1" applyFill="1" applyBorder="1" applyAlignment="1" applyProtection="1">
      <alignment horizontal="center" vertical="center" wrapText="1"/>
      <protection locked="0" hidden="1"/>
    </xf>
    <xf numFmtId="0" fontId="25" fillId="17" borderId="72" xfId="0" applyFont="1" applyFill="1" applyBorder="1" applyAlignment="1" applyProtection="1">
      <alignment vertical="top" wrapText="1"/>
      <protection hidden="1"/>
    </xf>
    <xf numFmtId="0" fontId="25" fillId="17" borderId="71" xfId="0" applyFont="1" applyFill="1" applyBorder="1" applyAlignment="1" applyProtection="1">
      <alignment horizontal="center" vertical="center" wrapText="1"/>
      <protection locked="0" hidden="1"/>
    </xf>
    <xf numFmtId="0" fontId="63" fillId="26" borderId="10" xfId="41" applyFont="1" applyFill="1" applyBorder="1" applyAlignment="1" applyProtection="1">
      <alignment vertical="center"/>
      <protection hidden="1"/>
    </xf>
    <xf numFmtId="0" fontId="7" fillId="26" borderId="10" xfId="41" applyFill="1" applyBorder="1" applyAlignment="1" applyProtection="1">
      <alignment vertical="center"/>
      <protection hidden="1"/>
    </xf>
    <xf numFmtId="172" fontId="24" fillId="17" borderId="10" xfId="28" applyNumberFormat="1" applyFont="1" applyFill="1" applyBorder="1" applyAlignment="1" applyProtection="1">
      <alignment horizontal="right" vertical="center"/>
      <protection locked="0"/>
    </xf>
    <xf numFmtId="0" fontId="68" fillId="26" borderId="49" xfId="42" applyFont="1" applyFill="1" applyBorder="1" applyProtection="1"/>
    <xf numFmtId="0" fontId="67" fillId="26" borderId="75" xfId="42" applyFont="1" applyFill="1" applyBorder="1" applyAlignment="1" applyProtection="1">
      <alignment horizontal="center"/>
    </xf>
    <xf numFmtId="0" fontId="67" fillId="26" borderId="76" xfId="42" applyFont="1" applyFill="1" applyBorder="1" applyAlignment="1" applyProtection="1">
      <alignment horizontal="center"/>
    </xf>
    <xf numFmtId="0" fontId="68" fillId="26" borderId="15" xfId="42" applyFont="1" applyFill="1" applyBorder="1" applyProtection="1"/>
    <xf numFmtId="0" fontId="34" fillId="26" borderId="10" xfId="41" applyFont="1" applyFill="1" applyBorder="1" applyAlignment="1" applyProtection="1">
      <alignment horizontal="center" vertical="center"/>
      <protection hidden="1"/>
    </xf>
    <xf numFmtId="0" fontId="36" fillId="26" borderId="10" xfId="42" applyFont="1" applyFill="1" applyBorder="1" applyAlignment="1">
      <alignment horizontal="center"/>
    </xf>
    <xf numFmtId="0" fontId="51" fillId="26" borderId="10" xfId="42" applyFont="1" applyFill="1" applyBorder="1" applyAlignment="1">
      <alignment horizontal="center"/>
    </xf>
    <xf numFmtId="0" fontId="36" fillId="26" borderId="10" xfId="42" applyFont="1" applyFill="1" applyBorder="1"/>
    <xf numFmtId="2" fontId="104" fillId="24" borderId="10" xfId="42" applyNumberFormat="1" applyFont="1" applyFill="1" applyBorder="1" applyAlignment="1" applyProtection="1">
      <alignment horizontal="center"/>
      <protection hidden="1"/>
    </xf>
    <xf numFmtId="2" fontId="16" fillId="24" borderId="10" xfId="42" applyNumberFormat="1" applyFont="1" applyFill="1" applyBorder="1" applyAlignment="1" applyProtection="1">
      <alignment horizontal="center" vertical="center"/>
      <protection hidden="1"/>
    </xf>
    <xf numFmtId="0" fontId="34" fillId="24" borderId="10" xfId="42" applyFont="1" applyFill="1" applyBorder="1" applyAlignment="1" applyProtection="1">
      <alignment horizontal="center" vertical="center" wrapText="1"/>
      <protection hidden="1"/>
    </xf>
    <xf numFmtId="2" fontId="16" fillId="24" borderId="19" xfId="41" applyNumberFormat="1" applyFont="1" applyFill="1" applyBorder="1" applyAlignment="1" applyProtection="1">
      <alignment horizontal="center" vertical="center" wrapText="1"/>
      <protection hidden="1"/>
    </xf>
    <xf numFmtId="0" fontId="24" fillId="17" borderId="38" xfId="0" applyFont="1" applyFill="1" applyBorder="1" applyAlignment="1" applyProtection="1">
      <alignment vertical="center"/>
      <protection hidden="1"/>
    </xf>
    <xf numFmtId="0" fontId="24" fillId="17" borderId="0" xfId="0" applyFont="1" applyFill="1" applyBorder="1" applyAlignment="1" applyProtection="1">
      <alignment vertical="center"/>
      <protection hidden="1"/>
    </xf>
    <xf numFmtId="0" fontId="24" fillId="17" borderId="0" xfId="0" applyFont="1" applyFill="1" applyBorder="1" applyAlignment="1" applyProtection="1">
      <alignment horizontal="center" vertical="center"/>
      <protection hidden="1"/>
    </xf>
    <xf numFmtId="0" fontId="24" fillId="17" borderId="39" xfId="0" applyFont="1" applyFill="1" applyBorder="1" applyAlignment="1" applyProtection="1">
      <alignment horizontal="center" vertical="center"/>
      <protection hidden="1"/>
    </xf>
    <xf numFmtId="0" fontId="57" fillId="17" borderId="73" xfId="0" applyFont="1" applyFill="1" applyBorder="1" applyAlignment="1" applyProtection="1">
      <alignment horizontal="center" vertical="center"/>
      <protection hidden="1"/>
    </xf>
    <xf numFmtId="0" fontId="57" fillId="17" borderId="43" xfId="0" applyFont="1" applyFill="1" applyBorder="1" applyAlignment="1" applyProtection="1">
      <alignment horizontal="center" vertical="center"/>
      <protection hidden="1"/>
    </xf>
    <xf numFmtId="0" fontId="24" fillId="17" borderId="40" xfId="0" applyFont="1" applyFill="1" applyBorder="1" applyAlignment="1" applyProtection="1">
      <alignment vertical="center"/>
      <protection hidden="1"/>
    </xf>
    <xf numFmtId="0" fontId="24" fillId="17" borderId="32" xfId="0" applyFont="1" applyFill="1" applyBorder="1" applyAlignment="1" applyProtection="1">
      <alignment vertical="center"/>
      <protection hidden="1"/>
    </xf>
    <xf numFmtId="0" fontId="25" fillId="17" borderId="77" xfId="0" applyFont="1" applyFill="1" applyBorder="1" applyAlignment="1" applyProtection="1">
      <alignment vertical="center"/>
      <protection hidden="1"/>
    </xf>
    <xf numFmtId="0" fontId="25" fillId="17" borderId="77" xfId="0" applyFont="1" applyFill="1" applyBorder="1" applyAlignment="1" applyProtection="1">
      <alignment horizontal="center" vertical="center"/>
      <protection hidden="1"/>
    </xf>
    <xf numFmtId="0" fontId="25" fillId="17" borderId="78" xfId="0" applyFont="1" applyFill="1" applyBorder="1" applyAlignment="1" applyProtection="1">
      <alignment horizontal="center" vertical="center"/>
      <protection hidden="1"/>
    </xf>
    <xf numFmtId="0" fontId="25" fillId="17" borderId="43" xfId="0" applyFont="1" applyFill="1" applyBorder="1" applyAlignment="1" applyProtection="1">
      <alignment horizontal="center" vertical="center"/>
      <protection hidden="1"/>
    </xf>
    <xf numFmtId="0" fontId="57" fillId="17" borderId="36" xfId="0" applyFont="1" applyFill="1" applyBorder="1" applyAlignment="1" applyProtection="1">
      <alignment vertical="center"/>
      <protection hidden="1"/>
    </xf>
    <xf numFmtId="0" fontId="57" fillId="17" borderId="60" xfId="0" applyFont="1" applyFill="1" applyBorder="1" applyAlignment="1" applyProtection="1">
      <alignment vertical="center"/>
      <protection hidden="1"/>
    </xf>
    <xf numFmtId="0" fontId="57" fillId="17" borderId="60" xfId="0" applyFont="1" applyFill="1" applyBorder="1" applyAlignment="1" applyProtection="1">
      <alignment horizontal="center" vertical="center"/>
      <protection hidden="1"/>
    </xf>
    <xf numFmtId="0" fontId="57" fillId="17" borderId="37" xfId="0" applyFont="1" applyFill="1" applyBorder="1" applyAlignment="1" applyProtection="1">
      <alignment horizontal="center" vertical="center"/>
      <protection hidden="1"/>
    </xf>
    <xf numFmtId="0" fontId="57" fillId="17" borderId="71" xfId="0" applyFont="1" applyFill="1" applyBorder="1" applyAlignment="1" applyProtection="1">
      <alignment horizontal="center" vertical="center"/>
      <protection hidden="1"/>
    </xf>
    <xf numFmtId="0" fontId="57" fillId="17" borderId="38" xfId="0" applyFont="1" applyFill="1" applyBorder="1" applyAlignment="1" applyProtection="1">
      <alignment vertical="center"/>
      <protection hidden="1"/>
    </xf>
    <xf numFmtId="0" fontId="57" fillId="17" borderId="0" xfId="0" applyFont="1" applyFill="1" applyBorder="1" applyAlignment="1" applyProtection="1">
      <alignment vertical="center"/>
      <protection hidden="1"/>
    </xf>
    <xf numFmtId="0" fontId="57" fillId="17" borderId="0" xfId="0" applyFont="1" applyFill="1" applyBorder="1" applyAlignment="1" applyProtection="1">
      <alignment horizontal="center" vertical="center"/>
      <protection hidden="1"/>
    </xf>
    <xf numFmtId="0" fontId="57" fillId="17" borderId="39" xfId="0" applyFont="1" applyFill="1" applyBorder="1" applyAlignment="1" applyProtection="1">
      <alignment horizontal="center" vertical="center"/>
      <protection hidden="1"/>
    </xf>
    <xf numFmtId="0" fontId="57" fillId="17" borderId="40" xfId="0" applyFont="1" applyFill="1" applyBorder="1" applyAlignment="1" applyProtection="1">
      <alignment vertical="center"/>
      <protection hidden="1"/>
    </xf>
    <xf numFmtId="0" fontId="57" fillId="17" borderId="32" xfId="0" applyFont="1" applyFill="1" applyBorder="1" applyAlignment="1" applyProtection="1">
      <alignment vertical="center"/>
      <protection hidden="1"/>
    </xf>
    <xf numFmtId="0" fontId="25" fillId="17" borderId="10" xfId="0" applyFont="1" applyFill="1" applyBorder="1" applyAlignment="1" applyProtection="1">
      <alignment horizontal="center" vertical="center"/>
      <protection hidden="1"/>
    </xf>
    <xf numFmtId="0" fontId="9" fillId="0" borderId="71" xfId="0" applyFont="1" applyFill="1" applyBorder="1" applyAlignment="1">
      <alignment horizontal="left" vertical="top" wrapText="1"/>
    </xf>
    <xf numFmtId="0" fontId="6" fillId="17" borderId="10" xfId="0" applyFont="1" applyFill="1" applyBorder="1" applyAlignment="1" applyProtection="1">
      <alignment vertical="center" wrapText="1"/>
      <protection locked="0"/>
    </xf>
    <xf numFmtId="0" fontId="7" fillId="17" borderId="10" xfId="41" applyFont="1" applyFill="1" applyBorder="1" applyAlignment="1" applyProtection="1">
      <alignment horizontal="center" vertical="center" wrapText="1"/>
      <protection locked="0" hidden="1"/>
    </xf>
    <xf numFmtId="0" fontId="6" fillId="17" borderId="71" xfId="0" applyFont="1" applyFill="1" applyBorder="1" applyAlignment="1" applyProtection="1">
      <alignment vertical="center" wrapText="1"/>
      <protection locked="0"/>
    </xf>
    <xf numFmtId="0" fontId="24" fillId="0" borderId="44" xfId="0" applyFont="1" applyFill="1" applyBorder="1" applyAlignment="1" applyProtection="1">
      <alignment horizontal="left" vertical="top" wrapText="1"/>
      <protection hidden="1"/>
    </xf>
    <xf numFmtId="0" fontId="7" fillId="0" borderId="79" xfId="0" applyFont="1" applyFill="1" applyBorder="1" applyAlignment="1" applyProtection="1">
      <alignment horizontal="left" vertical="top" wrapText="1"/>
      <protection hidden="1"/>
    </xf>
    <xf numFmtId="0" fontId="24" fillId="0" borderId="64" xfId="0" applyFont="1" applyFill="1" applyBorder="1" applyAlignment="1" applyProtection="1">
      <alignment horizontal="left" vertical="top" wrapText="1"/>
      <protection hidden="1"/>
    </xf>
    <xf numFmtId="0" fontId="7" fillId="0" borderId="80" xfId="0" applyFont="1" applyFill="1" applyBorder="1" applyAlignment="1" applyProtection="1">
      <alignment horizontal="left" vertical="top" wrapText="1"/>
      <protection hidden="1"/>
    </xf>
    <xf numFmtId="0" fontId="24" fillId="0" borderId="74" xfId="0" applyFont="1" applyFill="1" applyBorder="1" applyAlignment="1" applyProtection="1">
      <alignment horizontal="left" vertical="top" wrapText="1"/>
      <protection hidden="1"/>
    </xf>
    <xf numFmtId="0" fontId="7" fillId="0" borderId="81" xfId="0" applyFont="1" applyFill="1" applyBorder="1" applyAlignment="1" applyProtection="1">
      <alignment horizontal="left" vertical="top" wrapText="1"/>
      <protection hidden="1"/>
    </xf>
    <xf numFmtId="0" fontId="16" fillId="24" borderId="43" xfId="42" applyFont="1" applyFill="1" applyBorder="1" applyAlignment="1" applyProtection="1">
      <alignment horizontal="center"/>
      <protection hidden="1"/>
    </xf>
    <xf numFmtId="0" fontId="24" fillId="24" borderId="10" xfId="42" applyFont="1" applyFill="1" applyBorder="1" applyAlignment="1">
      <alignment horizontal="center"/>
    </xf>
    <xf numFmtId="1" fontId="24" fillId="24" borderId="10" xfId="42" applyNumberFormat="1" applyFont="1" applyFill="1" applyBorder="1" applyAlignment="1" applyProtection="1">
      <alignment horizontal="center"/>
    </xf>
    <xf numFmtId="0" fontId="51" fillId="26" borderId="39" xfId="42" applyFont="1" applyFill="1" applyBorder="1" applyAlignment="1" applyProtection="1">
      <alignment horizontal="center"/>
    </xf>
    <xf numFmtId="0" fontId="25" fillId="24" borderId="39" xfId="42" applyFont="1" applyFill="1" applyBorder="1" applyAlignment="1" applyProtection="1">
      <alignment horizontal="center"/>
    </xf>
    <xf numFmtId="0" fontId="24" fillId="0" borderId="71" xfId="40" applyFont="1" applyFill="1" applyBorder="1" applyAlignment="1" applyProtection="1">
      <alignment vertical="top" wrapText="1"/>
      <protection hidden="1"/>
    </xf>
    <xf numFmtId="0" fontId="25" fillId="0" borderId="71" xfId="40" applyFont="1" applyFill="1" applyBorder="1" applyAlignment="1" applyProtection="1">
      <alignment horizontal="center" vertical="center" wrapText="1"/>
      <protection locked="0" hidden="1"/>
    </xf>
    <xf numFmtId="0" fontId="25" fillId="0" borderId="10" xfId="40" applyFont="1" applyFill="1" applyBorder="1" applyAlignment="1" applyProtection="1">
      <alignment horizontal="center" vertical="center" wrapText="1"/>
      <protection locked="0" hidden="1"/>
    </xf>
    <xf numFmtId="0" fontId="55" fillId="26" borderId="10" xfId="41" applyFont="1" applyFill="1" applyBorder="1" applyAlignment="1" applyProtection="1">
      <alignment vertical="center"/>
      <protection hidden="1"/>
    </xf>
    <xf numFmtId="2" fontId="16" fillId="24" borderId="19" xfId="42" applyNumberFormat="1" applyFont="1" applyFill="1" applyBorder="1" applyAlignment="1" applyProtection="1">
      <alignment horizontal="center" vertical="center"/>
      <protection hidden="1"/>
    </xf>
    <xf numFmtId="0" fontId="34" fillId="24" borderId="19" xfId="42" applyFont="1" applyFill="1" applyBorder="1" applyAlignment="1" applyProtection="1">
      <alignment horizontal="center" vertical="center" wrapText="1"/>
      <protection hidden="1"/>
    </xf>
    <xf numFmtId="9" fontId="7" fillId="24" borderId="18" xfId="42" applyNumberFormat="1" applyFont="1" applyFill="1" applyBorder="1" applyAlignment="1" applyProtection="1">
      <alignment horizontal="center" vertical="top" wrapText="1"/>
      <protection hidden="1"/>
    </xf>
    <xf numFmtId="0" fontId="7" fillId="24" borderId="10" xfId="42" applyNumberFormat="1" applyFont="1" applyFill="1" applyBorder="1" applyAlignment="1" applyProtection="1">
      <alignment horizontal="center" vertical="top" wrapText="1"/>
      <protection hidden="1"/>
    </xf>
    <xf numFmtId="0" fontId="7" fillId="24" borderId="19" xfId="42" applyNumberFormat="1" applyFont="1" applyFill="1" applyBorder="1" applyAlignment="1" applyProtection="1">
      <alignment horizontal="center" vertical="top" wrapText="1"/>
      <protection hidden="1"/>
    </xf>
    <xf numFmtId="9" fontId="7" fillId="24" borderId="45" xfId="42" applyNumberFormat="1" applyFont="1" applyFill="1" applyBorder="1" applyAlignment="1" applyProtection="1">
      <alignment horizontal="center" vertical="top" wrapText="1"/>
      <protection hidden="1"/>
    </xf>
    <xf numFmtId="0" fontId="7" fillId="24" borderId="46" xfId="42" applyNumberFormat="1" applyFont="1" applyFill="1" applyBorder="1" applyAlignment="1" applyProtection="1">
      <alignment horizontal="center" vertical="top" wrapText="1"/>
      <protection hidden="1"/>
    </xf>
    <xf numFmtId="0" fontId="7" fillId="24" borderId="22" xfId="42" applyNumberFormat="1" applyFont="1" applyFill="1" applyBorder="1" applyAlignment="1" applyProtection="1">
      <alignment horizontal="center" vertical="top" wrapText="1"/>
      <protection hidden="1"/>
    </xf>
    <xf numFmtId="2" fontId="34" fillId="24" borderId="22" xfId="41" applyNumberFormat="1" applyFont="1" applyFill="1" applyBorder="1" applyAlignment="1" applyProtection="1">
      <alignment horizontal="center" vertical="center" wrapText="1"/>
      <protection hidden="1"/>
    </xf>
    <xf numFmtId="2" fontId="34" fillId="24" borderId="19" xfId="42" applyNumberFormat="1" applyFont="1" applyFill="1" applyBorder="1" applyAlignment="1" applyProtection="1">
      <alignment horizontal="center" vertical="center"/>
      <protection hidden="1"/>
    </xf>
    <xf numFmtId="0" fontId="7" fillId="0" borderId="20" xfId="42" applyFont="1" applyFill="1" applyBorder="1"/>
    <xf numFmtId="9" fontId="7" fillId="0" borderId="0" xfId="42" applyNumberFormat="1" applyFill="1" applyBorder="1"/>
    <xf numFmtId="0" fontId="16" fillId="0" borderId="0" xfId="42" applyFont="1" applyFill="1" applyBorder="1"/>
    <xf numFmtId="10" fontId="104" fillId="0" borderId="0" xfId="42" applyNumberFormat="1" applyFont="1" applyFill="1" applyBorder="1" applyAlignment="1">
      <alignment horizontal="right"/>
    </xf>
    <xf numFmtId="166" fontId="25" fillId="17" borderId="10" xfId="0" applyNumberFormat="1" applyFont="1" applyFill="1" applyBorder="1" applyAlignment="1" applyProtection="1">
      <alignment horizontal="center" vertical="center"/>
      <protection hidden="1"/>
    </xf>
    <xf numFmtId="9" fontId="57" fillId="17" borderId="10" xfId="0" applyNumberFormat="1" applyFont="1" applyFill="1" applyBorder="1" applyAlignment="1" applyProtection="1">
      <alignment horizontal="center" vertical="center"/>
      <protection hidden="1"/>
    </xf>
    <xf numFmtId="0" fontId="104" fillId="17" borderId="43" xfId="40" applyFont="1" applyFill="1" applyBorder="1" applyAlignment="1" applyProtection="1">
      <alignment vertical="top" wrapText="1"/>
      <protection hidden="1"/>
    </xf>
    <xf numFmtId="0" fontId="104" fillId="17" borderId="71" xfId="40" applyFont="1" applyFill="1" applyBorder="1" applyAlignment="1" applyProtection="1">
      <alignment vertical="top" wrapText="1"/>
      <protection hidden="1"/>
    </xf>
    <xf numFmtId="0" fontId="104" fillId="0" borderId="10" xfId="40" applyFont="1" applyFill="1" applyBorder="1" applyAlignment="1" applyProtection="1">
      <alignment vertical="top" wrapText="1"/>
      <protection hidden="1"/>
    </xf>
    <xf numFmtId="0" fontId="104" fillId="0" borderId="10" xfId="40" applyFont="1" applyFill="1" applyBorder="1" applyAlignment="1" applyProtection="1">
      <alignment horizontal="left" vertical="top" wrapText="1"/>
      <protection hidden="1"/>
    </xf>
    <xf numFmtId="0" fontId="104" fillId="17" borderId="44" xfId="40" applyFont="1" applyFill="1" applyBorder="1" applyAlignment="1" applyProtection="1">
      <alignment vertical="top" wrapText="1"/>
      <protection hidden="1"/>
    </xf>
    <xf numFmtId="0" fontId="104" fillId="17" borderId="10" xfId="40" applyFont="1" applyFill="1" applyBorder="1" applyAlignment="1" applyProtection="1">
      <alignment horizontal="left" vertical="top" wrapText="1"/>
      <protection hidden="1"/>
    </xf>
    <xf numFmtId="0" fontId="104" fillId="0" borderId="71" xfId="40" applyFont="1" applyFill="1" applyBorder="1" applyAlignment="1" applyProtection="1">
      <alignment horizontal="left" vertical="top" wrapText="1"/>
      <protection hidden="1"/>
    </xf>
    <xf numFmtId="0" fontId="16" fillId="17" borderId="43" xfId="40" applyFont="1" applyFill="1" applyBorder="1" applyAlignment="1" applyProtection="1">
      <alignment vertical="top" wrapText="1"/>
      <protection hidden="1"/>
    </xf>
    <xf numFmtId="0" fontId="104" fillId="17" borderId="10" xfId="40" applyFont="1" applyFill="1" applyBorder="1" applyAlignment="1" applyProtection="1">
      <alignment horizontal="center" vertical="center" wrapText="1"/>
      <protection hidden="1"/>
    </xf>
    <xf numFmtId="0" fontId="0" fillId="0" borderId="10" xfId="0" applyBorder="1" applyAlignment="1" applyProtection="1">
      <alignment horizontal="center" wrapText="1"/>
      <protection locked="0" hidden="1"/>
    </xf>
    <xf numFmtId="0" fontId="101" fillId="23" borderId="0" xfId="40" applyFont="1" applyFill="1" applyBorder="1" applyAlignment="1" applyProtection="1">
      <alignment vertical="top"/>
      <protection hidden="1"/>
    </xf>
    <xf numFmtId="0" fontId="36" fillId="23" borderId="0" xfId="40" applyFont="1" applyFill="1" applyBorder="1" applyAlignment="1" applyProtection="1">
      <alignment horizontal="left" vertical="top" wrapText="1"/>
      <protection hidden="1"/>
    </xf>
    <xf numFmtId="0" fontId="36" fillId="23" borderId="0" xfId="40" applyFont="1" applyFill="1" applyBorder="1" applyAlignment="1" applyProtection="1">
      <alignment horizontal="left" vertical="top" wrapText="1"/>
    </xf>
    <xf numFmtId="0" fontId="86" fillId="23" borderId="0" xfId="40" applyFont="1" applyFill="1" applyBorder="1" applyAlignment="1" applyProtection="1">
      <alignment horizontal="left" vertical="top"/>
    </xf>
    <xf numFmtId="0" fontId="112" fillId="23" borderId="0" xfId="40" applyFont="1" applyFill="1" applyBorder="1" applyAlignment="1" applyProtection="1">
      <alignment horizontal="left" vertical="top" wrapText="1"/>
    </xf>
    <xf numFmtId="0" fontId="86" fillId="23" borderId="0" xfId="40" applyFont="1" applyFill="1" applyBorder="1" applyAlignment="1" applyProtection="1">
      <alignment horizontal="left" vertical="top" wrapText="1"/>
    </xf>
    <xf numFmtId="0" fontId="53" fillId="23" borderId="0" xfId="40" applyFont="1" applyFill="1" applyAlignment="1" applyProtection="1">
      <alignment horizontal="left" vertical="top" wrapText="1"/>
      <protection hidden="1"/>
    </xf>
    <xf numFmtId="0" fontId="53" fillId="23" borderId="0" xfId="40" applyFont="1" applyFill="1" applyAlignment="1" applyProtection="1">
      <alignment horizontal="left" vertical="top" wrapText="1"/>
    </xf>
    <xf numFmtId="0" fontId="58" fillId="23" borderId="0" xfId="40" applyFont="1" applyFill="1" applyAlignment="1" applyProtection="1">
      <alignment horizontal="left" vertical="center" wrapText="1"/>
      <protection hidden="1"/>
    </xf>
    <xf numFmtId="0" fontId="54" fillId="23" borderId="0" xfId="40" applyFont="1" applyFill="1" applyAlignment="1" applyProtection="1">
      <alignment horizontal="left" vertical="top" wrapText="1"/>
      <protection hidden="1"/>
    </xf>
    <xf numFmtId="0" fontId="54" fillId="23" borderId="0" xfId="40" applyFont="1" applyFill="1" applyAlignment="1" applyProtection="1">
      <alignment horizontal="left" vertical="center" wrapText="1"/>
      <protection hidden="1"/>
    </xf>
    <xf numFmtId="0" fontId="53" fillId="23" borderId="0" xfId="40" applyFont="1" applyFill="1" applyAlignment="1" applyProtection="1">
      <alignment horizontal="center" vertical="top" wrapText="1"/>
    </xf>
    <xf numFmtId="0" fontId="53" fillId="23" borderId="0" xfId="40" applyFont="1" applyFill="1" applyAlignment="1" applyProtection="1">
      <alignment horizontal="center" vertical="center" wrapText="1"/>
      <protection hidden="1"/>
    </xf>
    <xf numFmtId="0" fontId="53" fillId="23" borderId="0" xfId="40" applyFont="1" applyFill="1" applyBorder="1" applyAlignment="1" applyProtection="1">
      <alignment horizontal="left" vertical="top" wrapText="1"/>
      <protection hidden="1"/>
    </xf>
    <xf numFmtId="0" fontId="53" fillId="23" borderId="0" xfId="40" applyFont="1" applyFill="1" applyAlignment="1" applyProtection="1">
      <alignment horizontal="center" vertical="center" wrapText="1"/>
    </xf>
    <xf numFmtId="0" fontId="26" fillId="26" borderId="49" xfId="40" applyFont="1" applyFill="1" applyBorder="1" applyAlignment="1" applyProtection="1">
      <alignment horizontal="right" vertical="top" wrapText="1"/>
      <protection hidden="1"/>
    </xf>
    <xf numFmtId="0" fontId="26" fillId="26" borderId="75" xfId="40" applyFont="1" applyFill="1" applyBorder="1" applyAlignment="1" applyProtection="1">
      <alignment horizontal="right" vertical="top" wrapText="1"/>
      <protection hidden="1"/>
    </xf>
    <xf numFmtId="0" fontId="86" fillId="26" borderId="75" xfId="40" applyFont="1" applyFill="1" applyBorder="1" applyAlignment="1" applyProtection="1">
      <alignment horizontal="right" vertical="center" wrapText="1"/>
      <protection hidden="1"/>
    </xf>
    <xf numFmtId="0" fontId="26" fillId="26" borderId="75" xfId="40" applyFont="1" applyFill="1" applyBorder="1" applyAlignment="1" applyProtection="1">
      <alignment horizontal="right" vertical="center" wrapText="1"/>
      <protection hidden="1"/>
    </xf>
    <xf numFmtId="0" fontId="108" fillId="26" borderId="51" xfId="40" applyFont="1" applyFill="1" applyBorder="1" applyAlignment="1" applyProtection="1">
      <alignment horizontal="center" vertical="center" wrapText="1"/>
      <protection hidden="1"/>
    </xf>
    <xf numFmtId="0" fontId="56" fillId="26" borderId="52" xfId="40" applyFont="1" applyFill="1" applyBorder="1" applyAlignment="1" applyProtection="1">
      <alignment horizontal="left" vertical="center" wrapText="1"/>
      <protection hidden="1"/>
    </xf>
    <xf numFmtId="0" fontId="54" fillId="26" borderId="50" xfId="40" applyFont="1" applyFill="1" applyBorder="1" applyAlignment="1" applyProtection="1">
      <alignment horizontal="left" vertical="center" wrapText="1"/>
      <protection hidden="1"/>
    </xf>
    <xf numFmtId="0" fontId="54" fillId="26" borderId="51" xfId="40" applyFont="1" applyFill="1" applyBorder="1" applyAlignment="1" applyProtection="1">
      <alignment horizontal="left" vertical="center" wrapText="1"/>
      <protection hidden="1"/>
    </xf>
    <xf numFmtId="0" fontId="54" fillId="26" borderId="51" xfId="40" applyFont="1" applyFill="1" applyBorder="1" applyAlignment="1" applyProtection="1">
      <alignment horizontal="center" vertical="center" wrapText="1"/>
      <protection hidden="1"/>
    </xf>
    <xf numFmtId="0" fontId="54" fillId="26" borderId="52" xfId="40" applyFont="1" applyFill="1" applyBorder="1" applyAlignment="1" applyProtection="1">
      <alignment vertical="center" wrapText="1"/>
      <protection hidden="1"/>
    </xf>
    <xf numFmtId="0" fontId="52" fillId="23" borderId="0" xfId="0" applyFont="1" applyFill="1" applyBorder="1" applyAlignment="1" applyProtection="1">
      <alignment horizontal="left" vertical="top"/>
      <protection hidden="1"/>
    </xf>
    <xf numFmtId="0" fontId="53" fillId="23" borderId="0" xfId="0" applyFont="1" applyFill="1" applyBorder="1" applyAlignment="1" applyProtection="1">
      <alignment vertical="top"/>
      <protection hidden="1"/>
    </xf>
    <xf numFmtId="0" fontId="53" fillId="23" borderId="0" xfId="0" applyFont="1" applyFill="1" applyBorder="1" applyAlignment="1" applyProtection="1">
      <alignment horizontal="center" vertical="top"/>
      <protection hidden="1"/>
    </xf>
    <xf numFmtId="0" fontId="59" fillId="23" borderId="0" xfId="0" applyFont="1" applyFill="1" applyBorder="1" applyAlignment="1" applyProtection="1">
      <alignment horizontal="center" vertical="top"/>
      <protection hidden="1"/>
    </xf>
    <xf numFmtId="0" fontId="55" fillId="23" borderId="0" xfId="0" applyFont="1" applyFill="1" applyBorder="1" applyAlignment="1" applyProtection="1">
      <alignment horizontal="right" vertical="top"/>
      <protection hidden="1"/>
    </xf>
    <xf numFmtId="0" fontId="53" fillId="23" borderId="0" xfId="0" applyFont="1" applyFill="1" applyBorder="1" applyAlignment="1">
      <alignment vertical="top"/>
    </xf>
    <xf numFmtId="0" fontId="66" fillId="23" borderId="0" xfId="40" applyFont="1" applyFill="1" applyBorder="1" applyAlignment="1" applyProtection="1">
      <alignment horizontal="left" vertical="top"/>
    </xf>
    <xf numFmtId="0" fontId="51" fillId="23" borderId="0" xfId="0" applyFont="1" applyFill="1" applyBorder="1" applyAlignment="1" applyProtection="1">
      <alignment horizontal="center" vertical="center" wrapText="1"/>
      <protection hidden="1"/>
    </xf>
    <xf numFmtId="0" fontId="53" fillId="23" borderId="0" xfId="0" applyFont="1" applyFill="1" applyBorder="1" applyAlignment="1">
      <alignment vertical="center"/>
    </xf>
    <xf numFmtId="0" fontId="54" fillId="23" borderId="0" xfId="0" applyFont="1" applyFill="1" applyBorder="1" applyAlignment="1" applyProtection="1">
      <alignment vertical="center" wrapText="1"/>
      <protection hidden="1"/>
    </xf>
    <xf numFmtId="0" fontId="54" fillId="23" borderId="0" xfId="0" applyFont="1" applyFill="1" applyBorder="1" applyAlignment="1" applyProtection="1">
      <alignment horizontal="center" vertical="center" wrapText="1"/>
      <protection hidden="1"/>
    </xf>
    <xf numFmtId="0" fontId="53" fillId="23" borderId="0" xfId="0" applyFont="1" applyFill="1" applyBorder="1" applyAlignment="1" applyProtection="1">
      <alignment horizontal="center" vertical="center"/>
      <protection hidden="1"/>
    </xf>
    <xf numFmtId="0" fontId="53" fillId="23" borderId="0" xfId="0" applyFont="1" applyFill="1" applyBorder="1" applyAlignment="1" applyProtection="1">
      <alignment vertical="center"/>
      <protection hidden="1"/>
    </xf>
    <xf numFmtId="0" fontId="59" fillId="23" borderId="0" xfId="0" applyFont="1" applyFill="1" applyBorder="1" applyAlignment="1" applyProtection="1">
      <alignment horizontal="center" vertical="center"/>
      <protection hidden="1"/>
    </xf>
    <xf numFmtId="0" fontId="131" fillId="23" borderId="0" xfId="0" applyFont="1" applyFill="1" applyBorder="1" applyAlignment="1" applyProtection="1">
      <alignment horizontal="center" vertical="center"/>
      <protection hidden="1"/>
    </xf>
    <xf numFmtId="0" fontId="36" fillId="23" borderId="0" xfId="0" applyFont="1" applyFill="1" applyBorder="1" applyAlignment="1" applyProtection="1">
      <alignment horizontal="center" vertical="center"/>
      <protection hidden="1"/>
    </xf>
    <xf numFmtId="1" fontId="63" fillId="23" borderId="0" xfId="0" applyNumberFormat="1" applyFont="1" applyFill="1" applyBorder="1" applyAlignment="1" applyProtection="1">
      <alignment vertical="center"/>
      <protection hidden="1"/>
    </xf>
    <xf numFmtId="1" fontId="117" fillId="23" borderId="0" xfId="0" applyNumberFormat="1" applyFont="1" applyFill="1" applyBorder="1" applyAlignment="1" applyProtection="1">
      <alignment horizontal="center" vertical="center"/>
      <protection hidden="1"/>
    </xf>
    <xf numFmtId="0" fontId="63" fillId="23" borderId="0" xfId="0" applyFont="1" applyFill="1" applyBorder="1" applyAlignment="1" applyProtection="1">
      <alignment horizontal="right" vertical="center"/>
      <protection hidden="1"/>
    </xf>
    <xf numFmtId="1" fontId="63" fillId="23" borderId="0" xfId="0" applyNumberFormat="1" applyFont="1" applyFill="1" applyBorder="1" applyAlignment="1" applyProtection="1">
      <alignment horizontal="center" vertical="center"/>
      <protection hidden="1"/>
    </xf>
    <xf numFmtId="1" fontId="116" fillId="23" borderId="0" xfId="0" applyNumberFormat="1" applyFont="1" applyFill="1" applyBorder="1" applyAlignment="1" applyProtection="1">
      <alignment horizontal="center" vertical="center"/>
      <protection hidden="1"/>
    </xf>
    <xf numFmtId="0" fontId="79" fillId="23" borderId="0" xfId="0" applyFont="1" applyFill="1" applyBorder="1" applyAlignment="1" applyProtection="1">
      <alignment horizontal="right" vertical="center"/>
      <protection hidden="1"/>
    </xf>
    <xf numFmtId="0" fontId="53" fillId="23" borderId="0" xfId="0" applyFont="1" applyFill="1" applyBorder="1" applyProtection="1">
      <protection hidden="1"/>
    </xf>
    <xf numFmtId="0" fontId="53" fillId="23" borderId="0" xfId="0" applyFont="1" applyFill="1" applyBorder="1" applyAlignment="1" applyProtection="1">
      <alignment horizontal="center"/>
      <protection hidden="1"/>
    </xf>
    <xf numFmtId="0" fontId="59" fillId="23" borderId="0" xfId="0" applyFont="1" applyFill="1" applyBorder="1" applyAlignment="1" applyProtection="1">
      <alignment horizontal="center"/>
      <protection hidden="1"/>
    </xf>
    <xf numFmtId="0" fontId="53" fillId="23" borderId="0" xfId="0" applyFont="1" applyFill="1" applyBorder="1" applyAlignment="1">
      <alignment horizontal="center"/>
    </xf>
    <xf numFmtId="0" fontId="53" fillId="23" borderId="0" xfId="0" applyFont="1" applyFill="1" applyBorder="1"/>
    <xf numFmtId="0" fontId="59" fillId="23" borderId="0" xfId="0" applyFont="1" applyFill="1" applyBorder="1" applyAlignment="1">
      <alignment horizontal="center"/>
    </xf>
    <xf numFmtId="0" fontId="54" fillId="26" borderId="61" xfId="0" applyFont="1" applyFill="1" applyBorder="1" applyAlignment="1" applyProtection="1">
      <alignment vertical="center" wrapText="1"/>
      <protection hidden="1"/>
    </xf>
    <xf numFmtId="0" fontId="54" fillId="26" borderId="62" xfId="0" applyFont="1" applyFill="1" applyBorder="1" applyAlignment="1" applyProtection="1">
      <alignment vertical="center" wrapText="1"/>
      <protection hidden="1"/>
    </xf>
    <xf numFmtId="0" fontId="54" fillId="26" borderId="62" xfId="0" applyFont="1" applyFill="1" applyBorder="1" applyAlignment="1" applyProtection="1">
      <alignment horizontal="center" vertical="center" wrapText="1"/>
      <protection hidden="1"/>
    </xf>
    <xf numFmtId="0" fontId="54" fillId="26" borderId="64" xfId="0" applyFont="1" applyFill="1" applyBorder="1" applyAlignment="1" applyProtection="1">
      <alignment horizontal="center" vertical="center" wrapText="1"/>
      <protection hidden="1"/>
    </xf>
    <xf numFmtId="0" fontId="54" fillId="26" borderId="10" xfId="0" applyFont="1" applyFill="1" applyBorder="1" applyAlignment="1" applyProtection="1">
      <alignment horizontal="center" vertical="center" wrapText="1"/>
      <protection hidden="1"/>
    </xf>
    <xf numFmtId="0" fontId="53" fillId="26" borderId="10" xfId="0" applyFont="1" applyFill="1" applyBorder="1" applyAlignment="1" applyProtection="1">
      <alignment horizontal="center" vertical="center"/>
      <protection hidden="1"/>
    </xf>
    <xf numFmtId="0" fontId="68" fillId="26" borderId="61" xfId="0" applyFont="1" applyFill="1" applyBorder="1" applyAlignment="1" applyProtection="1">
      <alignment vertical="center"/>
      <protection hidden="1"/>
    </xf>
    <xf numFmtId="0" fontId="53" fillId="26" borderId="62" xfId="0" applyFont="1" applyFill="1" applyBorder="1" applyAlignment="1" applyProtection="1">
      <alignment vertical="center"/>
      <protection hidden="1"/>
    </xf>
    <xf numFmtId="0" fontId="53" fillId="26" borderId="62" xfId="0" applyFont="1" applyFill="1" applyBorder="1" applyAlignment="1" applyProtection="1">
      <alignment horizontal="center" vertical="center"/>
      <protection hidden="1"/>
    </xf>
    <xf numFmtId="0" fontId="53" fillId="26" borderId="64" xfId="0" applyFont="1" applyFill="1" applyBorder="1" applyAlignment="1" applyProtection="1">
      <alignment horizontal="center" vertical="center"/>
      <protection hidden="1"/>
    </xf>
    <xf numFmtId="0" fontId="53" fillId="23" borderId="0" xfId="40" applyFont="1" applyFill="1" applyBorder="1" applyAlignment="1" applyProtection="1">
      <alignment horizontal="left" vertical="top" wrapText="1"/>
    </xf>
    <xf numFmtId="0" fontId="58" fillId="23" borderId="0" xfId="40" applyFont="1" applyFill="1" applyBorder="1" applyAlignment="1" applyProtection="1">
      <alignment horizontal="left" vertical="center" wrapText="1"/>
      <protection hidden="1"/>
    </xf>
    <xf numFmtId="0" fontId="51" fillId="23" borderId="0" xfId="40" applyFont="1" applyFill="1" applyBorder="1" applyAlignment="1" applyProtection="1">
      <alignment horizontal="left" vertical="top" wrapText="1"/>
      <protection hidden="1"/>
    </xf>
    <xf numFmtId="0" fontId="51" fillId="23" borderId="0" xfId="40" applyFont="1" applyFill="1" applyBorder="1" applyAlignment="1" applyProtection="1">
      <alignment horizontal="left" vertical="center" wrapText="1"/>
      <protection hidden="1"/>
    </xf>
    <xf numFmtId="0" fontId="53" fillId="23" borderId="0" xfId="40" applyFont="1" applyFill="1" applyBorder="1" applyAlignment="1" applyProtection="1">
      <alignment horizontal="center" vertical="top" wrapText="1"/>
    </xf>
    <xf numFmtId="0" fontId="36" fillId="23" borderId="0" xfId="40" applyFont="1" applyFill="1" applyBorder="1" applyAlignment="1" applyProtection="1">
      <alignment horizontal="center" vertical="center" wrapText="1"/>
      <protection hidden="1"/>
    </xf>
    <xf numFmtId="0" fontId="24" fillId="17" borderId="48" xfId="40" applyFont="1" applyFill="1" applyBorder="1" applyAlignment="1" applyProtection="1">
      <alignment horizontal="left" vertical="top" wrapText="1"/>
      <protection locked="0"/>
    </xf>
    <xf numFmtId="0" fontId="24" fillId="17" borderId="19" xfId="40" applyFont="1" applyFill="1" applyBorder="1" applyAlignment="1" applyProtection="1">
      <alignment horizontal="left" vertical="top" wrapText="1"/>
      <protection locked="0"/>
    </xf>
    <xf numFmtId="0" fontId="51" fillId="26" borderId="50" xfId="40" applyFont="1" applyFill="1" applyBorder="1" applyAlignment="1" applyProtection="1">
      <alignment horizontal="left" vertical="center" wrapText="1"/>
      <protection hidden="1"/>
    </xf>
    <xf numFmtId="0" fontId="51" fillId="26" borderId="51" xfId="40" applyFont="1" applyFill="1" applyBorder="1" applyAlignment="1" applyProtection="1">
      <alignment horizontal="left" vertical="center" wrapText="1"/>
      <protection hidden="1"/>
    </xf>
    <xf numFmtId="0" fontId="51" fillId="26" borderId="51" xfId="40" applyFont="1" applyFill="1" applyBorder="1" applyAlignment="1" applyProtection="1">
      <alignment horizontal="center" vertical="center" wrapText="1"/>
      <protection hidden="1"/>
    </xf>
    <xf numFmtId="0" fontId="51" fillId="26" borderId="52" xfId="40" applyFont="1" applyFill="1" applyBorder="1" applyAlignment="1" applyProtection="1">
      <alignment horizontal="left" vertical="center" wrapText="1"/>
      <protection hidden="1"/>
    </xf>
    <xf numFmtId="0" fontId="102" fillId="26" borderId="49" xfId="40" applyFont="1" applyFill="1" applyBorder="1" applyAlignment="1" applyProtection="1">
      <alignment horizontal="right" vertical="top" wrapText="1"/>
      <protection hidden="1"/>
    </xf>
    <xf numFmtId="0" fontId="103" fillId="26" borderId="75" xfId="40" applyFont="1" applyFill="1" applyBorder="1" applyAlignment="1" applyProtection="1">
      <alignment horizontal="right" vertical="top" wrapText="1"/>
      <protection hidden="1"/>
    </xf>
    <xf numFmtId="0" fontId="86" fillId="26" borderId="82" xfId="40" applyFont="1" applyFill="1" applyBorder="1" applyAlignment="1" applyProtection="1">
      <alignment horizontal="right" vertical="center" wrapText="1"/>
      <protection hidden="1"/>
    </xf>
    <xf numFmtId="0" fontId="86" fillId="26" borderId="51" xfId="40" applyFont="1" applyFill="1" applyBorder="1" applyAlignment="1" applyProtection="1">
      <alignment horizontal="center" vertical="center" wrapText="1"/>
      <protection hidden="1"/>
    </xf>
    <xf numFmtId="0" fontId="18" fillId="23" borderId="0" xfId="40" applyFont="1" applyFill="1" applyBorder="1" applyAlignment="1" applyProtection="1">
      <alignment horizontal="left" vertical="center" wrapText="1"/>
      <protection hidden="1"/>
    </xf>
    <xf numFmtId="0" fontId="103" fillId="26" borderId="49" xfId="40" applyFont="1" applyFill="1" applyBorder="1" applyAlignment="1" applyProtection="1">
      <alignment horizontal="right" vertical="top" wrapText="1"/>
      <protection hidden="1"/>
    </xf>
    <xf numFmtId="0" fontId="24" fillId="17" borderId="43" xfId="40" applyFont="1" applyFill="1" applyBorder="1" applyAlignment="1" applyProtection="1">
      <alignment vertical="top" wrapText="1"/>
      <protection hidden="1"/>
    </xf>
    <xf numFmtId="0" fontId="24" fillId="17" borderId="83" xfId="40" applyFont="1" applyFill="1" applyBorder="1" applyAlignment="1" applyProtection="1">
      <alignment horizontal="left" vertical="top" wrapText="1"/>
      <protection locked="0"/>
    </xf>
    <xf numFmtId="0" fontId="25" fillId="24" borderId="10" xfId="40" applyFont="1" applyFill="1" applyBorder="1" applyAlignment="1" applyProtection="1">
      <alignment horizontal="center" vertical="center" wrapText="1"/>
      <protection hidden="1"/>
    </xf>
    <xf numFmtId="0" fontId="16" fillId="0" borderId="10" xfId="40" applyFont="1" applyFill="1" applyBorder="1" applyAlignment="1" applyProtection="1">
      <alignment horizontal="left" vertical="top" wrapText="1"/>
      <protection hidden="1"/>
    </xf>
    <xf numFmtId="0" fontId="7" fillId="23" borderId="0" xfId="39" applyFill="1"/>
    <xf numFmtId="0" fontId="7" fillId="23" borderId="0" xfId="0" applyFont="1" applyFill="1" applyAlignment="1" applyProtection="1">
      <alignment wrapText="1"/>
    </xf>
    <xf numFmtId="0" fontId="0" fillId="23" borderId="0" xfId="0" applyFill="1" applyProtection="1"/>
    <xf numFmtId="0" fontId="7" fillId="23" borderId="0" xfId="39" applyFill="1" applyAlignment="1">
      <alignment vertical="center"/>
    </xf>
    <xf numFmtId="0" fontId="103" fillId="23" borderId="0" xfId="41" applyFont="1" applyFill="1" applyBorder="1" applyAlignment="1" applyProtection="1">
      <alignment vertical="center"/>
      <protection hidden="1"/>
    </xf>
    <xf numFmtId="0" fontId="49" fillId="23" borderId="0" xfId="41" applyFont="1" applyFill="1" applyBorder="1" applyAlignment="1" applyProtection="1">
      <alignment vertical="center"/>
      <protection hidden="1"/>
    </xf>
    <xf numFmtId="0" fontId="36" fillId="23" borderId="0" xfId="41" applyFont="1" applyFill="1" applyBorder="1" applyAlignment="1" applyProtection="1">
      <alignment vertical="center" wrapText="1"/>
      <protection hidden="1"/>
    </xf>
    <xf numFmtId="0" fontId="0" fillId="23" borderId="0" xfId="0" applyFill="1" applyAlignment="1" applyProtection="1">
      <alignment vertical="center"/>
    </xf>
    <xf numFmtId="0" fontId="76" fillId="23" borderId="0" xfId="0" applyFont="1" applyFill="1" applyBorder="1" applyAlignment="1" applyProtection="1">
      <alignment vertical="top"/>
    </xf>
    <xf numFmtId="0" fontId="0" fillId="23" borderId="0" xfId="0" applyFill="1" applyBorder="1" applyProtection="1"/>
    <xf numFmtId="0" fontId="7" fillId="23" borderId="0" xfId="39" applyFont="1" applyFill="1"/>
    <xf numFmtId="0" fontId="51" fillId="23" borderId="0" xfId="39" applyFont="1" applyFill="1" applyBorder="1"/>
    <xf numFmtId="0" fontId="68" fillId="23" borderId="0" xfId="0" applyFont="1" applyFill="1" applyBorder="1" applyAlignment="1" applyProtection="1">
      <alignment vertical="center"/>
    </xf>
    <xf numFmtId="0" fontId="51" fillId="23" borderId="0" xfId="39" applyFont="1" applyFill="1" applyBorder="1" applyAlignment="1">
      <alignment vertical="center"/>
    </xf>
    <xf numFmtId="3" fontId="53" fillId="23" borderId="0" xfId="0" applyNumberFormat="1" applyFont="1" applyFill="1" applyBorder="1" applyAlignment="1" applyProtection="1">
      <alignment horizontal="right" vertical="center" indent="1"/>
    </xf>
    <xf numFmtId="3" fontId="53" fillId="23" borderId="0" xfId="0" applyNumberFormat="1" applyFont="1" applyFill="1" applyBorder="1" applyAlignment="1" applyProtection="1">
      <alignment horizontal="right" indent="1"/>
    </xf>
    <xf numFmtId="0" fontId="53" fillId="23" borderId="0" xfId="0" applyFont="1" applyFill="1" applyBorder="1" applyAlignment="1" applyProtection="1"/>
    <xf numFmtId="0" fontId="53" fillId="23" borderId="0" xfId="0" applyFont="1" applyFill="1" applyBorder="1" applyAlignment="1" applyProtection="1">
      <alignment horizontal="right" indent="1"/>
    </xf>
    <xf numFmtId="0" fontId="0" fillId="23" borderId="0" xfId="0" applyFill="1" applyBorder="1" applyAlignment="1" applyProtection="1">
      <alignment vertical="center"/>
    </xf>
    <xf numFmtId="0" fontId="36" fillId="27" borderId="0" xfId="0" applyFont="1" applyFill="1"/>
    <xf numFmtId="3" fontId="0" fillId="23" borderId="0" xfId="0" applyNumberFormat="1" applyFill="1" applyProtection="1"/>
    <xf numFmtId="3" fontId="36" fillId="23" borderId="0" xfId="0" applyNumberFormat="1" applyFont="1" applyFill="1" applyBorder="1" applyAlignment="1" applyProtection="1">
      <alignment horizontal="right" vertical="center"/>
    </xf>
    <xf numFmtId="0" fontId="136" fillId="23" borderId="0" xfId="0" applyFont="1" applyFill="1" applyBorder="1" applyAlignment="1" applyProtection="1">
      <alignment horizontal="left" wrapText="1"/>
    </xf>
    <xf numFmtId="166" fontId="36" fillId="28" borderId="0" xfId="0" applyNumberFormat="1" applyFont="1" applyFill="1" applyBorder="1" applyProtection="1"/>
    <xf numFmtId="0" fontId="134" fillId="23" borderId="0" xfId="0" applyFont="1" applyFill="1" applyBorder="1" applyProtection="1"/>
    <xf numFmtId="0" fontId="134" fillId="23" borderId="0" xfId="39" applyFont="1" applyFill="1"/>
    <xf numFmtId="3" fontId="134" fillId="23" borderId="0" xfId="0" applyNumberFormat="1" applyFont="1" applyFill="1" applyBorder="1" applyAlignment="1" applyProtection="1">
      <alignment horizontal="right" indent="1"/>
    </xf>
    <xf numFmtId="0" fontId="36" fillId="23" borderId="0" xfId="39" applyFont="1" applyFill="1" applyBorder="1" applyProtection="1"/>
    <xf numFmtId="3" fontId="36" fillId="23" borderId="0" xfId="0" applyNumberFormat="1" applyFont="1" applyFill="1" applyBorder="1" applyAlignment="1" applyProtection="1">
      <alignment horizontal="right" indent="1"/>
    </xf>
    <xf numFmtId="0" fontId="60" fillId="23" borderId="0" xfId="0" applyFont="1" applyFill="1" applyProtection="1"/>
    <xf numFmtId="0" fontId="134" fillId="23" borderId="0" xfId="39" applyFont="1" applyFill="1" applyProtection="1"/>
    <xf numFmtId="172" fontId="36" fillId="23" borderId="0" xfId="28" applyNumberFormat="1" applyFont="1" applyFill="1" applyBorder="1" applyAlignment="1" applyProtection="1">
      <alignment horizontal="left" vertical="center"/>
    </xf>
    <xf numFmtId="172" fontId="36" fillId="23" borderId="0" xfId="28" applyNumberFormat="1" applyFont="1" applyFill="1" applyBorder="1" applyAlignment="1" applyProtection="1">
      <alignment horizontal="right" vertical="center" wrapText="1"/>
    </xf>
    <xf numFmtId="0" fontId="134" fillId="23" borderId="0" xfId="39" applyFont="1" applyFill="1" applyBorder="1" applyProtection="1"/>
    <xf numFmtId="0" fontId="134" fillId="23" borderId="0" xfId="39" applyFont="1" applyFill="1" applyBorder="1"/>
    <xf numFmtId="1" fontId="36" fillId="23" borderId="0" xfId="0" applyNumberFormat="1" applyFont="1" applyFill="1" applyBorder="1" applyAlignment="1" applyProtection="1">
      <alignment horizontal="center" vertical="center"/>
    </xf>
    <xf numFmtId="0" fontId="60" fillId="23" borderId="0" xfId="0" applyFont="1" applyFill="1" applyBorder="1" applyProtection="1"/>
    <xf numFmtId="172" fontId="36" fillId="23" borderId="0" xfId="28" applyNumberFormat="1" applyFont="1" applyFill="1" applyBorder="1" applyAlignment="1" applyProtection="1">
      <alignment vertical="center"/>
    </xf>
    <xf numFmtId="0" fontId="60" fillId="23" borderId="0" xfId="0" applyFont="1" applyFill="1" applyAlignment="1" applyProtection="1">
      <alignment vertical="center"/>
    </xf>
    <xf numFmtId="0" fontId="36" fillId="23" borderId="0" xfId="0" applyFont="1" applyFill="1" applyBorder="1" applyAlignment="1" applyProtection="1">
      <alignment horizontal="center"/>
    </xf>
    <xf numFmtId="0" fontId="53" fillId="26" borderId="62" xfId="0" applyFont="1" applyFill="1" applyBorder="1" applyAlignment="1" applyProtection="1"/>
    <xf numFmtId="0" fontId="53" fillId="26" borderId="32" xfId="0" applyFont="1" applyFill="1" applyBorder="1" applyAlignment="1" applyProtection="1"/>
    <xf numFmtId="0" fontId="53" fillId="26" borderId="41" xfId="0" applyFont="1" applyFill="1" applyBorder="1" applyAlignment="1" applyProtection="1"/>
    <xf numFmtId="0" fontId="37" fillId="26" borderId="41" xfId="0" applyFont="1" applyFill="1" applyBorder="1" applyAlignment="1" applyProtection="1">
      <alignment horizontal="right"/>
    </xf>
    <xf numFmtId="0" fontId="37" fillId="26" borderId="43" xfId="39" applyFont="1" applyFill="1" applyBorder="1" applyAlignment="1">
      <alignment horizontal="right" wrapText="1"/>
    </xf>
    <xf numFmtId="0" fontId="37" fillId="26" borderId="43" xfId="0" applyFont="1" applyFill="1" applyBorder="1" applyAlignment="1" applyProtection="1">
      <alignment horizontal="right" wrapText="1"/>
    </xf>
    <xf numFmtId="0" fontId="53" fillId="26" borderId="64" xfId="0" applyFont="1" applyFill="1" applyBorder="1" applyAlignment="1" applyProtection="1">
      <alignment horizontal="right" indent="1"/>
    </xf>
    <xf numFmtId="0" fontId="57" fillId="0" borderId="10" xfId="0" applyFont="1" applyFill="1" applyBorder="1" applyAlignment="1" applyProtection="1">
      <alignment horizontal="center" vertical="center" wrapText="1"/>
      <protection locked="0"/>
    </xf>
    <xf numFmtId="0" fontId="6" fillId="24" borderId="0" xfId="0" applyFont="1" applyFill="1" applyProtection="1"/>
    <xf numFmtId="0" fontId="7" fillId="24" borderId="0" xfId="39" applyFont="1" applyFill="1" applyBorder="1"/>
    <xf numFmtId="0" fontId="7" fillId="24" borderId="0" xfId="39" applyFont="1" applyFill="1"/>
    <xf numFmtId="0" fontId="98" fillId="24" borderId="0" xfId="0" applyFont="1" applyFill="1" applyAlignment="1" applyProtection="1">
      <alignment vertical="center"/>
    </xf>
    <xf numFmtId="0" fontId="98" fillId="24" borderId="0" xfId="0" applyFont="1" applyFill="1" applyProtection="1"/>
    <xf numFmtId="0" fontId="104" fillId="29" borderId="0" xfId="0" applyFont="1" applyFill="1"/>
    <xf numFmtId="0" fontId="110" fillId="24" borderId="0" xfId="0" applyFont="1" applyFill="1" applyProtection="1"/>
    <xf numFmtId="0" fontId="104" fillId="24" borderId="0" xfId="0" applyFont="1" applyFill="1" applyBorder="1" applyAlignment="1" applyProtection="1">
      <alignment horizontal="center" vertical="center" wrapText="1"/>
    </xf>
    <xf numFmtId="3" fontId="7" fillId="24" borderId="0" xfId="0" applyNumberFormat="1" applyFont="1" applyFill="1" applyBorder="1" applyAlignment="1" applyProtection="1">
      <alignment horizontal="right" indent="1"/>
    </xf>
    <xf numFmtId="0" fontId="104" fillId="29" borderId="0" xfId="0" applyFont="1" applyFill="1" applyBorder="1" applyAlignment="1">
      <alignment vertical="center"/>
    </xf>
    <xf numFmtId="3" fontId="104" fillId="24" borderId="0" xfId="0" applyNumberFormat="1" applyFont="1" applyFill="1" applyBorder="1" applyAlignment="1" applyProtection="1">
      <alignment horizontal="right" vertical="center"/>
    </xf>
    <xf numFmtId="0" fontId="104" fillId="29" borderId="0" xfId="0" applyFont="1" applyFill="1" applyBorder="1"/>
    <xf numFmtId="3" fontId="104" fillId="24" borderId="0" xfId="0" applyNumberFormat="1" applyFont="1" applyFill="1" applyBorder="1" applyAlignment="1" applyProtection="1">
      <alignment horizontal="right" vertical="center" indent="1"/>
    </xf>
    <xf numFmtId="3" fontId="104" fillId="24" borderId="0" xfId="0" applyNumberFormat="1" applyFont="1" applyFill="1" applyBorder="1" applyAlignment="1" applyProtection="1">
      <alignment horizontal="right" indent="1"/>
    </xf>
    <xf numFmtId="0" fontId="104" fillId="24" borderId="0" xfId="39" applyFont="1" applyFill="1" applyBorder="1"/>
    <xf numFmtId="0" fontId="104" fillId="24" borderId="0" xfId="39" applyFont="1" applyFill="1" applyBorder="1" applyProtection="1"/>
    <xf numFmtId="0" fontId="104" fillId="24" borderId="0" xfId="0" applyFont="1" applyFill="1" applyBorder="1" applyAlignment="1" applyProtection="1">
      <alignment horizontal="center" vertical="center"/>
    </xf>
    <xf numFmtId="0" fontId="110" fillId="24" borderId="0" xfId="0" applyFont="1" applyFill="1" applyAlignment="1" applyProtection="1">
      <alignment vertical="center"/>
    </xf>
    <xf numFmtId="0" fontId="104" fillId="24" borderId="0" xfId="0" applyFont="1" applyFill="1" applyBorder="1" applyAlignment="1" applyProtection="1">
      <alignment horizontal="center"/>
    </xf>
    <xf numFmtId="0" fontId="98" fillId="24" borderId="0" xfId="0" applyFont="1" applyFill="1" applyBorder="1" applyProtection="1"/>
    <xf numFmtId="0" fontId="54" fillId="23" borderId="0" xfId="40" applyFont="1" applyFill="1" applyBorder="1" applyAlignment="1" applyProtection="1">
      <alignment horizontal="left" vertical="top" wrapText="1"/>
      <protection hidden="1"/>
    </xf>
    <xf numFmtId="0" fontId="54" fillId="23" borderId="0" xfId="40" applyFont="1" applyFill="1" applyBorder="1" applyAlignment="1" applyProtection="1">
      <alignment horizontal="left" vertical="center" wrapText="1"/>
      <protection hidden="1"/>
    </xf>
    <xf numFmtId="0" fontId="53" fillId="23" borderId="0" xfId="40" applyFont="1" applyFill="1" applyBorder="1" applyAlignment="1" applyProtection="1">
      <alignment horizontal="center" vertical="center" wrapText="1"/>
      <protection hidden="1"/>
    </xf>
    <xf numFmtId="0" fontId="53" fillId="23" borderId="0" xfId="40" applyFont="1" applyFill="1" applyBorder="1" applyAlignment="1" applyProtection="1">
      <alignment horizontal="center" vertical="center" wrapText="1"/>
    </xf>
    <xf numFmtId="0" fontId="54" fillId="26" borderId="84" xfId="40" applyFont="1" applyFill="1" applyBorder="1" applyAlignment="1" applyProtection="1">
      <alignment horizontal="left" vertical="center" wrapText="1"/>
      <protection hidden="1"/>
    </xf>
    <xf numFmtId="0" fontId="54" fillId="26" borderId="85" xfId="40" applyFont="1" applyFill="1" applyBorder="1" applyAlignment="1" applyProtection="1">
      <alignment horizontal="left" vertical="center" wrapText="1"/>
      <protection hidden="1"/>
    </xf>
    <xf numFmtId="0" fontId="54" fillId="26" borderId="85" xfId="40" applyFont="1" applyFill="1" applyBorder="1" applyAlignment="1" applyProtection="1">
      <alignment horizontal="center" vertical="center" wrapText="1"/>
      <protection hidden="1"/>
    </xf>
    <xf numFmtId="0" fontId="54" fillId="26" borderId="86" xfId="40" applyFont="1" applyFill="1" applyBorder="1" applyAlignment="1" applyProtection="1">
      <alignment horizontal="left" vertical="center" wrapText="1"/>
      <protection hidden="1"/>
    </xf>
    <xf numFmtId="0" fontId="55" fillId="26" borderId="49" xfId="40" applyFont="1" applyFill="1" applyBorder="1" applyAlignment="1" applyProtection="1">
      <alignment horizontal="right" vertical="top" wrapText="1"/>
      <protection hidden="1"/>
    </xf>
    <xf numFmtId="0" fontId="55" fillId="26" borderId="75" xfId="40" applyFont="1" applyFill="1" applyBorder="1" applyAlignment="1" applyProtection="1">
      <alignment horizontal="right" vertical="top" wrapText="1"/>
      <protection hidden="1"/>
    </xf>
    <xf numFmtId="0" fontId="108" fillId="26" borderId="75" xfId="40" applyFont="1" applyFill="1" applyBorder="1" applyAlignment="1" applyProtection="1">
      <alignment horizontal="right" vertical="center" wrapText="1"/>
      <protection hidden="1"/>
    </xf>
    <xf numFmtId="0" fontId="109" fillId="26" borderId="52" xfId="40" applyFont="1" applyFill="1" applyBorder="1" applyAlignment="1" applyProtection="1">
      <alignment horizontal="left" vertical="center" wrapText="1"/>
      <protection hidden="1"/>
    </xf>
    <xf numFmtId="0" fontId="24" fillId="17" borderId="44" xfId="40" applyFont="1" applyFill="1" applyBorder="1" applyAlignment="1" applyProtection="1">
      <alignment vertical="top" wrapText="1"/>
      <protection hidden="1"/>
    </xf>
    <xf numFmtId="0" fontId="24" fillId="17" borderId="14" xfId="40" applyFont="1" applyFill="1" applyBorder="1" applyAlignment="1" applyProtection="1">
      <alignment horizontal="left" vertical="top" wrapText="1"/>
      <protection locked="0"/>
    </xf>
    <xf numFmtId="0" fontId="24" fillId="0" borderId="10" xfId="40" applyFont="1" applyFill="1" applyBorder="1" applyAlignment="1" applyProtection="1">
      <alignment vertical="top" wrapText="1"/>
      <protection hidden="1"/>
    </xf>
    <xf numFmtId="0" fontId="61" fillId="23" borderId="0" xfId="42" applyFont="1" applyFill="1" applyAlignment="1" applyProtection="1">
      <alignment horizontal="left" vertical="center"/>
    </xf>
    <xf numFmtId="0" fontId="101" fillId="23" borderId="0" xfId="41" applyFont="1" applyFill="1" applyBorder="1" applyAlignment="1" applyProtection="1">
      <alignment horizontal="left" vertical="center"/>
      <protection hidden="1"/>
    </xf>
    <xf numFmtId="0" fontId="62" fillId="23" borderId="0" xfId="42" applyFont="1" applyFill="1" applyAlignment="1" applyProtection="1">
      <alignment horizontal="left" vertical="top" wrapText="1"/>
    </xf>
    <xf numFmtId="0" fontId="49" fillId="23" borderId="0" xfId="42" applyFont="1" applyFill="1" applyAlignment="1" applyProtection="1">
      <alignment horizontal="left" vertical="center"/>
    </xf>
    <xf numFmtId="0" fontId="63" fillId="23" borderId="0" xfId="42" applyFont="1" applyFill="1" applyAlignment="1" applyProtection="1">
      <alignment horizontal="left" vertical="center"/>
      <protection hidden="1"/>
    </xf>
    <xf numFmtId="0" fontId="50" fillId="23" borderId="0" xfId="41" applyFont="1" applyFill="1" applyBorder="1" applyAlignment="1" applyProtection="1">
      <alignment vertical="center"/>
      <protection hidden="1"/>
    </xf>
    <xf numFmtId="0" fontId="65" fillId="23" borderId="0" xfId="42" applyFont="1" applyFill="1" applyAlignment="1" applyProtection="1">
      <alignment horizontal="left" vertical="center"/>
      <protection hidden="1"/>
    </xf>
    <xf numFmtId="0" fontId="64" fillId="23" borderId="0" xfId="42" applyFont="1" applyFill="1" applyAlignment="1" applyProtection="1">
      <alignment horizontal="left" vertical="top" wrapText="1"/>
    </xf>
    <xf numFmtId="0" fontId="67" fillId="23" borderId="0" xfId="42" applyFont="1" applyFill="1" applyBorder="1" applyProtection="1"/>
    <xf numFmtId="0" fontId="66" fillId="23" borderId="0" xfId="42" applyFont="1" applyFill="1" applyAlignment="1" applyProtection="1">
      <alignment vertical="top"/>
      <protection hidden="1"/>
    </xf>
    <xf numFmtId="0" fontId="62" fillId="23" borderId="0" xfId="42" applyFont="1" applyFill="1" applyProtection="1"/>
    <xf numFmtId="0" fontId="62" fillId="23" borderId="0" xfId="42" applyFont="1" applyFill="1" applyAlignment="1" applyProtection="1">
      <alignment horizontal="center"/>
    </xf>
    <xf numFmtId="0" fontId="67" fillId="23" borderId="0" xfId="42" applyFont="1" applyFill="1" applyAlignment="1" applyProtection="1">
      <alignment horizontal="center"/>
    </xf>
    <xf numFmtId="0" fontId="67" fillId="23" borderId="0" xfId="42" applyFont="1" applyFill="1" applyProtection="1"/>
    <xf numFmtId="0" fontId="36" fillId="23" borderId="0" xfId="42" applyFont="1" applyFill="1" applyAlignment="1" applyProtection="1">
      <alignment vertical="top"/>
    </xf>
    <xf numFmtId="0" fontId="68" fillId="23" borderId="0" xfId="42" applyFont="1" applyFill="1" applyProtection="1"/>
    <xf numFmtId="0" fontId="68" fillId="23" borderId="0" xfId="42" applyFont="1" applyFill="1" applyBorder="1" applyProtection="1"/>
    <xf numFmtId="0" fontId="67" fillId="23" borderId="0" xfId="42" applyFont="1" applyFill="1" applyAlignment="1" applyProtection="1">
      <alignment vertical="center"/>
    </xf>
    <xf numFmtId="0" fontId="67" fillId="23" borderId="0" xfId="42" applyFont="1" applyFill="1" applyAlignment="1" applyProtection="1">
      <alignment horizontal="center" vertical="center"/>
    </xf>
    <xf numFmtId="0" fontId="63" fillId="23" borderId="0" xfId="42" applyFont="1" applyFill="1" applyProtection="1"/>
    <xf numFmtId="0" fontId="63" fillId="23" borderId="0" xfId="42" applyFont="1" applyFill="1" applyAlignment="1" applyProtection="1">
      <alignment horizontal="center"/>
    </xf>
    <xf numFmtId="0" fontId="36" fillId="23" borderId="0" xfId="42" applyFont="1" applyFill="1" applyAlignment="1" applyProtection="1">
      <alignment horizontal="center"/>
    </xf>
    <xf numFmtId="0" fontId="36" fillId="23" borderId="0" xfId="42" applyFont="1" applyFill="1" applyProtection="1"/>
    <xf numFmtId="0" fontId="51" fillId="23" borderId="0" xfId="42" applyFont="1" applyFill="1" applyProtection="1"/>
    <xf numFmtId="0" fontId="51" fillId="23" borderId="0" xfId="42" applyFont="1" applyFill="1" applyAlignment="1" applyProtection="1">
      <alignment horizontal="left" vertical="top" indent="2"/>
    </xf>
    <xf numFmtId="0" fontId="36" fillId="23" borderId="0" xfId="42" quotePrefix="1" applyFont="1" applyFill="1" applyAlignment="1" applyProtection="1">
      <alignment horizontal="right" vertical="top"/>
    </xf>
    <xf numFmtId="0" fontId="36" fillId="23" borderId="0" xfId="42" applyFont="1" applyFill="1" applyAlignment="1" applyProtection="1">
      <alignment horizontal="left" vertical="top" wrapText="1"/>
    </xf>
    <xf numFmtId="0" fontId="36" fillId="23" borderId="0" xfId="42" applyFont="1" applyFill="1" applyBorder="1" applyProtection="1"/>
    <xf numFmtId="0" fontId="36" fillId="23" borderId="0" xfId="42" applyFont="1" applyFill="1" applyBorder="1" applyAlignment="1" applyProtection="1">
      <alignment horizontal="center"/>
    </xf>
    <xf numFmtId="0" fontId="67" fillId="23" borderId="0" xfId="42" applyFont="1" applyFill="1" applyBorder="1" applyAlignment="1" applyProtection="1">
      <alignment horizontal="center"/>
    </xf>
    <xf numFmtId="0" fontId="51" fillId="23" borderId="0" xfId="42" applyFont="1" applyFill="1" applyBorder="1" applyAlignment="1" applyProtection="1">
      <alignment horizontal="center" vertical="top" wrapText="1"/>
    </xf>
    <xf numFmtId="0" fontId="68" fillId="23" borderId="0" xfId="42" applyFont="1" applyFill="1" applyBorder="1" applyAlignment="1" applyProtection="1">
      <alignment horizontal="center" vertical="center"/>
    </xf>
    <xf numFmtId="0" fontId="63" fillId="23" borderId="0" xfId="42" applyFont="1" applyFill="1" applyBorder="1" applyProtection="1"/>
    <xf numFmtId="0" fontId="68" fillId="23" borderId="0" xfId="42" applyFont="1" applyFill="1" applyBorder="1" applyAlignment="1" applyProtection="1">
      <alignment horizontal="center"/>
    </xf>
    <xf numFmtId="0" fontId="63" fillId="23" borderId="0" xfId="42" applyFont="1" applyFill="1" applyBorder="1" applyAlignment="1" applyProtection="1">
      <alignment horizontal="center"/>
    </xf>
    <xf numFmtId="0" fontId="68" fillId="26" borderId="47" xfId="42" applyFont="1" applyFill="1" applyBorder="1" applyAlignment="1" applyProtection="1">
      <alignment horizontal="center" vertical="center"/>
    </xf>
    <xf numFmtId="0" fontId="68" fillId="26" borderId="48" xfId="42" applyFont="1" applyFill="1" applyBorder="1" applyAlignment="1" applyProtection="1">
      <alignment horizontal="center" vertical="center"/>
    </xf>
    <xf numFmtId="0" fontId="67" fillId="26" borderId="11" xfId="42" applyFont="1" applyFill="1" applyBorder="1" applyAlignment="1" applyProtection="1">
      <alignment vertical="center"/>
    </xf>
    <xf numFmtId="0" fontId="67" fillId="26" borderId="12" xfId="42" applyFont="1" applyFill="1" applyBorder="1" applyAlignment="1" applyProtection="1">
      <alignment vertical="center"/>
    </xf>
    <xf numFmtId="0" fontId="68" fillId="26" borderId="41" xfId="42" applyFont="1" applyFill="1" applyBorder="1" applyAlignment="1" applyProtection="1">
      <alignment horizontal="center" vertical="center"/>
    </xf>
    <xf numFmtId="0" fontId="63" fillId="26" borderId="49" xfId="42" applyFont="1" applyFill="1" applyBorder="1" applyProtection="1"/>
    <xf numFmtId="0" fontId="68" fillId="26" borderId="75" xfId="42" applyFont="1" applyFill="1" applyBorder="1" applyAlignment="1" applyProtection="1">
      <alignment horizontal="center"/>
    </xf>
    <xf numFmtId="0" fontId="26" fillId="26" borderId="76" xfId="42" applyFont="1" applyFill="1" applyBorder="1" applyAlignment="1" applyProtection="1">
      <alignment horizontal="center"/>
      <protection hidden="1"/>
    </xf>
    <xf numFmtId="3" fontId="34" fillId="26" borderId="10" xfId="41" applyNumberFormat="1" applyFont="1" applyFill="1" applyBorder="1" applyAlignment="1" applyProtection="1">
      <alignment horizontal="center" vertical="center"/>
      <protection hidden="1"/>
    </xf>
    <xf numFmtId="0" fontId="62" fillId="24" borderId="0" xfId="42" applyFont="1" applyFill="1" applyAlignment="1" applyProtection="1">
      <alignment horizontal="left" vertical="top" wrapText="1"/>
    </xf>
    <xf numFmtId="0" fontId="62" fillId="24" borderId="0" xfId="42" applyFont="1" applyFill="1" applyAlignment="1" applyProtection="1">
      <alignment horizontal="center" vertical="center" wrapText="1"/>
    </xf>
    <xf numFmtId="0" fontId="49" fillId="24" borderId="0" xfId="42" applyFont="1" applyFill="1" applyAlignment="1" applyProtection="1">
      <alignment horizontal="center" vertical="center" wrapText="1"/>
    </xf>
    <xf numFmtId="0" fontId="64" fillId="24" borderId="0" xfId="42" applyFont="1" applyFill="1" applyAlignment="1" applyProtection="1">
      <alignment horizontal="left" vertical="center"/>
    </xf>
    <xf numFmtId="0" fontId="65" fillId="24" borderId="0" xfId="42" applyFont="1" applyFill="1" applyAlignment="1" applyProtection="1">
      <alignment horizontal="center" vertical="center"/>
    </xf>
    <xf numFmtId="0" fontId="64" fillId="24" borderId="0" xfId="42" applyFont="1" applyFill="1" applyAlignment="1" applyProtection="1">
      <alignment horizontal="left" vertical="top" wrapText="1"/>
    </xf>
    <xf numFmtId="0" fontId="67" fillId="24" borderId="0" xfId="42" applyFont="1" applyFill="1" applyBorder="1" applyProtection="1"/>
    <xf numFmtId="0" fontId="64" fillId="24" borderId="0" xfId="42" applyFont="1" applyFill="1" applyBorder="1" applyAlignment="1" applyProtection="1">
      <alignment horizontal="left" vertical="top" wrapText="1"/>
    </xf>
    <xf numFmtId="0" fontId="62" fillId="24" borderId="0" xfId="42" applyFont="1" applyFill="1" applyAlignment="1" applyProtection="1">
      <alignment horizontal="center"/>
    </xf>
    <xf numFmtId="0" fontId="62" fillId="24" borderId="0" xfId="42" applyFont="1" applyFill="1" applyProtection="1"/>
    <xf numFmtId="0" fontId="62" fillId="24" borderId="0" xfId="42" applyFont="1" applyFill="1" applyAlignment="1" applyProtection="1">
      <alignment horizontal="left"/>
    </xf>
    <xf numFmtId="0" fontId="62" fillId="24" borderId="0" xfId="42" applyFont="1" applyFill="1" applyBorder="1" applyProtection="1"/>
    <xf numFmtId="0" fontId="67" fillId="24" borderId="0" xfId="42" applyFont="1" applyFill="1" applyBorder="1" applyProtection="1">
      <protection locked="0"/>
    </xf>
    <xf numFmtId="0" fontId="67" fillId="24" borderId="0" xfId="42" applyFont="1" applyFill="1" applyAlignment="1" applyProtection="1">
      <alignment horizontal="center"/>
    </xf>
    <xf numFmtId="0" fontId="68" fillId="24" borderId="49" xfId="42" applyFont="1" applyFill="1" applyBorder="1" applyProtection="1"/>
    <xf numFmtId="0" fontId="67" fillId="24" borderId="75" xfId="42" applyFont="1" applyFill="1" applyBorder="1" applyAlignment="1" applyProtection="1">
      <alignment horizontal="center"/>
    </xf>
    <xf numFmtId="0" fontId="67" fillId="24" borderId="76" xfId="42" applyFont="1" applyFill="1" applyBorder="1" applyAlignment="1" applyProtection="1">
      <alignment horizontal="center"/>
    </xf>
    <xf numFmtId="0" fontId="68" fillId="24" borderId="0" xfId="42" applyFont="1" applyFill="1" applyAlignment="1" applyProtection="1">
      <alignment vertical="top"/>
    </xf>
    <xf numFmtId="0" fontId="36" fillId="24" borderId="0" xfId="42" applyFont="1" applyFill="1" applyAlignment="1" applyProtection="1">
      <alignment vertical="top"/>
    </xf>
    <xf numFmtId="0" fontId="67" fillId="24" borderId="0" xfId="42" applyFont="1" applyFill="1" applyProtection="1"/>
    <xf numFmtId="0" fontId="90" fillId="24" borderId="0" xfId="0" applyFont="1" applyFill="1" applyBorder="1" applyAlignment="1" applyProtection="1">
      <alignment horizontal="center" vertical="top" wrapText="1"/>
    </xf>
    <xf numFmtId="0" fontId="68" fillId="24" borderId="15" xfId="42" applyFont="1" applyFill="1" applyBorder="1" applyProtection="1"/>
    <xf numFmtId="0" fontId="67" fillId="24" borderId="16" xfId="42" applyFont="1" applyFill="1" applyBorder="1" applyAlignment="1" applyProtection="1">
      <alignment horizontal="center"/>
    </xf>
    <xf numFmtId="0" fontId="67" fillId="24" borderId="17" xfId="42" applyFont="1" applyFill="1" applyBorder="1" applyAlignment="1" applyProtection="1">
      <alignment horizontal="center"/>
    </xf>
    <xf numFmtId="0" fontId="72" fillId="24" borderId="0" xfId="0" applyFont="1" applyFill="1" applyBorder="1" applyAlignment="1" applyProtection="1">
      <alignment horizontal="center" vertical="top" wrapText="1"/>
    </xf>
    <xf numFmtId="0" fontId="68" fillId="24" borderId="0" xfId="42" applyFont="1" applyFill="1" applyProtection="1"/>
    <xf numFmtId="0" fontId="68" fillId="24" borderId="0" xfId="42" applyFont="1" applyFill="1" applyBorder="1" applyProtection="1"/>
    <xf numFmtId="0" fontId="36" fillId="24" borderId="20" xfId="42" applyFont="1" applyFill="1" applyBorder="1" applyAlignment="1" applyProtection="1">
      <alignment vertical="center"/>
    </xf>
    <xf numFmtId="0" fontId="36" fillId="24" borderId="21" xfId="42" applyFont="1" applyFill="1" applyBorder="1" applyAlignment="1" applyProtection="1">
      <alignment vertical="center"/>
    </xf>
    <xf numFmtId="0" fontId="36" fillId="24" borderId="0" xfId="42" applyFont="1" applyFill="1" applyBorder="1" applyAlignment="1" applyProtection="1">
      <alignment vertical="center"/>
    </xf>
    <xf numFmtId="0" fontId="36" fillId="24" borderId="0" xfId="42" applyFont="1" applyFill="1" applyAlignment="1" applyProtection="1">
      <alignment vertical="center"/>
    </xf>
    <xf numFmtId="0" fontId="51" fillId="24" borderId="34" xfId="42" applyFont="1" applyFill="1" applyBorder="1" applyAlignment="1" applyProtection="1">
      <alignment horizontal="center" vertical="center"/>
    </xf>
    <xf numFmtId="0" fontId="67" fillId="24" borderId="0" xfId="42" applyFont="1" applyFill="1" applyAlignment="1" applyProtection="1">
      <alignment vertical="center"/>
    </xf>
    <xf numFmtId="0" fontId="72" fillId="24" borderId="0" xfId="0" applyFont="1" applyFill="1" applyBorder="1" applyAlignment="1" applyProtection="1">
      <alignment horizontal="center" vertical="center" wrapText="1"/>
    </xf>
    <xf numFmtId="0" fontId="67" fillId="24" borderId="0" xfId="42" applyFont="1" applyFill="1" applyBorder="1" applyAlignment="1" applyProtection="1">
      <alignment vertical="center"/>
    </xf>
    <xf numFmtId="0" fontId="51" fillId="24" borderId="20" xfId="42" applyFont="1" applyFill="1" applyBorder="1" applyAlignment="1" applyProtection="1">
      <alignment vertical="center"/>
    </xf>
    <xf numFmtId="0" fontId="36" fillId="24" borderId="21" xfId="42" applyFont="1" applyFill="1" applyBorder="1" applyAlignment="1" applyProtection="1">
      <alignment horizontal="center" vertical="center"/>
    </xf>
    <xf numFmtId="0" fontId="51" fillId="24" borderId="20" xfId="42" applyFont="1" applyFill="1" applyBorder="1" applyAlignment="1" applyProtection="1">
      <alignment horizontal="center" vertical="center"/>
    </xf>
    <xf numFmtId="0" fontId="51" fillId="24" borderId="0" xfId="42" applyFont="1" applyFill="1" applyBorder="1" applyAlignment="1" applyProtection="1">
      <alignment horizontal="center" vertical="center"/>
    </xf>
    <xf numFmtId="0" fontId="36" fillId="24" borderId="0" xfId="42" applyFont="1" applyFill="1" applyAlignment="1" applyProtection="1">
      <alignment horizontal="center" vertical="center"/>
    </xf>
    <xf numFmtId="0" fontId="51" fillId="24" borderId="34" xfId="42" applyFont="1" applyFill="1" applyBorder="1" applyAlignment="1" applyProtection="1">
      <alignment vertical="center"/>
    </xf>
    <xf numFmtId="0" fontId="51" fillId="24" borderId="20" xfId="42" applyFont="1" applyFill="1" applyBorder="1" applyAlignment="1" applyProtection="1">
      <alignment horizontal="center" vertical="center" wrapText="1"/>
    </xf>
    <xf numFmtId="0" fontId="51" fillId="24" borderId="21" xfId="42" applyFont="1" applyFill="1" applyBorder="1" applyAlignment="1" applyProtection="1">
      <alignment horizontal="center" vertical="center"/>
    </xf>
    <xf numFmtId="0" fontId="36" fillId="24" borderId="34" xfId="42" applyFont="1" applyFill="1" applyBorder="1" applyAlignment="1" applyProtection="1">
      <alignment vertical="center"/>
    </xf>
    <xf numFmtId="0" fontId="36" fillId="24" borderId="20" xfId="42" applyFont="1" applyFill="1" applyBorder="1" applyAlignment="1" applyProtection="1">
      <alignment horizontal="center" vertical="center"/>
    </xf>
    <xf numFmtId="0" fontId="36" fillId="24" borderId="20" xfId="42" applyFont="1" applyFill="1" applyBorder="1" applyAlignment="1" applyProtection="1">
      <alignment horizontal="center" vertical="top"/>
    </xf>
    <xf numFmtId="0" fontId="36" fillId="24" borderId="21" xfId="42" applyFont="1" applyFill="1" applyBorder="1" applyAlignment="1" applyProtection="1">
      <alignment horizontal="center" vertical="top"/>
    </xf>
    <xf numFmtId="0" fontId="36" fillId="24" borderId="0" xfId="42" applyFont="1" applyFill="1" applyBorder="1" applyAlignment="1" applyProtection="1">
      <alignment horizontal="center" vertical="top"/>
    </xf>
    <xf numFmtId="0" fontId="36" fillId="24" borderId="34" xfId="42" applyFont="1" applyFill="1" applyBorder="1" applyAlignment="1" applyProtection="1">
      <alignment horizontal="center" vertical="top"/>
    </xf>
    <xf numFmtId="0" fontId="36" fillId="24" borderId="0" xfId="42" applyFont="1" applyFill="1" applyAlignment="1" applyProtection="1">
      <alignment horizontal="center" vertical="top"/>
    </xf>
    <xf numFmtId="0" fontId="51" fillId="24" borderId="20" xfId="42" applyFont="1" applyFill="1" applyBorder="1" applyAlignment="1" applyProtection="1">
      <alignment vertical="center" wrapText="1"/>
    </xf>
    <xf numFmtId="0" fontId="51" fillId="24" borderId="0" xfId="42" applyFont="1" applyFill="1" applyBorder="1" applyAlignment="1" applyProtection="1">
      <alignment vertical="center" wrapText="1"/>
    </xf>
    <xf numFmtId="0" fontId="51" fillId="24" borderId="21" xfId="42" applyFont="1" applyFill="1" applyBorder="1" applyAlignment="1" applyProtection="1">
      <alignment vertical="center" wrapText="1"/>
    </xf>
    <xf numFmtId="0" fontId="67" fillId="24" borderId="12" xfId="42" applyFont="1" applyFill="1" applyBorder="1" applyProtection="1"/>
    <xf numFmtId="0" fontId="69" fillId="24" borderId="45" xfId="42" applyFont="1" applyFill="1" applyBorder="1" applyAlignment="1" applyProtection="1">
      <alignment horizontal="center"/>
    </xf>
    <xf numFmtId="0" fontId="69" fillId="24" borderId="22" xfId="42" applyFont="1" applyFill="1" applyBorder="1" applyAlignment="1" applyProtection="1">
      <alignment horizontal="center"/>
      <protection locked="0"/>
    </xf>
    <xf numFmtId="0" fontId="67" fillId="24" borderId="20" xfId="42" applyFont="1" applyFill="1" applyBorder="1" applyProtection="1"/>
    <xf numFmtId="0" fontId="67" fillId="24" borderId="21" xfId="42" applyFont="1" applyFill="1" applyBorder="1" applyProtection="1"/>
    <xf numFmtId="0" fontId="67" fillId="24" borderId="34" xfId="42" applyFont="1" applyFill="1" applyBorder="1" applyProtection="1"/>
    <xf numFmtId="0" fontId="36" fillId="24" borderId="0" xfId="42" applyFont="1" applyFill="1" applyBorder="1" applyAlignment="1" applyProtection="1">
      <alignment horizontal="center" vertical="center"/>
    </xf>
    <xf numFmtId="0" fontId="36" fillId="24" borderId="34" xfId="42" applyFont="1" applyFill="1" applyBorder="1" applyAlignment="1" applyProtection="1">
      <alignment horizontal="center" vertical="center"/>
    </xf>
    <xf numFmtId="0" fontId="68" fillId="24" borderId="20" xfId="42" applyFont="1" applyFill="1" applyBorder="1" applyAlignment="1" applyProtection="1">
      <alignment horizontal="right" vertical="center"/>
    </xf>
    <xf numFmtId="0" fontId="68" fillId="24" borderId="21" xfId="42" applyFont="1" applyFill="1" applyBorder="1" applyAlignment="1" applyProtection="1">
      <alignment horizontal="center" vertical="center"/>
    </xf>
    <xf numFmtId="0" fontId="36" fillId="24" borderId="21" xfId="42" applyFont="1" applyFill="1" applyBorder="1" applyAlignment="1" applyProtection="1">
      <alignment vertical="top"/>
    </xf>
    <xf numFmtId="0" fontId="38" fillId="24" borderId="76" xfId="42" applyFont="1" applyFill="1" applyBorder="1" applyAlignment="1" applyProtection="1">
      <alignment horizontal="center"/>
      <protection locked="0"/>
    </xf>
    <xf numFmtId="0" fontId="36" fillId="24" borderId="0" xfId="42" applyFont="1" applyFill="1" applyAlignment="1" applyProtection="1">
      <alignment horizontal="center"/>
    </xf>
    <xf numFmtId="0" fontId="36" fillId="24" borderId="0" xfId="42" applyFont="1" applyFill="1" applyProtection="1"/>
    <xf numFmtId="0" fontId="36" fillId="24" borderId="23" xfId="42" applyFont="1" applyFill="1" applyBorder="1" applyAlignment="1" applyProtection="1">
      <alignment horizontal="center" vertical="top"/>
    </xf>
    <xf numFmtId="0" fontId="36" fillId="24" borderId="25" xfId="42" applyFont="1" applyFill="1" applyBorder="1" applyAlignment="1" applyProtection="1">
      <alignment horizontal="center" vertical="top"/>
    </xf>
    <xf numFmtId="0" fontId="51" fillId="24" borderId="35" xfId="42" applyFont="1" applyFill="1" applyBorder="1" applyAlignment="1" applyProtection="1">
      <alignment horizontal="center" vertical="top"/>
    </xf>
    <xf numFmtId="0" fontId="36" fillId="24" borderId="25" xfId="42" applyFont="1" applyFill="1" applyBorder="1" applyAlignment="1" applyProtection="1">
      <alignment vertical="top"/>
    </xf>
    <xf numFmtId="0" fontId="51" fillId="24" borderId="0" xfId="42" applyFont="1" applyFill="1" applyAlignment="1" applyProtection="1">
      <alignment vertical="top"/>
    </xf>
    <xf numFmtId="0" fontId="36" fillId="24" borderId="0" xfId="42" applyFont="1" applyFill="1" applyAlignment="1" applyProtection="1">
      <alignment horizontal="left" vertical="top" wrapText="1"/>
    </xf>
    <xf numFmtId="0" fontId="36" fillId="24" borderId="0" xfId="42" applyFont="1" applyFill="1" applyBorder="1" applyProtection="1"/>
    <xf numFmtId="0" fontId="36" fillId="24" borderId="0" xfId="42" applyFont="1" applyFill="1" applyBorder="1" applyAlignment="1" applyProtection="1">
      <alignment horizontal="center"/>
    </xf>
    <xf numFmtId="0" fontId="85" fillId="23" borderId="0" xfId="41" applyFont="1" applyFill="1" applyAlignment="1" applyProtection="1">
      <alignment horizontal="left" vertical="top" wrapText="1"/>
      <protection hidden="1"/>
    </xf>
    <xf numFmtId="0" fontId="62" fillId="23" borderId="0" xfId="41" applyFont="1" applyFill="1" applyBorder="1" applyAlignment="1" applyProtection="1">
      <alignment horizontal="left" vertical="top" wrapText="1"/>
      <protection hidden="1"/>
    </xf>
    <xf numFmtId="0" fontId="83" fillId="23" borderId="0" xfId="41" applyFont="1" applyFill="1" applyBorder="1" applyAlignment="1" applyProtection="1">
      <alignment horizontal="left" vertical="top" wrapText="1"/>
      <protection hidden="1"/>
    </xf>
    <xf numFmtId="0" fontId="9" fillId="23" borderId="0" xfId="41" applyFont="1" applyFill="1" applyAlignment="1" applyProtection="1">
      <alignment vertical="center" wrapText="1"/>
      <protection hidden="1"/>
    </xf>
    <xf numFmtId="0" fontId="55" fillId="23" borderId="0" xfId="41" applyFont="1" applyFill="1" applyBorder="1" applyAlignment="1" applyProtection="1">
      <alignment horizontal="center" vertical="center"/>
      <protection hidden="1"/>
    </xf>
    <xf numFmtId="0" fontId="84" fillId="23" borderId="0" xfId="41" applyFont="1" applyFill="1" applyBorder="1" applyAlignment="1" applyProtection="1">
      <alignment vertical="top"/>
      <protection hidden="1"/>
    </xf>
    <xf numFmtId="0" fontId="62" fillId="23" borderId="0" xfId="41" applyFont="1" applyFill="1" applyBorder="1" applyAlignment="1" applyProtection="1">
      <alignment vertical="top" wrapText="1"/>
      <protection hidden="1"/>
    </xf>
    <xf numFmtId="0" fontId="62" fillId="23" borderId="0" xfId="41" applyFont="1" applyFill="1" applyBorder="1" applyAlignment="1" applyProtection="1">
      <alignment horizontal="center" vertical="top" wrapText="1"/>
      <protection hidden="1"/>
    </xf>
    <xf numFmtId="0" fontId="9" fillId="23" borderId="0" xfId="41" applyFont="1" applyFill="1" applyAlignment="1" applyProtection="1">
      <alignment vertical="top" wrapText="1"/>
      <protection hidden="1"/>
    </xf>
    <xf numFmtId="0" fontId="85" fillId="23" borderId="0" xfId="41" applyFont="1" applyFill="1" applyAlignment="1" applyProtection="1">
      <alignment vertical="top" wrapText="1"/>
      <protection hidden="1"/>
    </xf>
    <xf numFmtId="0" fontId="7" fillId="23" borderId="0" xfId="41" applyFont="1" applyFill="1" applyBorder="1" applyAlignment="1" applyProtection="1">
      <alignment vertical="top" wrapText="1"/>
      <protection hidden="1"/>
    </xf>
    <xf numFmtId="0" fontId="51" fillId="23" borderId="0" xfId="41" applyFont="1" applyFill="1" applyBorder="1" applyAlignment="1" applyProtection="1">
      <alignment vertical="center"/>
      <protection hidden="1"/>
    </xf>
    <xf numFmtId="1" fontId="51" fillId="23" borderId="0" xfId="41" applyNumberFormat="1" applyFont="1" applyFill="1" applyBorder="1" applyAlignment="1" applyProtection="1">
      <alignment horizontal="left" vertical="center" wrapText="1"/>
      <protection hidden="1"/>
    </xf>
    <xf numFmtId="1" fontId="51" fillId="23" borderId="0" xfId="41" applyNumberFormat="1" applyFont="1" applyFill="1" applyBorder="1" applyAlignment="1" applyProtection="1">
      <alignment horizontal="center" vertical="center" wrapText="1"/>
      <protection hidden="1"/>
    </xf>
    <xf numFmtId="0" fontId="7" fillId="23" borderId="0" xfId="41" applyFont="1" applyFill="1" applyBorder="1" applyAlignment="1" applyProtection="1">
      <alignment horizontal="center" vertical="top" wrapText="1"/>
      <protection hidden="1"/>
    </xf>
    <xf numFmtId="0" fontId="9" fillId="23" borderId="0" xfId="41" applyFont="1" applyFill="1" applyBorder="1" applyAlignment="1" applyProtection="1">
      <alignment vertical="top" wrapText="1"/>
      <protection hidden="1"/>
    </xf>
    <xf numFmtId="0" fontId="92" fillId="23" borderId="0" xfId="41" applyFont="1" applyFill="1" applyBorder="1" applyAlignment="1" applyProtection="1">
      <alignment horizontal="center" vertical="center" textRotation="90" wrapText="1"/>
      <protection hidden="1"/>
    </xf>
    <xf numFmtId="0" fontId="7" fillId="23" borderId="0" xfId="48" applyNumberFormat="1" applyFont="1" applyFill="1" applyBorder="1" applyAlignment="1" applyProtection="1">
      <alignment horizontal="center" vertical="top" wrapText="1"/>
      <protection hidden="1"/>
    </xf>
    <xf numFmtId="0" fontId="16" fillId="23" borderId="0" xfId="41" applyFont="1" applyFill="1" applyBorder="1" applyAlignment="1" applyProtection="1">
      <alignment horizontal="center" vertical="center"/>
      <protection hidden="1"/>
    </xf>
    <xf numFmtId="0" fontId="51" fillId="23" borderId="0" xfId="41" applyFont="1" applyFill="1" applyBorder="1" applyAlignment="1" applyProtection="1">
      <alignment horizontal="right" vertical="center" wrapText="1"/>
      <protection hidden="1"/>
    </xf>
    <xf numFmtId="2" fontId="16" fillId="23" borderId="0" xfId="41" applyNumberFormat="1" applyFont="1" applyFill="1" applyBorder="1" applyAlignment="1" applyProtection="1">
      <alignment horizontal="center" vertical="center" wrapText="1"/>
      <protection hidden="1"/>
    </xf>
    <xf numFmtId="0" fontId="93" fillId="23" borderId="0" xfId="41" applyFont="1" applyFill="1" applyBorder="1" applyAlignment="1" applyProtection="1">
      <alignment vertical="center" textRotation="90" wrapText="1"/>
      <protection hidden="1"/>
    </xf>
    <xf numFmtId="0" fontId="36" fillId="23" borderId="0" xfId="41" applyFont="1" applyFill="1" applyBorder="1" applyAlignment="1" applyProtection="1">
      <alignment horizontal="center" vertical="center" textRotation="90" wrapText="1"/>
      <protection hidden="1"/>
    </xf>
    <xf numFmtId="0" fontId="36" fillId="23" borderId="0" xfId="41" applyFont="1" applyFill="1" applyBorder="1" applyAlignment="1" applyProtection="1">
      <alignment horizontal="center" vertical="center" wrapText="1"/>
      <protection hidden="1"/>
    </xf>
    <xf numFmtId="0" fontId="9" fillId="23" borderId="0" xfId="41" applyFont="1" applyFill="1" applyBorder="1" applyAlignment="1" applyProtection="1">
      <alignment horizontal="center" vertical="top" wrapText="1"/>
      <protection hidden="1"/>
    </xf>
    <xf numFmtId="0" fontId="14" fillId="23" borderId="0" xfId="41" applyFont="1" applyFill="1" applyBorder="1" applyAlignment="1" applyProtection="1">
      <alignment horizontal="center" vertical="top" wrapText="1"/>
      <protection hidden="1"/>
    </xf>
    <xf numFmtId="0" fontId="93" fillId="23" borderId="0" xfId="41" applyFont="1" applyFill="1" applyBorder="1" applyAlignment="1" applyProtection="1">
      <alignment horizontal="center" vertical="center" textRotation="90" wrapText="1"/>
      <protection hidden="1"/>
    </xf>
    <xf numFmtId="0" fontId="7" fillId="23" borderId="0" xfId="41" applyFill="1" applyBorder="1" applyAlignment="1" applyProtection="1">
      <alignment horizontal="center" vertical="center"/>
      <protection hidden="1"/>
    </xf>
    <xf numFmtId="0" fontId="7" fillId="23" borderId="0" xfId="41" applyFont="1" applyFill="1" applyBorder="1" applyAlignment="1" applyProtection="1">
      <alignment vertical="center" wrapText="1"/>
      <protection hidden="1"/>
    </xf>
    <xf numFmtId="0" fontId="9" fillId="23" borderId="0" xfId="41" applyFont="1" applyFill="1" applyAlignment="1" applyProtection="1">
      <alignment horizontal="center" vertical="top" wrapText="1"/>
      <protection hidden="1"/>
    </xf>
    <xf numFmtId="0" fontId="14" fillId="23" borderId="0" xfId="41" applyFont="1" applyFill="1" applyAlignment="1" applyProtection="1">
      <alignment horizontal="center" vertical="top" wrapText="1"/>
      <protection hidden="1"/>
    </xf>
    <xf numFmtId="0" fontId="16" fillId="23" borderId="0" xfId="42" applyFont="1" applyFill="1" applyBorder="1" applyAlignment="1" applyProtection="1">
      <alignment horizontal="center" vertical="top" wrapText="1"/>
      <protection hidden="1"/>
    </xf>
    <xf numFmtId="0" fontId="7" fillId="23" borderId="0" xfId="42" applyFont="1" applyFill="1" applyBorder="1" applyAlignment="1" applyProtection="1">
      <alignment vertical="top" wrapText="1"/>
      <protection hidden="1"/>
    </xf>
    <xf numFmtId="0" fontId="7" fillId="23" borderId="0" xfId="42" applyFont="1" applyFill="1" applyBorder="1" applyAlignment="1" applyProtection="1">
      <alignment horizontal="center"/>
      <protection hidden="1"/>
    </xf>
    <xf numFmtId="0" fontId="7" fillId="23" borderId="0" xfId="42" applyFont="1" applyFill="1" applyBorder="1" applyAlignment="1" applyProtection="1">
      <alignment horizontal="center" vertical="top" wrapText="1"/>
      <protection hidden="1"/>
    </xf>
    <xf numFmtId="0" fontId="7" fillId="23" borderId="0" xfId="42" applyFont="1" applyFill="1" applyAlignment="1" applyProtection="1">
      <alignment vertical="top" wrapText="1"/>
      <protection hidden="1"/>
    </xf>
    <xf numFmtId="0" fontId="16" fillId="23" borderId="50" xfId="42" applyFont="1" applyFill="1" applyBorder="1" applyAlignment="1" applyProtection="1">
      <alignment horizontal="center" vertical="top" wrapText="1"/>
      <protection hidden="1"/>
    </xf>
    <xf numFmtId="0" fontId="128" fillId="23" borderId="0" xfId="41" applyFont="1" applyFill="1" applyAlignment="1" applyProtection="1">
      <alignment horizontal="center" vertical="top" wrapText="1"/>
      <protection hidden="1"/>
    </xf>
    <xf numFmtId="0" fontId="129" fillId="23" borderId="0" xfId="41" applyFont="1" applyFill="1" applyAlignment="1" applyProtection="1">
      <alignment horizontal="center" vertical="top" wrapText="1"/>
      <protection hidden="1"/>
    </xf>
    <xf numFmtId="0" fontId="128" fillId="23" borderId="0" xfId="41" applyFont="1" applyFill="1" applyAlignment="1" applyProtection="1">
      <alignment vertical="top" wrapText="1"/>
      <protection hidden="1"/>
    </xf>
    <xf numFmtId="0" fontId="129" fillId="23" borderId="0" xfId="41" applyFont="1" applyFill="1" applyBorder="1" applyAlignment="1" applyProtection="1">
      <alignment horizontal="center" vertical="top" wrapText="1"/>
      <protection hidden="1"/>
    </xf>
    <xf numFmtId="0" fontId="51" fillId="26" borderId="10" xfId="41" applyFont="1" applyFill="1" applyBorder="1" applyAlignment="1" applyProtection="1">
      <alignment vertical="center"/>
      <protection hidden="1"/>
    </xf>
    <xf numFmtId="0" fontId="89" fillId="26" borderId="10" xfId="41" applyFont="1" applyFill="1" applyBorder="1" applyAlignment="1" applyProtection="1">
      <alignment horizontal="center" vertical="center" wrapText="1"/>
      <protection hidden="1"/>
    </xf>
    <xf numFmtId="0" fontId="7" fillId="26" borderId="10" xfId="41" applyFont="1" applyFill="1" applyBorder="1" applyAlignment="1" applyProtection="1">
      <alignment horizontal="center" vertical="center" wrapText="1"/>
      <protection hidden="1"/>
    </xf>
    <xf numFmtId="0" fontId="137" fillId="23" borderId="0" xfId="41" applyFont="1" applyFill="1" applyBorder="1" applyAlignment="1" applyProtection="1">
      <alignment horizontal="center" vertical="top"/>
      <protection hidden="1"/>
    </xf>
    <xf numFmtId="0" fontId="109" fillId="23" borderId="0" xfId="41" applyFont="1" applyFill="1" applyBorder="1" applyAlignment="1" applyProtection="1">
      <alignment horizontal="center" vertical="top" wrapText="1"/>
      <protection hidden="1"/>
    </xf>
    <xf numFmtId="0" fontId="134" fillId="23" borderId="0" xfId="41" applyFont="1" applyFill="1" applyBorder="1" applyAlignment="1" applyProtection="1">
      <alignment horizontal="center" vertical="top" wrapText="1"/>
      <protection hidden="1"/>
    </xf>
    <xf numFmtId="0" fontId="138" fillId="23" borderId="0" xfId="41" applyFont="1" applyFill="1" applyBorder="1" applyAlignment="1" applyProtection="1">
      <alignment horizontal="left" vertical="center" wrapText="1"/>
      <protection hidden="1"/>
    </xf>
    <xf numFmtId="0" fontId="134" fillId="23" borderId="0" xfId="48" applyNumberFormat="1" applyFont="1" applyFill="1" applyBorder="1" applyAlignment="1" applyProtection="1">
      <alignment horizontal="center" vertical="top" wrapText="1"/>
      <protection hidden="1"/>
    </xf>
    <xf numFmtId="0" fontId="134" fillId="23" borderId="0" xfId="48" applyNumberFormat="1" applyFont="1" applyFill="1" applyBorder="1" applyAlignment="1" applyProtection="1">
      <alignment horizontal="center" vertical="center" wrapText="1"/>
      <protection hidden="1"/>
    </xf>
    <xf numFmtId="0" fontId="109" fillId="23" borderId="0" xfId="48" applyNumberFormat="1" applyFont="1" applyFill="1" applyBorder="1" applyAlignment="1" applyProtection="1">
      <alignment horizontal="left" vertical="top"/>
      <protection hidden="1"/>
    </xf>
    <xf numFmtId="0" fontId="109" fillId="23" borderId="0" xfId="41" applyFont="1" applyFill="1" applyBorder="1" applyAlignment="1" applyProtection="1">
      <alignment horizontal="center" vertical="center"/>
      <protection hidden="1"/>
    </xf>
    <xf numFmtId="0" fontId="51" fillId="23" borderId="0" xfId="48" applyNumberFormat="1" applyFont="1" applyFill="1" applyBorder="1" applyAlignment="1" applyProtection="1">
      <alignment horizontal="left" vertical="top"/>
      <protection hidden="1"/>
    </xf>
    <xf numFmtId="0" fontId="139" fillId="23" borderId="0" xfId="41" applyFont="1" applyFill="1" applyBorder="1" applyAlignment="1" applyProtection="1">
      <alignment horizontal="center" vertical="top" wrapText="1"/>
      <protection hidden="1"/>
    </xf>
    <xf numFmtId="0" fontId="51" fillId="23" borderId="0" xfId="41" applyFont="1" applyFill="1" applyBorder="1" applyAlignment="1" applyProtection="1">
      <alignment horizontal="center" vertical="center"/>
      <protection hidden="1"/>
    </xf>
    <xf numFmtId="0" fontId="134" fillId="23" borderId="0" xfId="41" applyFont="1" applyFill="1" applyBorder="1" applyAlignment="1" applyProtection="1">
      <alignment horizontal="center" vertical="center"/>
      <protection hidden="1"/>
    </xf>
    <xf numFmtId="0" fontId="134" fillId="23" borderId="0" xfId="41" applyNumberFormat="1" applyFont="1" applyFill="1" applyBorder="1" applyAlignment="1" applyProtection="1">
      <alignment horizontal="center" vertical="center"/>
      <protection hidden="1"/>
    </xf>
    <xf numFmtId="9" fontId="51" fillId="23" borderId="0" xfId="48" applyFont="1" applyFill="1" applyBorder="1" applyAlignment="1" applyProtection="1">
      <alignment horizontal="center" vertical="center" wrapText="1"/>
      <protection hidden="1"/>
    </xf>
    <xf numFmtId="0" fontId="134" fillId="23" borderId="0" xfId="41" applyFont="1" applyFill="1" applyBorder="1" applyAlignment="1" applyProtection="1">
      <alignment vertical="top" wrapText="1"/>
      <protection hidden="1"/>
    </xf>
    <xf numFmtId="0" fontId="51" fillId="23" borderId="0" xfId="41" applyFont="1" applyFill="1" applyBorder="1" applyAlignment="1" applyProtection="1">
      <alignment horizontal="center" vertical="top" wrapText="1"/>
      <protection hidden="1"/>
    </xf>
    <xf numFmtId="0" fontId="134" fillId="23" borderId="0" xfId="41" applyFont="1" applyFill="1" applyBorder="1" applyAlignment="1" applyProtection="1">
      <alignment horizontal="center" vertical="center" wrapText="1"/>
      <protection hidden="1"/>
    </xf>
    <xf numFmtId="0" fontId="140" fillId="23" borderId="0" xfId="41" applyFont="1" applyFill="1" applyBorder="1" applyAlignment="1" applyProtection="1">
      <alignment horizontal="center" vertical="top" wrapText="1"/>
      <protection hidden="1"/>
    </xf>
    <xf numFmtId="0" fontId="134" fillId="23" borderId="0" xfId="41" applyFont="1" applyFill="1" applyBorder="1" applyAlignment="1" applyProtection="1">
      <alignment vertical="center"/>
      <protection hidden="1"/>
    </xf>
    <xf numFmtId="0" fontId="134" fillId="23" borderId="0" xfId="41" applyFont="1" applyFill="1" applyBorder="1" applyProtection="1">
      <protection hidden="1"/>
    </xf>
    <xf numFmtId="0" fontId="134" fillId="23" borderId="0" xfId="41" applyFont="1" applyFill="1" applyBorder="1" applyAlignment="1" applyProtection="1">
      <protection hidden="1"/>
    </xf>
    <xf numFmtId="0" fontId="141" fillId="23" borderId="0" xfId="35" applyFont="1" applyFill="1" applyBorder="1" applyAlignment="1" applyProtection="1">
      <alignment horizontal="center" vertical="center"/>
      <protection hidden="1"/>
    </xf>
    <xf numFmtId="0" fontId="109" fillId="23" borderId="0" xfId="41" applyFont="1" applyFill="1" applyBorder="1" applyAlignment="1" applyProtection="1">
      <alignment horizontal="center" vertical="center" wrapText="1"/>
      <protection hidden="1"/>
    </xf>
    <xf numFmtId="0" fontId="101" fillId="23" borderId="0" xfId="40" applyFont="1" applyFill="1" applyBorder="1" applyAlignment="1" applyProtection="1">
      <alignment vertical="top"/>
    </xf>
    <xf numFmtId="0" fontId="53" fillId="23" borderId="0" xfId="40" applyFont="1" applyFill="1" applyBorder="1" applyAlignment="1" applyProtection="1">
      <alignment horizontal="center" vertical="top" wrapText="1"/>
      <protection hidden="1"/>
    </xf>
    <xf numFmtId="0" fontId="36" fillId="23" borderId="0" xfId="40" applyFont="1" applyFill="1" applyAlignment="1" applyProtection="1">
      <alignment horizontal="left" vertical="top" wrapText="1"/>
      <protection hidden="1"/>
    </xf>
    <xf numFmtId="0" fontId="36" fillId="23" borderId="0" xfId="40" applyFont="1" applyFill="1" applyAlignment="1" applyProtection="1">
      <alignment horizontal="left" vertical="top" wrapText="1"/>
    </xf>
    <xf numFmtId="0" fontId="51" fillId="23" borderId="0" xfId="40" applyFont="1" applyFill="1" applyAlignment="1" applyProtection="1">
      <alignment horizontal="left" vertical="top" wrapText="1"/>
      <protection hidden="1"/>
    </xf>
    <xf numFmtId="0" fontId="51" fillId="23" borderId="0" xfId="40" applyFont="1" applyFill="1" applyAlignment="1" applyProtection="1">
      <alignment horizontal="left" vertical="center" wrapText="1"/>
      <protection hidden="1"/>
    </xf>
    <xf numFmtId="0" fontId="36" fillId="23" borderId="0" xfId="40" applyFont="1" applyFill="1" applyAlignment="1" applyProtection="1">
      <alignment horizontal="center" vertical="top" wrapText="1"/>
    </xf>
    <xf numFmtId="0" fontId="18" fillId="23" borderId="0" xfId="40" applyFont="1" applyFill="1" applyAlignment="1" applyProtection="1">
      <alignment horizontal="right" vertical="top" wrapText="1"/>
      <protection hidden="1"/>
    </xf>
    <xf numFmtId="0" fontId="36" fillId="23" borderId="0" xfId="40" applyFont="1" applyFill="1" applyAlignment="1" applyProtection="1">
      <alignment horizontal="center" vertical="center" wrapText="1"/>
      <protection hidden="1"/>
    </xf>
    <xf numFmtId="0" fontId="36" fillId="23" borderId="0" xfId="40" applyFont="1" applyFill="1" applyAlignment="1" applyProtection="1">
      <alignment horizontal="center" vertical="center" wrapText="1"/>
    </xf>
    <xf numFmtId="0" fontId="55" fillId="26" borderId="75" xfId="40" applyFont="1" applyFill="1" applyBorder="1" applyAlignment="1" applyProtection="1">
      <alignment horizontal="right" vertical="center" wrapText="1"/>
      <protection hidden="1"/>
    </xf>
    <xf numFmtId="0" fontId="36" fillId="23" borderId="0" xfId="42" applyFont="1" applyFill="1"/>
    <xf numFmtId="0" fontId="36" fillId="23" borderId="0" xfId="42" applyFont="1" applyFill="1" applyAlignment="1">
      <alignment horizontal="center"/>
    </xf>
    <xf numFmtId="0" fontId="61" fillId="23" borderId="0" xfId="42" applyFont="1" applyFill="1" applyAlignment="1" applyProtection="1">
      <alignment horizontal="left" vertical="center"/>
      <protection hidden="1"/>
    </xf>
    <xf numFmtId="0" fontId="36" fillId="23" borderId="0" xfId="42" applyFont="1" applyFill="1" applyAlignment="1" applyProtection="1">
      <alignment horizontal="left" vertical="center" wrapText="1"/>
    </xf>
    <xf numFmtId="0" fontId="36" fillId="23" borderId="0" xfId="42" applyFont="1" applyFill="1" applyAlignment="1" applyProtection="1">
      <alignment horizontal="center" vertical="center" wrapText="1"/>
    </xf>
    <xf numFmtId="0" fontId="51" fillId="23" borderId="0" xfId="42" applyFont="1" applyFill="1" applyAlignment="1" applyProtection="1">
      <alignment horizontal="center" vertical="center" wrapText="1"/>
    </xf>
    <xf numFmtId="0" fontId="50" fillId="23" borderId="0" xfId="42" applyFont="1" applyFill="1" applyAlignment="1">
      <alignment vertical="center"/>
    </xf>
    <xf numFmtId="0" fontId="36" fillId="23" borderId="0" xfId="42" applyFont="1" applyFill="1" applyAlignment="1">
      <alignment horizontal="center" vertical="center"/>
    </xf>
    <xf numFmtId="0" fontId="51" fillId="23" borderId="0" xfId="42" applyFont="1" applyFill="1" applyAlignment="1">
      <alignment horizontal="justify" vertical="center" wrapText="1"/>
    </xf>
    <xf numFmtId="0" fontId="36" fillId="23" borderId="0" xfId="42" applyFont="1" applyFill="1" applyAlignment="1">
      <alignment vertical="center"/>
    </xf>
    <xf numFmtId="0" fontId="63" fillId="23" borderId="0" xfId="41" applyFont="1" applyFill="1" applyBorder="1" applyAlignment="1" applyProtection="1">
      <alignment horizontal="left" vertical="center"/>
      <protection hidden="1"/>
    </xf>
    <xf numFmtId="0" fontId="7" fillId="23" borderId="0" xfId="41" applyFill="1" applyBorder="1" applyAlignment="1" applyProtection="1">
      <alignment horizontal="left" vertical="center"/>
      <protection hidden="1"/>
    </xf>
    <xf numFmtId="0" fontId="34" fillId="23" borderId="0" xfId="41" applyFont="1" applyFill="1" applyBorder="1" applyAlignment="1" applyProtection="1">
      <alignment horizontal="center" vertical="center"/>
      <protection hidden="1"/>
    </xf>
    <xf numFmtId="0" fontId="63" fillId="23" borderId="0" xfId="42" applyFont="1" applyFill="1"/>
    <xf numFmtId="0" fontId="36" fillId="23" borderId="75" xfId="42" applyFont="1" applyFill="1" applyBorder="1" applyAlignment="1">
      <alignment horizontal="center"/>
    </xf>
    <xf numFmtId="0" fontId="36" fillId="23" borderId="0" xfId="42" applyFont="1" applyFill="1" applyBorder="1" applyAlignment="1" applyProtection="1">
      <alignment horizontal="center" vertical="center" wrapText="1"/>
    </xf>
    <xf numFmtId="0" fontId="36" fillId="23" borderId="0" xfId="42" applyFont="1" applyFill="1" applyAlignment="1" applyProtection="1">
      <alignment horizontal="justify" vertical="center" wrapText="1"/>
    </xf>
    <xf numFmtId="0" fontId="36" fillId="23" borderId="0" xfId="42" applyFont="1" applyFill="1" applyBorder="1" applyAlignment="1">
      <alignment vertical="top" wrapText="1"/>
    </xf>
    <xf numFmtId="0" fontId="36" fillId="23" borderId="0" xfId="42" applyFont="1" applyFill="1" applyBorder="1" applyAlignment="1">
      <alignment horizontal="center"/>
    </xf>
    <xf numFmtId="0" fontId="36" fillId="23" borderId="0" xfId="42" applyFont="1" applyFill="1" applyAlignment="1" applyProtection="1">
      <alignment horizontal="justify" vertical="center"/>
    </xf>
    <xf numFmtId="0" fontId="51" fillId="23" borderId="0" xfId="42" applyFont="1" applyFill="1" applyAlignment="1" applyProtection="1">
      <alignment horizontal="justify" vertical="center" wrapText="1"/>
    </xf>
    <xf numFmtId="0" fontId="51" fillId="23" borderId="0" xfId="42" applyFont="1" applyFill="1" applyAlignment="1">
      <alignment vertical="top"/>
    </xf>
    <xf numFmtId="0" fontId="36" fillId="23" borderId="10" xfId="42" applyFont="1" applyFill="1" applyBorder="1" applyAlignment="1">
      <alignment horizontal="center"/>
    </xf>
    <xf numFmtId="0" fontId="36" fillId="23" borderId="10" xfId="42" applyFont="1" applyFill="1" applyBorder="1"/>
    <xf numFmtId="0" fontId="36" fillId="23" borderId="39" xfId="42" applyFont="1" applyFill="1" applyBorder="1" applyAlignment="1" applyProtection="1">
      <alignment horizontal="center"/>
    </xf>
    <xf numFmtId="0" fontId="70" fillId="23" borderId="0" xfId="42" applyFont="1" applyFill="1"/>
    <xf numFmtId="2" fontId="16" fillId="23" borderId="0" xfId="42" applyNumberFormat="1" applyFont="1" applyFill="1" applyBorder="1" applyAlignment="1" applyProtection="1">
      <alignment horizontal="center" vertical="center"/>
      <protection hidden="1"/>
    </xf>
    <xf numFmtId="0" fontId="70" fillId="23" borderId="0" xfId="42" applyFont="1" applyFill="1" applyBorder="1" applyProtection="1"/>
    <xf numFmtId="0" fontId="70" fillId="23" borderId="10" xfId="42" applyFont="1" applyFill="1" applyBorder="1" applyAlignment="1">
      <alignment horizontal="center"/>
    </xf>
    <xf numFmtId="0" fontId="34" fillId="23" borderId="0" xfId="42" applyFont="1" applyFill="1" applyBorder="1" applyAlignment="1" applyProtection="1">
      <alignment horizontal="center" vertical="center"/>
      <protection hidden="1"/>
    </xf>
    <xf numFmtId="0" fontId="78" fillId="23" borderId="0" xfId="42" applyFont="1" applyFill="1" applyBorder="1" applyAlignment="1" applyProtection="1">
      <alignment horizontal="center" vertical="center"/>
      <protection hidden="1"/>
    </xf>
    <xf numFmtId="0" fontId="70" fillId="23" borderId="0" xfId="42" applyFont="1" applyFill="1" applyBorder="1" applyAlignment="1" applyProtection="1">
      <alignment horizontal="center"/>
    </xf>
    <xf numFmtId="0" fontId="68" fillId="23" borderId="39" xfId="42" applyFont="1" applyFill="1" applyBorder="1"/>
    <xf numFmtId="0" fontId="68" fillId="23" borderId="60" xfId="42" applyFont="1" applyFill="1" applyBorder="1"/>
    <xf numFmtId="0" fontId="68" fillId="23" borderId="60" xfId="42" applyFont="1" applyFill="1" applyBorder="1" applyAlignment="1">
      <alignment horizontal="center"/>
    </xf>
    <xf numFmtId="2" fontId="68" fillId="23" borderId="60" xfId="42" applyNumberFormat="1" applyFont="1" applyFill="1" applyBorder="1" applyAlignment="1">
      <alignment horizontal="center"/>
    </xf>
    <xf numFmtId="0" fontId="36" fillId="23" borderId="60" xfId="42" applyFont="1" applyFill="1" applyBorder="1"/>
    <xf numFmtId="0" fontId="51" fillId="23" borderId="39" xfId="42" applyFont="1" applyFill="1" applyBorder="1" applyAlignment="1">
      <alignment horizontal="center" vertical="top" wrapText="1"/>
    </xf>
    <xf numFmtId="0" fontId="51" fillId="23" borderId="64" xfId="42" applyFont="1" applyFill="1" applyBorder="1" applyAlignment="1">
      <alignment vertical="top" wrapText="1"/>
    </xf>
    <xf numFmtId="0" fontId="51" fillId="23" borderId="10" xfId="42" applyFont="1" applyFill="1" applyBorder="1" applyAlignment="1">
      <alignment horizontal="center" vertical="top" wrapText="1"/>
    </xf>
    <xf numFmtId="0" fontId="36" fillId="23" borderId="0" xfId="42" applyFont="1" applyFill="1" applyBorder="1" applyAlignment="1">
      <alignment horizontal="center" vertical="top" wrapText="1"/>
    </xf>
    <xf numFmtId="0" fontId="51" fillId="23" borderId="64" xfId="42" applyFont="1" applyFill="1" applyBorder="1"/>
    <xf numFmtId="0" fontId="36" fillId="23" borderId="0" xfId="42" applyFont="1" applyFill="1" applyBorder="1"/>
    <xf numFmtId="0" fontId="36" fillId="23" borderId="64" xfId="42" applyFont="1" applyFill="1" applyBorder="1"/>
    <xf numFmtId="0" fontId="36" fillId="23" borderId="32" xfId="42" applyFont="1" applyFill="1" applyBorder="1"/>
    <xf numFmtId="0" fontId="36" fillId="23" borderId="39" xfId="42" applyFont="1" applyFill="1" applyBorder="1" applyAlignment="1">
      <alignment horizontal="center"/>
    </xf>
    <xf numFmtId="0" fontId="36" fillId="23" borderId="39" xfId="42" applyFont="1" applyFill="1" applyBorder="1"/>
    <xf numFmtId="0" fontId="102" fillId="26" borderId="10" xfId="42" applyFont="1" applyFill="1" applyBorder="1" applyAlignment="1">
      <alignment horizontal="center" vertical="center"/>
    </xf>
    <xf numFmtId="0" fontId="36" fillId="26" borderId="10" xfId="42" applyFont="1" applyFill="1" applyBorder="1" applyAlignment="1">
      <alignment vertical="top" wrapText="1"/>
    </xf>
    <xf numFmtId="0" fontId="68" fillId="26" borderId="43" xfId="42" applyFont="1" applyFill="1" applyBorder="1" applyAlignment="1">
      <alignment vertical="top"/>
    </xf>
    <xf numFmtId="0" fontId="51" fillId="26" borderId="87" xfId="42" applyFont="1" applyFill="1" applyBorder="1" applyAlignment="1">
      <alignment horizontal="center" vertical="top" wrapText="1"/>
    </xf>
    <xf numFmtId="0" fontId="51" fillId="26" borderId="72" xfId="42" applyFont="1" applyFill="1" applyBorder="1" applyAlignment="1">
      <alignment horizontal="center" vertical="top" wrapText="1"/>
    </xf>
    <xf numFmtId="0" fontId="51" fillId="26" borderId="10" xfId="42" applyFont="1" applyFill="1" applyBorder="1" applyAlignment="1">
      <alignment horizontal="center" vertical="center" wrapText="1"/>
    </xf>
    <xf numFmtId="0" fontId="63" fillId="26" borderId="71" xfId="42" applyFont="1" applyFill="1" applyBorder="1"/>
    <xf numFmtId="0" fontId="36" fillId="26" borderId="79" xfId="42" applyFont="1" applyFill="1" applyBorder="1" applyAlignment="1">
      <alignment horizontal="center"/>
    </xf>
    <xf numFmtId="0" fontId="36" fillId="26" borderId="13" xfId="42" applyFont="1" applyFill="1" applyBorder="1" applyAlignment="1">
      <alignment horizontal="center"/>
    </xf>
    <xf numFmtId="0" fontId="51" fillId="26" borderId="80" xfId="42" applyFont="1" applyFill="1" applyBorder="1" applyAlignment="1">
      <alignment horizontal="center" vertical="top" wrapText="1"/>
    </xf>
    <xf numFmtId="0" fontId="36" fillId="26" borderId="43" xfId="42" applyFont="1" applyFill="1" applyBorder="1"/>
    <xf numFmtId="0" fontId="51" fillId="26" borderId="10" xfId="42" applyFont="1" applyFill="1" applyBorder="1" applyAlignment="1">
      <alignment horizontal="right"/>
    </xf>
    <xf numFmtId="1" fontId="7" fillId="17" borderId="10" xfId="42" applyNumberFormat="1" applyFont="1" applyFill="1" applyBorder="1" applyAlignment="1" applyProtection="1">
      <alignment horizontal="center"/>
      <protection locked="0"/>
    </xf>
    <xf numFmtId="0" fontId="36" fillId="26" borderId="10" xfId="42" applyFont="1" applyFill="1" applyBorder="1" applyAlignment="1">
      <alignment horizontal="justify" vertical="center" wrapText="1"/>
    </xf>
    <xf numFmtId="0" fontId="63" fillId="26" borderId="10" xfId="42" applyFont="1" applyFill="1" applyBorder="1" applyAlignment="1">
      <alignment horizontal="left" vertical="center" wrapText="1"/>
    </xf>
    <xf numFmtId="0" fontId="53" fillId="23" borderId="0" xfId="42" applyFont="1" applyFill="1" applyAlignment="1">
      <alignment vertical="center"/>
    </xf>
    <xf numFmtId="0" fontId="142" fillId="23" borderId="0" xfId="42" applyFont="1" applyFill="1" applyBorder="1" applyAlignment="1">
      <alignment horizontal="center" vertical="center"/>
    </xf>
    <xf numFmtId="0" fontId="53" fillId="23" borderId="0" xfId="42" applyFont="1" applyFill="1"/>
    <xf numFmtId="0" fontId="54" fillId="23" borderId="0" xfId="42" applyFont="1" applyFill="1"/>
    <xf numFmtId="0" fontId="142" fillId="23" borderId="0" xfId="42" applyFont="1" applyFill="1"/>
    <xf numFmtId="0" fontId="36" fillId="24" borderId="0" xfId="42" applyFont="1" applyFill="1" applyProtection="1">
      <protection locked="0"/>
    </xf>
    <xf numFmtId="0" fontId="36" fillId="24" borderId="0" xfId="42" applyFont="1" applyFill="1" applyAlignment="1" applyProtection="1">
      <alignment horizontal="left" vertical="center" wrapText="1"/>
      <protection locked="0"/>
    </xf>
    <xf numFmtId="0" fontId="68" fillId="24" borderId="0" xfId="42" applyFont="1" applyFill="1" applyAlignment="1" applyProtection="1">
      <alignment vertical="center"/>
      <protection locked="0"/>
    </xf>
    <xf numFmtId="0" fontId="36" fillId="24" borderId="0" xfId="42" applyFont="1" applyFill="1" applyAlignment="1" applyProtection="1">
      <alignment vertical="center"/>
      <protection locked="0"/>
    </xf>
    <xf numFmtId="0" fontId="68" fillId="24" borderId="0" xfId="42" applyFont="1" applyFill="1" applyProtection="1">
      <protection locked="0"/>
    </xf>
    <xf numFmtId="0" fontId="51" fillId="24" borderId="0" xfId="42" applyFont="1" applyFill="1" applyProtection="1">
      <protection locked="0"/>
    </xf>
    <xf numFmtId="0" fontId="51" fillId="24" borderId="0" xfId="42" applyFont="1" applyFill="1" applyAlignment="1" applyProtection="1">
      <alignment vertical="top"/>
      <protection locked="0"/>
    </xf>
    <xf numFmtId="2" fontId="51" fillId="24" borderId="50" xfId="42" applyNumberFormat="1" applyFont="1" applyFill="1" applyBorder="1" applyAlignment="1" applyProtection="1">
      <alignment horizontal="center" vertical="top" wrapText="1"/>
      <protection locked="0"/>
    </xf>
    <xf numFmtId="0" fontId="51" fillId="24" borderId="76" xfId="42" applyFont="1" applyFill="1" applyBorder="1" applyAlignment="1" applyProtection="1">
      <alignment horizontal="center" vertical="top" wrapText="1"/>
      <protection locked="0"/>
    </xf>
    <xf numFmtId="0" fontId="51" fillId="24" borderId="50" xfId="42" applyFont="1" applyFill="1" applyBorder="1" applyAlignment="1" applyProtection="1">
      <alignment horizontal="center" vertical="top" wrapText="1"/>
      <protection locked="0"/>
    </xf>
    <xf numFmtId="0" fontId="36" fillId="24" borderId="50" xfId="42" applyFont="1" applyFill="1" applyBorder="1" applyAlignment="1" applyProtection="1">
      <alignment horizontal="center" vertical="top" wrapText="1"/>
      <protection locked="0"/>
    </xf>
    <xf numFmtId="0" fontId="51" fillId="24" borderId="76" xfId="42" applyFont="1" applyFill="1" applyBorder="1" applyAlignment="1" applyProtection="1">
      <alignment horizontal="center" vertical="top"/>
      <protection locked="0"/>
    </xf>
    <xf numFmtId="0" fontId="36" fillId="24" borderId="88" xfId="42" applyFont="1" applyFill="1" applyBorder="1" applyAlignment="1" applyProtection="1">
      <alignment horizontal="center"/>
      <protection locked="0"/>
    </xf>
    <xf numFmtId="0" fontId="51" fillId="24" borderId="21" xfId="42" applyFont="1" applyFill="1" applyBorder="1" applyAlignment="1" applyProtection="1">
      <alignment horizontal="center"/>
      <protection locked="0"/>
    </xf>
    <xf numFmtId="49" fontId="51" fillId="24" borderId="84" xfId="42" applyNumberFormat="1" applyFont="1" applyFill="1" applyBorder="1" applyAlignment="1" applyProtection="1">
      <alignment horizontal="center"/>
      <protection locked="0"/>
    </xf>
    <xf numFmtId="0" fontId="36" fillId="24" borderId="84" xfId="42" applyFont="1" applyFill="1" applyBorder="1" applyAlignment="1" applyProtection="1">
      <alignment horizontal="center"/>
      <protection locked="0"/>
    </xf>
    <xf numFmtId="49" fontId="51" fillId="24" borderId="88" xfId="42" applyNumberFormat="1" applyFont="1" applyFill="1" applyBorder="1" applyAlignment="1" applyProtection="1">
      <alignment horizontal="center"/>
      <protection locked="0"/>
    </xf>
    <xf numFmtId="0" fontId="51" fillId="24" borderId="88" xfId="42" applyFont="1" applyFill="1" applyBorder="1" applyAlignment="1" applyProtection="1">
      <alignment horizontal="center"/>
      <protection locked="0"/>
    </xf>
    <xf numFmtId="0" fontId="36" fillId="24" borderId="89" xfId="42" applyFont="1" applyFill="1" applyBorder="1" applyAlignment="1" applyProtection="1">
      <alignment horizontal="center"/>
      <protection locked="0"/>
    </xf>
    <xf numFmtId="0" fontId="51" fillId="24" borderId="25" xfId="42" applyFont="1" applyFill="1" applyBorder="1" applyAlignment="1" applyProtection="1">
      <alignment horizontal="center"/>
      <protection locked="0"/>
    </xf>
    <xf numFmtId="49" fontId="51" fillId="24" borderId="89" xfId="42" applyNumberFormat="1" applyFont="1" applyFill="1" applyBorder="1" applyAlignment="1" applyProtection="1">
      <alignment horizontal="center"/>
      <protection locked="0"/>
    </xf>
    <xf numFmtId="0" fontId="36" fillId="24" borderId="0" xfId="42" applyFont="1" applyFill="1" applyAlignment="1" applyProtection="1">
      <alignment horizontal="center"/>
      <protection locked="0"/>
    </xf>
    <xf numFmtId="0" fontId="51" fillId="24" borderId="49" xfId="42" applyFont="1" applyFill="1" applyBorder="1" applyAlignment="1" applyProtection="1">
      <alignment horizontal="center"/>
      <protection locked="0"/>
    </xf>
    <xf numFmtId="0" fontId="36" fillId="24" borderId="76" xfId="42" applyFont="1" applyFill="1" applyBorder="1" applyAlignment="1" applyProtection="1">
      <alignment horizontal="center"/>
      <protection locked="0"/>
    </xf>
    <xf numFmtId="0" fontId="51" fillId="24" borderId="0" xfId="42" applyFont="1" applyFill="1" applyAlignment="1" applyProtection="1">
      <alignment horizontal="right"/>
      <protection locked="0"/>
    </xf>
    <xf numFmtId="0" fontId="51" fillId="24" borderId="76" xfId="42" applyFont="1" applyFill="1" applyBorder="1" applyAlignment="1" applyProtection="1">
      <alignment horizontal="center"/>
      <protection locked="0"/>
    </xf>
    <xf numFmtId="0" fontId="51" fillId="24" borderId="0" xfId="42" applyFont="1" applyFill="1" applyAlignment="1" applyProtection="1">
      <alignment horizontal="center"/>
      <protection locked="0"/>
    </xf>
    <xf numFmtId="2" fontId="36" fillId="24" borderId="0" xfId="42" applyNumberFormat="1" applyFont="1" applyFill="1" applyAlignment="1" applyProtection="1">
      <alignment horizontal="center"/>
      <protection locked="0"/>
    </xf>
    <xf numFmtId="0" fontId="36" fillId="24" borderId="0" xfId="42" applyFont="1" applyFill="1" applyAlignment="1" applyProtection="1">
      <alignment horizontal="left"/>
      <protection locked="0"/>
    </xf>
    <xf numFmtId="0" fontId="70" fillId="24" borderId="0" xfId="42" applyFont="1" applyFill="1" applyProtection="1">
      <protection locked="0"/>
    </xf>
    <xf numFmtId="0" fontId="36" fillId="24" borderId="47" xfId="42" applyFont="1" applyFill="1" applyBorder="1" applyAlignment="1" applyProtection="1">
      <alignment horizontal="center"/>
      <protection locked="0"/>
    </xf>
    <xf numFmtId="0" fontId="51" fillId="24" borderId="43" xfId="42" applyFont="1" applyFill="1" applyBorder="1" applyAlignment="1" applyProtection="1">
      <alignment horizontal="left"/>
      <protection locked="0"/>
    </xf>
    <xf numFmtId="0" fontId="51" fillId="24" borderId="48" xfId="42" applyFont="1" applyFill="1" applyBorder="1" applyAlignment="1" applyProtection="1">
      <alignment horizontal="left"/>
      <protection locked="0"/>
    </xf>
    <xf numFmtId="0" fontId="36" fillId="24" borderId="18" xfId="42" applyFont="1" applyFill="1" applyBorder="1" applyAlignment="1" applyProtection="1">
      <alignment horizontal="center"/>
      <protection locked="0"/>
    </xf>
    <xf numFmtId="0" fontId="51" fillId="24" borderId="10" xfId="42" applyFont="1" applyFill="1" applyBorder="1" applyAlignment="1" applyProtection="1">
      <alignment horizontal="left"/>
      <protection locked="0"/>
    </xf>
    <xf numFmtId="0" fontId="51" fillId="24" borderId="19" xfId="42" applyFont="1" applyFill="1" applyBorder="1" applyAlignment="1" applyProtection="1">
      <alignment horizontal="left"/>
      <protection locked="0"/>
    </xf>
    <xf numFmtId="0" fontId="36" fillId="24" borderId="45" xfId="42" applyFont="1" applyFill="1" applyBorder="1" applyAlignment="1" applyProtection="1">
      <alignment horizontal="center"/>
      <protection locked="0"/>
    </xf>
    <xf numFmtId="0" fontId="36" fillId="24" borderId="60" xfId="42" applyFont="1" applyFill="1" applyBorder="1" applyProtection="1">
      <protection locked="0"/>
    </xf>
    <xf numFmtId="0" fontId="36" fillId="24" borderId="0" xfId="42" applyFont="1" applyFill="1" applyBorder="1" applyAlignment="1" applyProtection="1">
      <alignment vertical="top" wrapText="1"/>
      <protection locked="0"/>
    </xf>
    <xf numFmtId="0" fontId="36" fillId="24" borderId="0" xfId="42" applyFont="1" applyFill="1" applyBorder="1" applyProtection="1">
      <protection locked="0"/>
    </xf>
    <xf numFmtId="0" fontId="51" fillId="24" borderId="10" xfId="42" applyFont="1" applyFill="1" applyBorder="1" applyAlignment="1" applyProtection="1">
      <alignment horizontal="center"/>
      <protection locked="0"/>
    </xf>
    <xf numFmtId="0" fontId="36" fillId="24" borderId="10" xfId="42" applyFont="1" applyFill="1" applyBorder="1" applyAlignment="1" applyProtection="1">
      <alignment horizontal="center"/>
      <protection locked="0"/>
    </xf>
    <xf numFmtId="0" fontId="36" fillId="24" borderId="10" xfId="42" applyFont="1" applyFill="1" applyBorder="1" applyProtection="1">
      <protection locked="0"/>
    </xf>
    <xf numFmtId="0" fontId="36" fillId="24" borderId="32" xfId="42" applyFont="1" applyFill="1" applyBorder="1" applyProtection="1">
      <protection locked="0"/>
    </xf>
    <xf numFmtId="0" fontId="59" fillId="23" borderId="0" xfId="40" applyFont="1" applyFill="1" applyAlignment="1" applyProtection="1">
      <alignment horizontal="right" vertical="top" wrapText="1"/>
      <protection hidden="1"/>
    </xf>
    <xf numFmtId="0" fontId="36" fillId="26" borderId="52" xfId="40" applyFont="1" applyFill="1" applyBorder="1" applyAlignment="1" applyProtection="1">
      <alignment horizontal="left" vertical="center" wrapText="1"/>
      <protection hidden="1"/>
    </xf>
    <xf numFmtId="0" fontId="25" fillId="0" borderId="72" xfId="40" applyFont="1" applyFill="1" applyBorder="1" applyAlignment="1" applyProtection="1">
      <alignment horizontal="left" vertical="top" wrapText="1"/>
      <protection hidden="1"/>
    </xf>
    <xf numFmtId="0" fontId="24" fillId="0" borderId="71" xfId="40" applyFont="1" applyFill="1" applyBorder="1" applyAlignment="1" applyProtection="1">
      <alignment horizontal="left" vertical="top" wrapText="1"/>
      <protection hidden="1"/>
    </xf>
    <xf numFmtId="0" fontId="24" fillId="0" borderId="71" xfId="40" applyFont="1" applyFill="1" applyBorder="1" applyAlignment="1" applyProtection="1">
      <alignment horizontal="center" vertical="center" wrapText="1"/>
      <protection hidden="1"/>
    </xf>
    <xf numFmtId="0" fontId="36" fillId="23" borderId="0" xfId="42" applyFont="1" applyFill="1" applyAlignment="1" applyProtection="1">
      <alignment vertical="top"/>
      <protection hidden="1"/>
    </xf>
    <xf numFmtId="0" fontId="49" fillId="23" borderId="0" xfId="42" applyFont="1" applyFill="1" applyBorder="1" applyAlignment="1" applyProtection="1">
      <alignment horizontal="left" vertical="center"/>
      <protection hidden="1"/>
    </xf>
    <xf numFmtId="0" fontId="7" fillId="23" borderId="0" xfId="42" applyFont="1" applyFill="1" applyBorder="1" applyAlignment="1" applyProtection="1">
      <alignment vertical="top"/>
      <protection hidden="1"/>
    </xf>
    <xf numFmtId="0" fontId="36" fillId="23" borderId="0" xfId="42" applyFont="1" applyFill="1" applyBorder="1" applyAlignment="1" applyProtection="1">
      <alignment vertical="top"/>
      <protection hidden="1"/>
    </xf>
    <xf numFmtId="0" fontId="34" fillId="23" borderId="0" xfId="42" applyFont="1" applyFill="1" applyBorder="1" applyAlignment="1" applyProtection="1">
      <alignment horizontal="center" vertical="center" wrapText="1"/>
      <protection hidden="1"/>
    </xf>
    <xf numFmtId="0" fontId="36" fillId="23" borderId="0" xfId="42" applyFont="1" applyFill="1" applyBorder="1" applyAlignment="1" applyProtection="1">
      <alignment vertical="center"/>
      <protection hidden="1"/>
    </xf>
    <xf numFmtId="0" fontId="65" fillId="23" borderId="0" xfId="42" applyFont="1" applyFill="1" applyBorder="1" applyAlignment="1" applyProtection="1">
      <alignment horizontal="center" vertical="center"/>
      <protection hidden="1"/>
    </xf>
    <xf numFmtId="3" fontId="36" fillId="23" borderId="0" xfId="42" applyNumberFormat="1" applyFont="1" applyFill="1" applyBorder="1" applyAlignment="1" applyProtection="1">
      <alignment horizontal="center" vertical="center"/>
      <protection hidden="1"/>
    </xf>
    <xf numFmtId="0" fontId="7" fillId="23" borderId="0" xfId="42" applyFont="1" applyFill="1" applyBorder="1" applyAlignment="1" applyProtection="1">
      <alignment vertical="center"/>
      <protection hidden="1"/>
    </xf>
    <xf numFmtId="0" fontId="7" fillId="23" borderId="0" xfId="42" applyFont="1" applyFill="1" applyBorder="1" applyAlignment="1" applyProtection="1">
      <alignment vertical="center" wrapText="1"/>
      <protection hidden="1"/>
    </xf>
    <xf numFmtId="0" fontId="36" fillId="23" borderId="0" xfId="42" applyFont="1" applyFill="1" applyAlignment="1" applyProtection="1">
      <alignment vertical="center"/>
      <protection hidden="1"/>
    </xf>
    <xf numFmtId="0" fontId="51" fillId="23" borderId="0" xfId="42" applyFont="1" applyFill="1" applyBorder="1" applyAlignment="1" applyProtection="1">
      <alignment horizontal="left" vertical="top"/>
      <protection hidden="1"/>
    </xf>
    <xf numFmtId="1" fontId="36" fillId="23" borderId="0" xfId="42" applyNumberFormat="1" applyFont="1" applyFill="1" applyBorder="1" applyAlignment="1" applyProtection="1">
      <alignment horizontal="center" vertical="top"/>
      <protection hidden="1"/>
    </xf>
    <xf numFmtId="0" fontId="7" fillId="23" borderId="0" xfId="42" applyFont="1" applyFill="1" applyAlignment="1" applyProtection="1">
      <alignment vertical="top"/>
      <protection hidden="1"/>
    </xf>
    <xf numFmtId="0" fontId="87" fillId="23" borderId="0" xfId="42" applyFont="1" applyFill="1" applyBorder="1" applyAlignment="1" applyProtection="1">
      <alignment vertical="top"/>
      <protection hidden="1"/>
    </xf>
    <xf numFmtId="0" fontId="16" fillId="23" borderId="0" xfId="42" applyFont="1" applyFill="1" applyBorder="1" applyAlignment="1" applyProtection="1">
      <alignment vertical="top"/>
      <protection hidden="1"/>
    </xf>
    <xf numFmtId="0" fontId="36" fillId="23" borderId="0" xfId="42" applyFont="1" applyFill="1" applyBorder="1" applyAlignment="1" applyProtection="1">
      <alignment horizontal="center" vertical="top"/>
      <protection hidden="1"/>
    </xf>
    <xf numFmtId="1" fontId="7" fillId="23" borderId="0" xfId="42" applyNumberFormat="1" applyFont="1" applyFill="1" applyBorder="1" applyAlignment="1" applyProtection="1">
      <alignment vertical="top"/>
      <protection hidden="1"/>
    </xf>
    <xf numFmtId="0" fontId="16" fillId="23" borderId="0" xfId="42" applyFont="1" applyFill="1" applyBorder="1" applyAlignment="1" applyProtection="1">
      <alignment horizontal="center" vertical="top"/>
      <protection hidden="1"/>
    </xf>
    <xf numFmtId="9" fontId="7" fillId="23" borderId="0" xfId="48" applyFont="1" applyFill="1" applyBorder="1" applyAlignment="1" applyProtection="1">
      <alignment vertical="top"/>
      <protection hidden="1"/>
    </xf>
    <xf numFmtId="0" fontId="7" fillId="23" borderId="60" xfId="42" applyFont="1" applyFill="1" applyBorder="1" applyAlignment="1" applyProtection="1">
      <alignment vertical="top"/>
      <protection hidden="1"/>
    </xf>
    <xf numFmtId="0" fontId="7" fillId="23" borderId="60" xfId="42" applyFont="1" applyFill="1" applyBorder="1" applyAlignment="1" applyProtection="1">
      <alignment horizontal="center" vertical="top"/>
      <protection hidden="1"/>
    </xf>
    <xf numFmtId="0" fontId="16" fillId="23" borderId="54" xfId="42" applyFont="1" applyFill="1" applyBorder="1" applyAlignment="1" applyProtection="1">
      <alignment horizontal="center" vertical="top" wrapText="1"/>
      <protection hidden="1"/>
    </xf>
    <xf numFmtId="0" fontId="16" fillId="23" borderId="13" xfId="42" applyFont="1" applyFill="1" applyBorder="1" applyAlignment="1" applyProtection="1">
      <alignment horizontal="center" vertical="top" wrapText="1"/>
      <protection hidden="1"/>
    </xf>
    <xf numFmtId="0" fontId="16" fillId="23" borderId="44" xfId="42" applyFont="1" applyFill="1" applyBorder="1" applyAlignment="1" applyProtection="1">
      <alignment horizontal="center" vertical="top" wrapText="1"/>
      <protection hidden="1"/>
    </xf>
    <xf numFmtId="0" fontId="16" fillId="23" borderId="14" xfId="42" applyFont="1" applyFill="1" applyBorder="1" applyAlignment="1" applyProtection="1">
      <alignment horizontal="center" vertical="top" wrapText="1"/>
      <protection hidden="1"/>
    </xf>
    <xf numFmtId="0" fontId="7" fillId="23" borderId="18" xfId="42" applyFont="1" applyFill="1" applyBorder="1" applyAlignment="1" applyProtection="1">
      <alignment horizontal="center" vertical="top" wrapText="1"/>
      <protection hidden="1"/>
    </xf>
    <xf numFmtId="0" fontId="7" fillId="23" borderId="10" xfId="42" applyFont="1" applyFill="1" applyBorder="1" applyAlignment="1" applyProtection="1">
      <alignment horizontal="center" vertical="top" wrapText="1"/>
      <protection hidden="1"/>
    </xf>
    <xf numFmtId="0" fontId="7" fillId="23" borderId="19" xfId="42" applyFont="1" applyFill="1" applyBorder="1" applyAlignment="1" applyProtection="1">
      <alignment horizontal="center" vertical="top" wrapText="1"/>
      <protection hidden="1"/>
    </xf>
    <xf numFmtId="0" fontId="16" fillId="23" borderId="18" xfId="42" applyFont="1" applyFill="1" applyBorder="1" applyAlignment="1" applyProtection="1">
      <alignment horizontal="center" vertical="top" wrapText="1"/>
      <protection hidden="1"/>
    </xf>
    <xf numFmtId="9" fontId="16" fillId="23" borderId="56" xfId="42" applyNumberFormat="1" applyFont="1" applyFill="1" applyBorder="1" applyAlignment="1" applyProtection="1">
      <alignment horizontal="center" vertical="top" wrapText="1"/>
      <protection hidden="1"/>
    </xf>
    <xf numFmtId="0" fontId="7" fillId="23" borderId="10" xfId="42" applyFont="1" applyFill="1" applyBorder="1" applyAlignment="1" applyProtection="1">
      <alignment horizontal="center"/>
      <protection hidden="1"/>
    </xf>
    <xf numFmtId="0" fontId="7" fillId="23" borderId="19" xfId="42" applyFont="1" applyFill="1" applyBorder="1" applyAlignment="1" applyProtection="1">
      <alignment horizontal="center"/>
      <protection hidden="1"/>
    </xf>
    <xf numFmtId="0" fontId="16" fillId="23" borderId="0" xfId="42" applyFont="1" applyFill="1" applyBorder="1" applyAlignment="1" applyProtection="1">
      <alignment vertical="top" wrapText="1"/>
      <protection hidden="1"/>
    </xf>
    <xf numFmtId="9" fontId="16" fillId="23" borderId="57" xfId="42" applyNumberFormat="1" applyFont="1" applyFill="1" applyBorder="1" applyAlignment="1" applyProtection="1">
      <alignment horizontal="center" vertical="top" wrapText="1"/>
      <protection hidden="1"/>
    </xf>
    <xf numFmtId="0" fontId="7" fillId="23" borderId="45" xfId="42" applyFont="1" applyFill="1" applyBorder="1" applyAlignment="1" applyProtection="1">
      <alignment horizontal="center" vertical="top" wrapText="1"/>
      <protection hidden="1"/>
    </xf>
    <xf numFmtId="0" fontId="7" fillId="23" borderId="46" xfId="42" applyFont="1" applyFill="1" applyBorder="1" applyAlignment="1" applyProtection="1">
      <alignment horizontal="center" vertical="top" wrapText="1"/>
      <protection hidden="1"/>
    </xf>
    <xf numFmtId="0" fontId="7" fillId="23" borderId="22" xfId="42" applyFont="1" applyFill="1" applyBorder="1" applyAlignment="1" applyProtection="1">
      <alignment horizontal="center" vertical="top" wrapText="1"/>
      <protection hidden="1"/>
    </xf>
    <xf numFmtId="0" fontId="16" fillId="23" borderId="45" xfId="42" applyFont="1" applyFill="1" applyBorder="1" applyAlignment="1" applyProtection="1">
      <alignment horizontal="center" vertical="top" wrapText="1"/>
      <protection hidden="1"/>
    </xf>
    <xf numFmtId="0" fontId="16" fillId="23" borderId="52" xfId="42" applyFont="1" applyFill="1" applyBorder="1" applyAlignment="1" applyProtection="1">
      <alignment horizontal="center" vertical="top" wrapText="1"/>
      <protection hidden="1"/>
    </xf>
    <xf numFmtId="0" fontId="7" fillId="23" borderId="0" xfId="42" applyFont="1" applyFill="1" applyAlignment="1" applyProtection="1">
      <alignment horizontal="center" vertical="top"/>
      <protection hidden="1"/>
    </xf>
    <xf numFmtId="0" fontId="7" fillId="23" borderId="10" xfId="42" applyFont="1" applyFill="1" applyBorder="1" applyAlignment="1" applyProtection="1">
      <alignment horizontal="center" vertical="center"/>
      <protection hidden="1"/>
    </xf>
    <xf numFmtId="0" fontId="7" fillId="23" borderId="10" xfId="0" applyFont="1" applyFill="1" applyBorder="1" applyAlignment="1" applyProtection="1">
      <alignment horizontal="center" vertical="top" wrapText="1"/>
      <protection hidden="1"/>
    </xf>
    <xf numFmtId="0" fontId="16" fillId="23" borderId="10" xfId="0" applyFont="1" applyFill="1" applyBorder="1" applyAlignment="1" applyProtection="1">
      <alignment horizontal="center" vertical="top"/>
      <protection hidden="1"/>
    </xf>
    <xf numFmtId="0" fontId="7" fillId="23" borderId="0" xfId="0" applyFont="1" applyFill="1" applyBorder="1" applyAlignment="1" applyProtection="1">
      <alignment horizontal="center" vertical="top" wrapText="1"/>
      <protection hidden="1"/>
    </xf>
    <xf numFmtId="0" fontId="16" fillId="23" borderId="0" xfId="0" applyFont="1" applyFill="1" applyBorder="1" applyAlignment="1" applyProtection="1">
      <alignment horizontal="center" vertical="top"/>
      <protection hidden="1"/>
    </xf>
    <xf numFmtId="0" fontId="9" fillId="23" borderId="0" xfId="41" applyFont="1" applyFill="1" applyBorder="1" applyAlignment="1" applyProtection="1">
      <alignment horizontal="right" vertical="top" wrapText="1"/>
      <protection hidden="1"/>
    </xf>
    <xf numFmtId="2" fontId="9" fillId="23" borderId="0" xfId="41" applyNumberFormat="1" applyFont="1" applyFill="1" applyBorder="1" applyAlignment="1" applyProtection="1">
      <alignment horizontal="right" vertical="top" wrapText="1"/>
      <protection hidden="1"/>
    </xf>
    <xf numFmtId="0" fontId="51" fillId="23" borderId="0" xfId="41" applyFont="1" applyFill="1" applyBorder="1" applyAlignment="1" applyProtection="1">
      <alignment vertical="center" wrapText="1"/>
      <protection hidden="1"/>
    </xf>
    <xf numFmtId="2" fontId="31" fillId="23" borderId="0" xfId="41" applyNumberFormat="1" applyFont="1" applyFill="1" applyBorder="1" applyAlignment="1" applyProtection="1">
      <alignment vertical="center" wrapText="1"/>
      <protection hidden="1"/>
    </xf>
    <xf numFmtId="2" fontId="7" fillId="23" borderId="0" xfId="41" applyNumberFormat="1" applyFont="1" applyFill="1" applyBorder="1" applyAlignment="1" applyProtection="1">
      <alignment vertical="center" wrapText="1"/>
      <protection hidden="1"/>
    </xf>
    <xf numFmtId="0" fontId="51" fillId="26" borderId="52" xfId="41" applyFont="1" applyFill="1" applyBorder="1" applyAlignment="1" applyProtection="1">
      <alignment horizontal="center" vertical="center"/>
      <protection hidden="1"/>
    </xf>
    <xf numFmtId="0" fontId="51" fillId="26" borderId="14" xfId="41" applyFont="1" applyFill="1" applyBorder="1" applyAlignment="1" applyProtection="1">
      <alignment horizontal="center" vertical="center"/>
      <protection hidden="1"/>
    </xf>
    <xf numFmtId="0" fontId="134" fillId="23" borderId="0" xfId="42" applyFont="1" applyFill="1" applyBorder="1" applyAlignment="1" applyProtection="1">
      <alignment vertical="top"/>
      <protection hidden="1"/>
    </xf>
    <xf numFmtId="0" fontId="134" fillId="23" borderId="0" xfId="42" applyFont="1" applyFill="1" applyBorder="1" applyAlignment="1" applyProtection="1">
      <alignment horizontal="center" vertical="top"/>
      <protection hidden="1"/>
    </xf>
    <xf numFmtId="0" fontId="134" fillId="23" borderId="0" xfId="42" applyFont="1" applyFill="1" applyAlignment="1" applyProtection="1">
      <alignment vertical="top"/>
      <protection hidden="1"/>
    </xf>
    <xf numFmtId="0" fontId="134" fillId="23" borderId="0" xfId="42" applyFont="1" applyFill="1" applyBorder="1" applyAlignment="1" applyProtection="1">
      <alignment vertical="top" wrapText="1"/>
      <protection hidden="1"/>
    </xf>
    <xf numFmtId="0" fontId="138" fillId="23" borderId="0" xfId="42" applyFont="1" applyFill="1" applyBorder="1" applyAlignment="1" applyProtection="1">
      <alignment vertical="top"/>
      <protection hidden="1"/>
    </xf>
    <xf numFmtId="3" fontId="103" fillId="23" borderId="0" xfId="41" applyNumberFormat="1" applyFont="1" applyFill="1" applyBorder="1" applyAlignment="1" applyProtection="1">
      <alignment horizontal="center" vertical="center"/>
      <protection hidden="1"/>
    </xf>
    <xf numFmtId="0" fontId="53" fillId="23" borderId="0" xfId="42" applyFont="1" applyFill="1" applyBorder="1" applyAlignment="1" applyProtection="1">
      <alignment vertical="top"/>
      <protection hidden="1"/>
    </xf>
    <xf numFmtId="0" fontId="53" fillId="23" borderId="0" xfId="42" applyFont="1" applyFill="1" applyBorder="1" applyAlignment="1" applyProtection="1">
      <alignment horizontal="left" vertical="center" wrapText="1"/>
      <protection hidden="1"/>
    </xf>
    <xf numFmtId="0" fontId="53" fillId="23" borderId="0" xfId="42" applyFont="1" applyFill="1" applyBorder="1" applyAlignment="1" applyProtection="1">
      <alignment vertical="center"/>
      <protection hidden="1"/>
    </xf>
    <xf numFmtId="0" fontId="53" fillId="23" borderId="0" xfId="42" applyFont="1" applyFill="1" applyBorder="1" applyAlignment="1" applyProtection="1">
      <alignment horizontal="left" vertical="top" wrapText="1"/>
      <protection hidden="1"/>
    </xf>
    <xf numFmtId="0" fontId="53" fillId="23" borderId="0" xfId="42" applyFont="1" applyFill="1" applyAlignment="1" applyProtection="1">
      <alignment vertical="top"/>
      <protection hidden="1"/>
    </xf>
    <xf numFmtId="0" fontId="53" fillId="23" borderId="0" xfId="42" applyFont="1" applyFill="1" applyBorder="1" applyAlignment="1" applyProtection="1">
      <alignment horizontal="center" vertical="top" wrapText="1"/>
      <protection hidden="1"/>
    </xf>
    <xf numFmtId="0" fontId="54" fillId="23" borderId="0" xfId="42" applyFont="1" applyFill="1" applyBorder="1" applyAlignment="1" applyProtection="1">
      <alignment vertical="top"/>
      <protection hidden="1"/>
    </xf>
    <xf numFmtId="0" fontId="51" fillId="23" borderId="0" xfId="42" applyFont="1" applyFill="1" applyBorder="1" applyAlignment="1" applyProtection="1">
      <alignment vertical="top"/>
      <protection hidden="1"/>
    </xf>
    <xf numFmtId="0" fontId="36" fillId="23" borderId="0" xfId="48" applyNumberFormat="1" applyFont="1" applyFill="1" applyBorder="1" applyAlignment="1" applyProtection="1">
      <alignment horizontal="center" vertical="top" wrapText="1"/>
      <protection hidden="1"/>
    </xf>
    <xf numFmtId="2" fontId="16" fillId="24" borderId="14" xfId="41" applyNumberFormat="1" applyFont="1" applyFill="1" applyBorder="1" applyAlignment="1" applyProtection="1">
      <alignment horizontal="center" vertical="center" wrapText="1"/>
      <protection hidden="1"/>
    </xf>
    <xf numFmtId="0" fontId="118" fillId="23" borderId="0" xfId="40" applyFont="1" applyFill="1" applyBorder="1" applyAlignment="1" applyProtection="1">
      <alignment horizontal="left" vertical="top" wrapText="1"/>
    </xf>
    <xf numFmtId="0" fontId="104" fillId="23" borderId="0" xfId="40" applyFont="1" applyFill="1" applyBorder="1" applyAlignment="1" applyProtection="1">
      <alignment horizontal="left" vertical="top" wrapText="1"/>
    </xf>
    <xf numFmtId="0" fontId="119" fillId="23" borderId="0" xfId="40" applyFont="1" applyFill="1" applyBorder="1" applyAlignment="1" applyProtection="1">
      <alignment horizontal="left" vertical="top" wrapText="1"/>
    </xf>
    <xf numFmtId="0" fontId="18" fillId="23" borderId="0" xfId="40" applyFont="1" applyFill="1" applyAlignment="1" applyProtection="1">
      <alignment horizontal="left" vertical="top" wrapText="1"/>
      <protection hidden="1"/>
    </xf>
    <xf numFmtId="0" fontId="118" fillId="23" borderId="0" xfId="40" applyFont="1" applyFill="1" applyAlignment="1" applyProtection="1">
      <alignment horizontal="left" vertical="top" wrapText="1"/>
    </xf>
    <xf numFmtId="0" fontId="104" fillId="23" borderId="0" xfId="40" applyFont="1" applyFill="1" applyAlignment="1" applyProtection="1">
      <alignment horizontal="left" vertical="top" wrapText="1"/>
    </xf>
    <xf numFmtId="0" fontId="119" fillId="23" borderId="0" xfId="40" applyFont="1" applyFill="1" applyAlignment="1" applyProtection="1">
      <alignment horizontal="left" vertical="top" wrapText="1"/>
    </xf>
    <xf numFmtId="0" fontId="18" fillId="23" borderId="0" xfId="40" applyFont="1" applyFill="1" applyAlignment="1" applyProtection="1">
      <alignment horizontal="left" vertical="top" wrapText="1"/>
    </xf>
    <xf numFmtId="0" fontId="51" fillId="26" borderId="84" xfId="40" applyFont="1" applyFill="1" applyBorder="1" applyAlignment="1" applyProtection="1">
      <alignment horizontal="left" vertical="center" wrapText="1"/>
      <protection hidden="1"/>
    </xf>
    <xf numFmtId="0" fontId="51" fillId="26" borderId="85" xfId="40" applyFont="1" applyFill="1" applyBorder="1" applyAlignment="1" applyProtection="1">
      <alignment horizontal="left" vertical="center" wrapText="1"/>
      <protection hidden="1"/>
    </xf>
    <xf numFmtId="0" fontId="51" fillId="26" borderId="85" xfId="40" applyFont="1" applyFill="1" applyBorder="1" applyAlignment="1" applyProtection="1">
      <alignment horizontal="center" vertical="center" wrapText="1"/>
      <protection hidden="1"/>
    </xf>
    <xf numFmtId="0" fontId="51" fillId="26" borderId="86" xfId="40" applyFont="1" applyFill="1" applyBorder="1" applyAlignment="1" applyProtection="1">
      <alignment horizontal="left" vertical="center" wrapText="1"/>
      <protection hidden="1"/>
    </xf>
    <xf numFmtId="0" fontId="24" fillId="17" borderId="44" xfId="0" applyFont="1" applyFill="1" applyBorder="1" applyAlignment="1" applyProtection="1">
      <alignment vertical="top" wrapText="1"/>
      <protection hidden="1"/>
    </xf>
    <xf numFmtId="0" fontId="24" fillId="17" borderId="10" xfId="0" applyFont="1" applyFill="1" applyBorder="1" applyAlignment="1" applyProtection="1">
      <alignment vertical="top" wrapText="1"/>
      <protection hidden="1"/>
    </xf>
    <xf numFmtId="0" fontId="24" fillId="17" borderId="71" xfId="0" applyFont="1" applyFill="1" applyBorder="1" applyAlignment="1" applyProtection="1">
      <alignment vertical="top" wrapText="1"/>
      <protection hidden="1"/>
    </xf>
    <xf numFmtId="3" fontId="24" fillId="17" borderId="39" xfId="0" applyNumberFormat="1" applyFont="1" applyFill="1" applyBorder="1" applyAlignment="1" applyProtection="1">
      <alignment horizontal="center" vertical="center"/>
      <protection hidden="1"/>
    </xf>
    <xf numFmtId="0" fontId="53" fillId="26" borderId="90" xfId="0" applyFont="1" applyFill="1" applyBorder="1" applyAlignment="1" applyProtection="1">
      <alignment horizontal="center" vertical="center"/>
      <protection hidden="1"/>
    </xf>
    <xf numFmtId="0" fontId="68" fillId="26" borderId="91" xfId="0" applyFont="1" applyFill="1" applyBorder="1" applyAlignment="1" applyProtection="1">
      <alignment vertical="center"/>
      <protection hidden="1"/>
    </xf>
    <xf numFmtId="0" fontId="53" fillId="26" borderId="92" xfId="0" applyFont="1" applyFill="1" applyBorder="1" applyAlignment="1" applyProtection="1">
      <alignment vertical="center"/>
      <protection hidden="1"/>
    </xf>
    <xf numFmtId="0" fontId="53" fillId="26" borderId="92" xfId="0" applyFont="1" applyFill="1" applyBorder="1" applyAlignment="1" applyProtection="1">
      <alignment horizontal="center" vertical="center"/>
      <protection hidden="1"/>
    </xf>
    <xf numFmtId="0" fontId="53" fillId="26" borderId="93" xfId="0" applyFont="1" applyFill="1" applyBorder="1" applyAlignment="1" applyProtection="1">
      <alignment horizontal="center" vertical="center"/>
      <protection hidden="1"/>
    </xf>
    <xf numFmtId="0" fontId="53" fillId="26" borderId="71" xfId="0" applyFont="1" applyFill="1" applyBorder="1" applyAlignment="1" applyProtection="1">
      <alignment horizontal="center" vertical="center"/>
      <protection hidden="1"/>
    </xf>
    <xf numFmtId="0" fontId="24" fillId="17" borderId="73" xfId="0" applyFont="1" applyFill="1" applyBorder="1" applyAlignment="1" applyProtection="1">
      <alignment horizontal="center" vertical="center"/>
      <protection hidden="1"/>
    </xf>
    <xf numFmtId="0" fontId="24" fillId="17" borderId="94" xfId="0" applyFont="1" applyFill="1" applyBorder="1" applyAlignment="1" applyProtection="1">
      <alignment vertical="center"/>
      <protection hidden="1"/>
    </xf>
    <xf numFmtId="0" fontId="24" fillId="17" borderId="95" xfId="0" applyFont="1" applyFill="1" applyBorder="1" applyAlignment="1" applyProtection="1">
      <alignment vertical="center"/>
      <protection hidden="1"/>
    </xf>
    <xf numFmtId="0" fontId="24" fillId="17" borderId="95" xfId="0" applyFont="1" applyFill="1" applyBorder="1" applyAlignment="1" applyProtection="1">
      <alignment horizontal="center" vertical="center"/>
      <protection hidden="1"/>
    </xf>
    <xf numFmtId="0" fontId="24" fillId="17" borderId="96" xfId="0" applyFont="1" applyFill="1" applyBorder="1" applyAlignment="1" applyProtection="1">
      <alignment horizontal="center" vertical="center"/>
      <protection hidden="1"/>
    </xf>
    <xf numFmtId="0" fontId="24" fillId="17" borderId="97" xfId="0" applyFont="1" applyFill="1" applyBorder="1" applyAlignment="1" applyProtection="1">
      <alignment horizontal="center" vertical="center"/>
      <protection hidden="1"/>
    </xf>
    <xf numFmtId="0" fontId="24" fillId="17" borderId="43" xfId="0" applyFont="1" applyFill="1" applyBorder="1" applyAlignment="1" applyProtection="1">
      <alignment horizontal="center" vertical="center"/>
      <protection hidden="1"/>
    </xf>
    <xf numFmtId="9" fontId="24" fillId="17" borderId="10" xfId="0" applyNumberFormat="1" applyFont="1" applyFill="1" applyBorder="1" applyAlignment="1" applyProtection="1">
      <alignment horizontal="center" vertical="center"/>
      <protection hidden="1"/>
    </xf>
    <xf numFmtId="0" fontId="24" fillId="17" borderId="71" xfId="0" applyFont="1" applyFill="1" applyBorder="1" applyAlignment="1" applyProtection="1">
      <alignment horizontal="center" vertical="center"/>
      <protection hidden="1"/>
    </xf>
    <xf numFmtId="0" fontId="24" fillId="17" borderId="61" xfId="0" applyFont="1" applyFill="1" applyBorder="1" applyAlignment="1" applyProtection="1">
      <alignment horizontal="left" vertical="center"/>
      <protection hidden="1"/>
    </xf>
    <xf numFmtId="0" fontId="25" fillId="17" borderId="64" xfId="0" applyFont="1" applyFill="1" applyBorder="1" applyAlignment="1" applyProtection="1">
      <alignment horizontal="center" vertical="center"/>
      <protection hidden="1"/>
    </xf>
    <xf numFmtId="1" fontId="104" fillId="17" borderId="10" xfId="48" applyNumberFormat="1" applyFont="1" applyFill="1" applyBorder="1" applyAlignment="1">
      <alignment horizontal="center" vertical="center" wrapText="1"/>
    </xf>
    <xf numFmtId="0" fontId="104" fillId="17" borderId="10" xfId="42" applyFont="1" applyFill="1" applyBorder="1" applyAlignment="1">
      <alignment horizontal="center" vertical="top" wrapText="1"/>
    </xf>
    <xf numFmtId="0" fontId="104" fillId="17" borderId="10" xfId="42" applyFont="1" applyFill="1" applyBorder="1" applyAlignment="1">
      <alignment horizontal="center"/>
    </xf>
    <xf numFmtId="0" fontId="36" fillId="23" borderId="0" xfId="0" applyFont="1" applyFill="1" applyBorder="1" applyAlignment="1">
      <alignment vertical="top"/>
    </xf>
    <xf numFmtId="0" fontId="36" fillId="23" borderId="0" xfId="0" applyFont="1" applyFill="1" applyBorder="1" applyAlignment="1">
      <alignment vertical="center"/>
    </xf>
    <xf numFmtId="0" fontId="36" fillId="23" borderId="0" xfId="0" applyFont="1" applyFill="1" applyBorder="1"/>
    <xf numFmtId="0" fontId="134" fillId="23" borderId="0" xfId="0" applyFont="1" applyFill="1" applyBorder="1" applyAlignment="1" applyProtection="1">
      <alignment horizontal="center" vertical="top"/>
      <protection hidden="1"/>
    </xf>
    <xf numFmtId="0" fontId="109" fillId="23" borderId="0" xfId="0" applyFont="1" applyFill="1" applyBorder="1" applyAlignment="1" applyProtection="1">
      <alignment horizontal="center" vertical="center" wrapText="1"/>
      <protection hidden="1"/>
    </xf>
    <xf numFmtId="0" fontId="134" fillId="23" borderId="0" xfId="0" applyFont="1" applyFill="1" applyBorder="1" applyAlignment="1" applyProtection="1">
      <alignment horizontal="center" vertical="center"/>
      <protection hidden="1"/>
    </xf>
    <xf numFmtId="0" fontId="134" fillId="23" borderId="0" xfId="0" applyFont="1" applyFill="1" applyBorder="1" applyAlignment="1" applyProtection="1">
      <alignment vertical="center"/>
      <protection hidden="1"/>
    </xf>
    <xf numFmtId="0" fontId="134" fillId="23" borderId="0" xfId="0" applyFont="1" applyFill="1" applyBorder="1" applyAlignment="1" applyProtection="1">
      <alignment horizontal="center"/>
      <protection hidden="1"/>
    </xf>
    <xf numFmtId="0" fontId="109" fillId="23" borderId="0" xfId="0" applyFont="1" applyFill="1" applyBorder="1" applyAlignment="1">
      <alignment horizontal="left"/>
    </xf>
    <xf numFmtId="0" fontId="134" fillId="23" borderId="0" xfId="0" applyFont="1" applyFill="1" applyBorder="1" applyAlignment="1">
      <alignment horizontal="center"/>
    </xf>
    <xf numFmtId="0" fontId="52" fillId="23" borderId="0" xfId="0" applyFont="1" applyFill="1" applyAlignment="1" applyProtection="1">
      <alignment horizontal="left" vertical="center"/>
    </xf>
    <xf numFmtId="0" fontId="60" fillId="23" borderId="0" xfId="0" applyFont="1" applyFill="1"/>
    <xf numFmtId="0" fontId="52" fillId="23" borderId="0" xfId="0" applyFont="1" applyFill="1" applyAlignment="1" applyProtection="1">
      <alignment horizontal="left" vertical="center"/>
      <protection hidden="1"/>
    </xf>
    <xf numFmtId="0" fontId="71" fillId="23" borderId="0" xfId="0" applyFont="1" applyFill="1" applyAlignment="1" applyProtection="1">
      <alignment horizontal="left" vertical="center"/>
      <protection hidden="1"/>
    </xf>
    <xf numFmtId="0" fontId="55" fillId="23" borderId="0" xfId="40" applyFont="1" applyFill="1" applyAlignment="1" applyProtection="1">
      <alignment horizontal="right" vertical="center"/>
      <protection hidden="1"/>
    </xf>
    <xf numFmtId="0" fontId="144" fillId="0" borderId="10" xfId="44" applyBorder="1" applyAlignment="1">
      <alignment horizontal="center"/>
    </xf>
    <xf numFmtId="0" fontId="144" fillId="0" borderId="61" xfId="44" applyBorder="1" applyAlignment="1">
      <alignment horizontal="center"/>
    </xf>
    <xf numFmtId="0" fontId="113" fillId="26" borderId="73" xfId="41" applyFont="1" applyFill="1" applyBorder="1" applyAlignment="1" applyProtection="1">
      <alignment vertical="top" wrapText="1"/>
      <protection hidden="1"/>
    </xf>
    <xf numFmtId="0" fontId="113" fillId="26" borderId="43" xfId="41" applyFont="1" applyFill="1" applyBorder="1" applyAlignment="1" applyProtection="1">
      <alignment vertical="top" wrapText="1"/>
      <protection hidden="1"/>
    </xf>
    <xf numFmtId="0" fontId="145" fillId="0" borderId="10" xfId="44" applyFont="1" applyBorder="1" applyAlignment="1" applyProtection="1">
      <alignment horizontal="center"/>
      <protection locked="0"/>
    </xf>
    <xf numFmtId="0" fontId="160" fillId="0" borderId="0" xfId="44" applyFont="1"/>
    <xf numFmtId="0" fontId="144" fillId="0" borderId="0" xfId="44"/>
    <xf numFmtId="0" fontId="149" fillId="30" borderId="0" xfId="44" applyFont="1" applyFill="1"/>
    <xf numFmtId="0" fontId="149" fillId="30" borderId="0" xfId="44" applyFont="1" applyFill="1" applyAlignment="1">
      <alignment horizontal="right"/>
    </xf>
    <xf numFmtId="0" fontId="149" fillId="30" borderId="0" xfId="44" applyFont="1" applyFill="1" applyAlignment="1">
      <alignment wrapText="1"/>
    </xf>
    <xf numFmtId="0" fontId="146" fillId="0" borderId="0" xfId="44" applyFont="1"/>
    <xf numFmtId="0" fontId="162" fillId="23" borderId="0" xfId="44" applyFont="1" applyFill="1"/>
    <xf numFmtId="0" fontId="144" fillId="24" borderId="0" xfId="44" applyFill="1"/>
    <xf numFmtId="0" fontId="144" fillId="26" borderId="0" xfId="44" applyFill="1"/>
    <xf numFmtId="0" fontId="144" fillId="30" borderId="0" xfId="44" applyFill="1"/>
    <xf numFmtId="0" fontId="149" fillId="30" borderId="0" xfId="44" applyFont="1" applyFill="1" applyAlignment="1">
      <alignment horizontal="right" wrapText="1"/>
    </xf>
    <xf numFmtId="0" fontId="144" fillId="0" borderId="0" xfId="44" applyAlignment="1">
      <alignment horizontal="right"/>
    </xf>
    <xf numFmtId="0" fontId="51" fillId="26" borderId="71" xfId="41" applyFont="1" applyFill="1" applyBorder="1" applyAlignment="1" applyProtection="1">
      <alignment horizontal="left" vertical="top" wrapText="1"/>
      <protection hidden="1"/>
    </xf>
    <xf numFmtId="0" fontId="24" fillId="17" borderId="0" xfId="40" applyFont="1" applyFill="1" applyBorder="1" applyAlignment="1" applyProtection="1">
      <alignment horizontal="left" vertical="top" wrapText="1"/>
      <protection hidden="1"/>
    </xf>
    <xf numFmtId="0" fontId="104" fillId="24" borderId="73" xfId="0" applyFont="1" applyFill="1" applyBorder="1" applyAlignment="1" applyProtection="1">
      <alignment vertical="top" wrapText="1"/>
      <protection hidden="1"/>
    </xf>
    <xf numFmtId="0" fontId="104" fillId="24" borderId="43" xfId="0" applyFont="1" applyFill="1" applyBorder="1" applyAlignment="1" applyProtection="1">
      <alignment vertical="top" wrapText="1"/>
      <protection hidden="1"/>
    </xf>
    <xf numFmtId="9" fontId="24" fillId="17" borderId="98" xfId="45" applyNumberFormat="1" applyFont="1" applyFill="1" applyBorder="1" applyAlignment="1" applyProtection="1">
      <alignment horizontal="left" vertical="center" wrapText="1"/>
      <protection hidden="1"/>
    </xf>
    <xf numFmtId="3" fontId="18" fillId="17" borderId="99" xfId="45" applyNumberFormat="1" applyFont="1" applyFill="1" applyBorder="1" applyAlignment="1" applyProtection="1">
      <alignment horizontal="left" vertical="center" wrapText="1"/>
      <protection hidden="1"/>
    </xf>
    <xf numFmtId="0" fontId="66" fillId="23" borderId="0" xfId="40" applyFont="1" applyFill="1" applyBorder="1" applyAlignment="1" applyProtection="1">
      <alignment horizontal="left" vertical="top"/>
      <protection hidden="1"/>
    </xf>
    <xf numFmtId="0" fontId="86" fillId="23" borderId="0" xfId="40" applyFont="1" applyFill="1" applyBorder="1" applyAlignment="1" applyProtection="1">
      <alignment horizontal="right" vertical="center" wrapText="1"/>
      <protection hidden="1"/>
    </xf>
    <xf numFmtId="0" fontId="86" fillId="23" borderId="0" xfId="40" applyFont="1" applyFill="1" applyBorder="1" applyAlignment="1" applyProtection="1">
      <alignment horizontal="right" vertical="center"/>
      <protection hidden="1"/>
    </xf>
    <xf numFmtId="9" fontId="51" fillId="23" borderId="0" xfId="40" applyNumberFormat="1" applyFont="1" applyFill="1" applyBorder="1" applyAlignment="1" applyProtection="1">
      <alignment horizontal="center" vertical="center" wrapText="1"/>
      <protection hidden="1"/>
    </xf>
    <xf numFmtId="0" fontId="86" fillId="23" borderId="0" xfId="40" applyFont="1" applyFill="1" applyBorder="1" applyAlignment="1" applyProtection="1">
      <alignment horizontal="center" wrapText="1"/>
      <protection hidden="1"/>
    </xf>
    <xf numFmtId="0" fontId="37" fillId="23" borderId="0" xfId="40" applyFont="1" applyFill="1" applyBorder="1" applyAlignment="1" applyProtection="1">
      <alignment horizontal="left" vertical="top" wrapText="1"/>
      <protection hidden="1"/>
    </xf>
    <xf numFmtId="0" fontId="36" fillId="23" borderId="0" xfId="40" applyFont="1" applyFill="1" applyBorder="1" applyAlignment="1" applyProtection="1">
      <alignment horizontal="left" vertical="center" wrapText="1"/>
      <protection hidden="1"/>
    </xf>
    <xf numFmtId="0" fontId="164" fillId="26" borderId="53" xfId="40" applyFont="1" applyFill="1" applyBorder="1" applyAlignment="1" applyProtection="1">
      <alignment horizontal="center" vertical="center" wrapText="1"/>
      <protection hidden="1"/>
    </xf>
    <xf numFmtId="0" fontId="164" fillId="26" borderId="53" xfId="40" applyFont="1" applyFill="1" applyBorder="1" applyAlignment="1" applyProtection="1">
      <alignment horizontal="center" vertical="center"/>
      <protection hidden="1"/>
    </xf>
    <xf numFmtId="166" fontId="50" fillId="26" borderId="53" xfId="45" applyNumberFormat="1" applyFont="1" applyFill="1" applyBorder="1" applyAlignment="1" applyProtection="1">
      <alignment horizontal="center" vertical="center"/>
      <protection hidden="1"/>
    </xf>
    <xf numFmtId="0" fontId="165" fillId="23" borderId="0" xfId="40" applyFont="1" applyFill="1" applyBorder="1" applyAlignment="1" applyProtection="1">
      <alignment horizontal="left" vertical="top"/>
      <protection hidden="1"/>
    </xf>
    <xf numFmtId="0" fontId="32" fillId="0" borderId="0" xfId="42" applyFont="1" applyFill="1"/>
    <xf numFmtId="0" fontId="7" fillId="17" borderId="10" xfId="0" applyFont="1" applyFill="1" applyBorder="1" applyAlignment="1" applyProtection="1">
      <alignment horizontal="left" vertical="top" wrapText="1"/>
      <protection hidden="1"/>
    </xf>
    <xf numFmtId="0" fontId="166" fillId="23" borderId="0" xfId="40" applyFont="1" applyFill="1" applyBorder="1" applyAlignment="1" applyProtection="1">
      <alignment horizontal="left" vertical="center" wrapText="1"/>
      <protection hidden="1"/>
    </xf>
    <xf numFmtId="0" fontId="168" fillId="23" borderId="0" xfId="40" applyFont="1" applyFill="1" applyBorder="1" applyAlignment="1" applyProtection="1">
      <alignment horizontal="left" vertical="center" wrapText="1"/>
      <protection hidden="1"/>
    </xf>
    <xf numFmtId="0" fontId="92" fillId="23" borderId="0" xfId="40" applyFont="1" applyFill="1" applyBorder="1" applyAlignment="1" applyProtection="1">
      <alignment horizontal="left" vertical="top" wrapText="1"/>
      <protection hidden="1"/>
    </xf>
    <xf numFmtId="0" fontId="86" fillId="23" borderId="0" xfId="40" applyFont="1" applyFill="1" applyBorder="1" applyAlignment="1" applyProtection="1">
      <alignment horizontal="left" vertical="top"/>
      <protection hidden="1"/>
    </xf>
    <xf numFmtId="0" fontId="112" fillId="23" borderId="0" xfId="40" applyFont="1" applyFill="1" applyBorder="1" applyAlignment="1" applyProtection="1">
      <alignment horizontal="left" vertical="top" wrapText="1"/>
      <protection hidden="1"/>
    </xf>
    <xf numFmtId="0" fontId="86" fillId="23" borderId="0" xfId="40" applyFont="1" applyFill="1" applyBorder="1" applyAlignment="1" applyProtection="1">
      <alignment horizontal="left" vertical="top" wrapText="1"/>
      <protection hidden="1"/>
    </xf>
    <xf numFmtId="0" fontId="16" fillId="17" borderId="47" xfId="0" applyFont="1" applyFill="1" applyBorder="1" applyAlignment="1" applyProtection="1">
      <alignment horizontal="left" vertical="top" wrapText="1"/>
      <protection hidden="1"/>
    </xf>
    <xf numFmtId="0" fontId="104" fillId="17" borderId="43" xfId="0" applyFont="1" applyFill="1" applyBorder="1" applyAlignment="1" applyProtection="1">
      <alignment horizontal="left" vertical="top" wrapText="1"/>
      <protection hidden="1"/>
    </xf>
    <xf numFmtId="0" fontId="104" fillId="17" borderId="43" xfId="0" applyFont="1" applyFill="1" applyBorder="1" applyAlignment="1" applyProtection="1">
      <alignment vertical="top" wrapText="1"/>
      <protection hidden="1"/>
    </xf>
    <xf numFmtId="0" fontId="104" fillId="17" borderId="43" xfId="0" applyFont="1" applyFill="1" applyBorder="1" applyAlignment="1" applyProtection="1">
      <alignment horizontal="center" vertical="center" wrapText="1"/>
      <protection hidden="1"/>
    </xf>
    <xf numFmtId="0" fontId="16" fillId="17" borderId="18" xfId="0" applyFont="1" applyFill="1" applyBorder="1" applyAlignment="1" applyProtection="1">
      <alignment horizontal="left" vertical="top" wrapText="1"/>
      <protection hidden="1"/>
    </xf>
    <xf numFmtId="0" fontId="104" fillId="17" borderId="10" xfId="0" applyFont="1" applyFill="1" applyBorder="1" applyAlignment="1" applyProtection="1">
      <alignment horizontal="left" vertical="top" wrapText="1"/>
      <protection hidden="1"/>
    </xf>
    <xf numFmtId="0" fontId="104" fillId="17" borderId="10" xfId="0" applyFont="1" applyFill="1" applyBorder="1" applyAlignment="1" applyProtection="1">
      <alignment horizontal="center" vertical="center" wrapText="1"/>
      <protection hidden="1"/>
    </xf>
    <xf numFmtId="0" fontId="16" fillId="17" borderId="10" xfId="0" applyFont="1" applyFill="1" applyBorder="1" applyAlignment="1" applyProtection="1">
      <alignment vertical="top" wrapText="1"/>
      <protection hidden="1"/>
    </xf>
    <xf numFmtId="0" fontId="16" fillId="0" borderId="18" xfId="0" applyFont="1" applyFill="1" applyBorder="1" applyAlignment="1" applyProtection="1">
      <alignment horizontal="left" vertical="top" wrapText="1"/>
      <protection hidden="1"/>
    </xf>
    <xf numFmtId="0" fontId="104" fillId="0" borderId="10" xfId="0" applyFont="1" applyFill="1" applyBorder="1" applyAlignment="1" applyProtection="1">
      <alignment horizontal="left" vertical="top" wrapText="1"/>
      <protection hidden="1"/>
    </xf>
    <xf numFmtId="0" fontId="16" fillId="0" borderId="10" xfId="0" applyFont="1" applyFill="1" applyBorder="1" applyAlignment="1" applyProtection="1">
      <alignment vertical="top" wrapText="1"/>
      <protection hidden="1"/>
    </xf>
    <xf numFmtId="0" fontId="104" fillId="0" borderId="10" xfId="0" applyFont="1" applyFill="1" applyBorder="1" applyAlignment="1" applyProtection="1">
      <alignment horizontal="center" vertical="center" wrapText="1"/>
      <protection hidden="1"/>
    </xf>
    <xf numFmtId="0" fontId="104" fillId="17" borderId="10" xfId="0" applyFont="1" applyFill="1" applyBorder="1" applyAlignment="1" applyProtection="1">
      <alignment vertical="top" wrapText="1"/>
      <protection hidden="1"/>
    </xf>
    <xf numFmtId="0" fontId="16" fillId="0" borderId="72" xfId="0" applyFont="1" applyFill="1" applyBorder="1" applyAlignment="1" applyProtection="1">
      <alignment horizontal="left" vertical="top" wrapText="1"/>
      <protection hidden="1"/>
    </xf>
    <xf numFmtId="0" fontId="104" fillId="0" borderId="71" xfId="0" applyFont="1" applyFill="1" applyBorder="1" applyAlignment="1" applyProtection="1">
      <alignment horizontal="left" vertical="top" wrapText="1"/>
      <protection hidden="1"/>
    </xf>
    <xf numFmtId="0" fontId="16" fillId="0" borderId="71" xfId="0" applyFont="1" applyFill="1" applyBorder="1" applyAlignment="1" applyProtection="1">
      <alignment vertical="top" wrapText="1"/>
      <protection hidden="1"/>
    </xf>
    <xf numFmtId="0" fontId="104" fillId="0" borderId="71" xfId="0" applyFont="1" applyFill="1" applyBorder="1" applyAlignment="1" applyProtection="1">
      <alignment horizontal="center" vertical="center" wrapText="1"/>
      <protection hidden="1"/>
    </xf>
    <xf numFmtId="0" fontId="66" fillId="23" borderId="0" xfId="45" applyFont="1" applyFill="1" applyBorder="1" applyAlignment="1" applyProtection="1">
      <alignment horizontal="left" vertical="top"/>
      <protection hidden="1"/>
    </xf>
    <xf numFmtId="0" fontId="66" fillId="23" borderId="0" xfId="45" applyFont="1" applyFill="1" applyBorder="1" applyAlignment="1" applyProtection="1">
      <alignment horizontal="right" vertical="top"/>
      <protection hidden="1"/>
    </xf>
    <xf numFmtId="0" fontId="36" fillId="23" borderId="0" xfId="45" applyFont="1" applyFill="1" applyBorder="1" applyAlignment="1" applyProtection="1">
      <alignment vertical="top"/>
      <protection hidden="1"/>
    </xf>
    <xf numFmtId="0" fontId="36" fillId="26" borderId="100" xfId="45" applyFont="1" applyFill="1" applyBorder="1" applyAlignment="1" applyProtection="1">
      <alignment vertical="center"/>
      <protection hidden="1"/>
    </xf>
    <xf numFmtId="0" fontId="36" fillId="23" borderId="0" xfId="45" applyFont="1" applyFill="1" applyBorder="1" applyAlignment="1" applyProtection="1">
      <alignment horizontal="left" vertical="center" wrapText="1"/>
      <protection hidden="1"/>
    </xf>
    <xf numFmtId="0" fontId="36" fillId="23" borderId="0" xfId="45" applyFont="1" applyFill="1" applyBorder="1" applyAlignment="1" applyProtection="1">
      <alignment vertical="center"/>
      <protection hidden="1"/>
    </xf>
    <xf numFmtId="0" fontId="36" fillId="26" borderId="101" xfId="45" applyFont="1" applyFill="1" applyBorder="1" applyAlignment="1" applyProtection="1">
      <alignment vertical="center"/>
      <protection hidden="1"/>
    </xf>
    <xf numFmtId="0" fontId="36" fillId="23" borderId="0" xfId="45" applyFont="1" applyFill="1" applyBorder="1" applyAlignment="1" applyProtection="1">
      <alignment vertical="center" wrapText="1"/>
      <protection hidden="1"/>
    </xf>
    <xf numFmtId="0" fontId="36" fillId="26" borderId="102" xfId="45" applyFont="1" applyFill="1" applyBorder="1" applyAlignment="1" applyProtection="1">
      <alignment vertical="center"/>
      <protection hidden="1"/>
    </xf>
    <xf numFmtId="0" fontId="36" fillId="23" borderId="103" xfId="45" applyFont="1" applyFill="1" applyBorder="1" applyAlignment="1" applyProtection="1">
      <alignment vertical="center"/>
      <protection hidden="1"/>
    </xf>
    <xf numFmtId="0" fontId="36" fillId="23" borderId="103" xfId="45" applyFont="1" applyFill="1" applyBorder="1" applyAlignment="1" applyProtection="1">
      <alignment horizontal="left" vertical="center" wrapText="1"/>
      <protection hidden="1"/>
    </xf>
    <xf numFmtId="0" fontId="36" fillId="26" borderId="104" xfId="45" applyFont="1" applyFill="1" applyBorder="1" applyAlignment="1" applyProtection="1">
      <alignment vertical="center"/>
      <protection hidden="1"/>
    </xf>
    <xf numFmtId="0" fontId="36" fillId="23" borderId="95" xfId="45" applyFont="1" applyFill="1" applyBorder="1" applyAlignment="1" applyProtection="1">
      <alignment vertical="center"/>
      <protection hidden="1"/>
    </xf>
    <xf numFmtId="0" fontId="36" fillId="26" borderId="105" xfId="45" applyFont="1" applyFill="1" applyBorder="1" applyAlignment="1" applyProtection="1">
      <alignment vertical="center"/>
      <protection hidden="1"/>
    </xf>
    <xf numFmtId="0" fontId="36" fillId="26" borderId="100" xfId="0" applyFont="1" applyFill="1" applyBorder="1" applyAlignment="1" applyProtection="1">
      <alignment vertical="center"/>
      <protection hidden="1"/>
    </xf>
    <xf numFmtId="0" fontId="36" fillId="26" borderId="105" xfId="0" applyFont="1" applyFill="1" applyBorder="1" applyAlignment="1" applyProtection="1">
      <alignment vertical="center"/>
      <protection hidden="1"/>
    </xf>
    <xf numFmtId="0" fontId="19" fillId="17" borderId="101" xfId="0" applyFont="1" applyFill="1" applyBorder="1" applyAlignment="1" applyProtection="1">
      <alignment vertical="top"/>
      <protection hidden="1"/>
    </xf>
    <xf numFmtId="0" fontId="36" fillId="23" borderId="106" xfId="45" applyFont="1" applyFill="1" applyBorder="1" applyAlignment="1" applyProtection="1">
      <alignment vertical="center"/>
      <protection hidden="1"/>
    </xf>
    <xf numFmtId="0" fontId="36" fillId="26" borderId="102" xfId="45" applyFont="1" applyFill="1" applyBorder="1" applyAlignment="1" applyProtection="1">
      <alignment vertical="top" wrapText="1"/>
      <protection hidden="1"/>
    </xf>
    <xf numFmtId="0" fontId="51" fillId="23" borderId="0" xfId="45" applyFont="1" applyFill="1" applyBorder="1" applyAlignment="1" applyProtection="1">
      <alignment vertical="center"/>
      <protection hidden="1"/>
    </xf>
    <xf numFmtId="0" fontId="36" fillId="23" borderId="0" xfId="45" applyFont="1" applyFill="1" applyBorder="1" applyAlignment="1" applyProtection="1">
      <alignment vertical="top" wrapText="1"/>
      <protection hidden="1"/>
    </xf>
    <xf numFmtId="0" fontId="24" fillId="17" borderId="107" xfId="45" applyFont="1" applyFill="1" applyBorder="1" applyAlignment="1" applyProtection="1">
      <alignment horizontal="left" vertical="center" wrapText="1"/>
      <protection locked="0" hidden="1"/>
    </xf>
    <xf numFmtId="0" fontId="24" fillId="17" borderId="98" xfId="45" applyFont="1" applyFill="1" applyBorder="1" applyAlignment="1" applyProtection="1">
      <alignment horizontal="left" vertical="center" wrapText="1"/>
      <protection locked="0" hidden="1"/>
    </xf>
    <xf numFmtId="0" fontId="24" fillId="17" borderId="99" xfId="45" applyFont="1" applyFill="1" applyBorder="1" applyAlignment="1" applyProtection="1">
      <alignment horizontal="left" vertical="center" wrapText="1"/>
      <protection locked="0" hidden="1"/>
    </xf>
    <xf numFmtId="0" fontId="24" fillId="17" borderId="108" xfId="45" applyFont="1" applyFill="1" applyBorder="1" applyAlignment="1" applyProtection="1">
      <alignment horizontal="left" vertical="center" wrapText="1"/>
      <protection locked="0" hidden="1"/>
    </xf>
    <xf numFmtId="3" fontId="24" fillId="17" borderId="107" xfId="45" applyNumberFormat="1" applyFont="1" applyFill="1" applyBorder="1" applyAlignment="1" applyProtection="1">
      <alignment horizontal="left" vertical="center" wrapText="1"/>
      <protection locked="0" hidden="1"/>
    </xf>
    <xf numFmtId="3" fontId="24" fillId="17" borderId="98" xfId="45" applyNumberFormat="1" applyFont="1" applyFill="1" applyBorder="1" applyAlignment="1" applyProtection="1">
      <alignment horizontal="left" vertical="center" wrapText="1"/>
      <protection locked="0" hidden="1"/>
    </xf>
    <xf numFmtId="0" fontId="24" fillId="17" borderId="109" xfId="45" applyFont="1" applyFill="1" applyBorder="1" applyAlignment="1" applyProtection="1">
      <alignment horizontal="left" vertical="top" wrapText="1"/>
      <protection locked="0" hidden="1"/>
    </xf>
    <xf numFmtId="0" fontId="7" fillId="17" borderId="0" xfId="43" applyFont="1" applyFill="1" applyAlignment="1" applyProtection="1">
      <alignment vertical="top" wrapText="1"/>
      <protection hidden="1"/>
    </xf>
    <xf numFmtId="0" fontId="125" fillId="17" borderId="0" xfId="43" applyFont="1" applyFill="1" applyAlignment="1" applyProtection="1">
      <alignment vertical="top"/>
      <protection hidden="1"/>
    </xf>
    <xf numFmtId="0" fontId="7" fillId="26" borderId="0" xfId="43" applyFont="1" applyFill="1" applyAlignment="1" applyProtection="1">
      <alignment vertical="top" wrapText="1"/>
      <protection hidden="1"/>
    </xf>
    <xf numFmtId="0" fontId="7" fillId="23" borderId="0" xfId="43" applyFont="1" applyFill="1" applyAlignment="1" applyProtection="1">
      <alignment vertical="top" wrapText="1"/>
      <protection hidden="1"/>
    </xf>
    <xf numFmtId="0" fontId="120" fillId="23" borderId="0" xfId="42" applyFont="1" applyFill="1" applyAlignment="1" applyProtection="1">
      <alignment vertical="center"/>
      <protection hidden="1"/>
    </xf>
    <xf numFmtId="0" fontId="104" fillId="17" borderId="0" xfId="43" applyFont="1" applyFill="1" applyAlignment="1" applyProtection="1">
      <alignment vertical="top" wrapText="1"/>
      <protection hidden="1"/>
    </xf>
    <xf numFmtId="0" fontId="105" fillId="17" borderId="0" xfId="43" applyFont="1" applyFill="1" applyAlignment="1" applyProtection="1">
      <alignment vertical="center" wrapText="1"/>
      <protection hidden="1"/>
    </xf>
    <xf numFmtId="0" fontId="106" fillId="17" borderId="0" xfId="0" applyFont="1" applyFill="1" applyBorder="1" applyAlignment="1" applyProtection="1">
      <alignment horizontal="justify"/>
      <protection hidden="1"/>
    </xf>
    <xf numFmtId="0" fontId="106" fillId="17" borderId="0" xfId="0" applyFont="1" applyFill="1" applyAlignment="1" applyProtection="1">
      <alignment horizontal="justify"/>
      <protection hidden="1"/>
    </xf>
    <xf numFmtId="0" fontId="106" fillId="17" borderId="0" xfId="0" applyFont="1" applyFill="1" applyBorder="1" applyAlignment="1" applyProtection="1">
      <alignment vertical="top" wrapText="1"/>
      <protection hidden="1"/>
    </xf>
    <xf numFmtId="0" fontId="123" fillId="17" borderId="0" xfId="0" applyFont="1" applyFill="1" applyBorder="1" applyAlignment="1" applyProtection="1">
      <alignment horizontal="justify"/>
      <protection hidden="1"/>
    </xf>
    <xf numFmtId="0" fontId="124" fillId="17" borderId="0" xfId="0" applyFont="1" applyFill="1" applyBorder="1" applyAlignment="1" applyProtection="1">
      <alignment vertical="top" wrapText="1"/>
      <protection hidden="1"/>
    </xf>
    <xf numFmtId="0" fontId="107" fillId="17" borderId="0" xfId="0" applyFont="1" applyFill="1" applyBorder="1" applyAlignment="1" applyProtection="1">
      <alignment vertical="top" wrapText="1"/>
      <protection hidden="1"/>
    </xf>
    <xf numFmtId="0" fontId="105" fillId="17" borderId="0" xfId="0" applyFont="1" applyFill="1" applyBorder="1" applyAlignment="1" applyProtection="1">
      <alignment vertical="top" wrapText="1"/>
      <protection hidden="1"/>
    </xf>
    <xf numFmtId="0" fontId="104" fillId="17" borderId="0" xfId="0" applyFont="1" applyFill="1" applyBorder="1" applyAlignment="1" applyProtection="1">
      <alignment vertical="top" wrapText="1"/>
      <protection hidden="1"/>
    </xf>
    <xf numFmtId="0" fontId="104" fillId="17" borderId="0" xfId="0" applyFont="1" applyFill="1" applyAlignment="1" applyProtection="1">
      <alignment vertical="top" wrapText="1"/>
      <protection hidden="1"/>
    </xf>
    <xf numFmtId="0" fontId="104" fillId="26" borderId="0" xfId="43" applyFont="1" applyFill="1" applyAlignment="1" applyProtection="1">
      <alignment vertical="top" wrapText="1"/>
      <protection hidden="1"/>
    </xf>
    <xf numFmtId="0" fontId="7" fillId="17" borderId="0" xfId="43" applyFill="1" applyAlignment="1" applyProtection="1">
      <alignment vertical="top" wrapText="1"/>
      <protection hidden="1"/>
    </xf>
    <xf numFmtId="0" fontId="11" fillId="17" borderId="0" xfId="43" applyFont="1" applyFill="1" applyAlignment="1" applyProtection="1">
      <alignment vertical="top" wrapText="1"/>
      <protection hidden="1"/>
    </xf>
    <xf numFmtId="0" fontId="9" fillId="17" borderId="0" xfId="43" quotePrefix="1" applyFont="1" applyFill="1" applyAlignment="1" applyProtection="1">
      <alignment horizontal="right" vertical="top" wrapText="1"/>
      <protection hidden="1"/>
    </xf>
    <xf numFmtId="0" fontId="7" fillId="17" borderId="0" xfId="43" applyFont="1" applyFill="1" applyAlignment="1" applyProtection="1">
      <alignment horizontal="justify" vertical="top" wrapText="1"/>
      <protection hidden="1"/>
    </xf>
    <xf numFmtId="0" fontId="9" fillId="17" borderId="0" xfId="43" applyFont="1" applyFill="1" applyAlignment="1" applyProtection="1">
      <alignment vertical="top" wrapText="1"/>
      <protection hidden="1"/>
    </xf>
    <xf numFmtId="0" fontId="16" fillId="17" borderId="0" xfId="43" applyFont="1" applyFill="1" applyAlignment="1" applyProtection="1">
      <alignment horizontal="justify" vertical="top" wrapText="1"/>
      <protection hidden="1"/>
    </xf>
    <xf numFmtId="0" fontId="12" fillId="17" borderId="0" xfId="43" applyFont="1" applyFill="1" applyAlignment="1" applyProtection="1">
      <alignment vertical="top" wrapText="1"/>
      <protection hidden="1"/>
    </xf>
    <xf numFmtId="0" fontId="13" fillId="17" borderId="0" xfId="43" applyFont="1" applyFill="1" applyAlignment="1" applyProtection="1">
      <alignment horizontal="justify" wrapText="1"/>
      <protection hidden="1"/>
    </xf>
    <xf numFmtId="0" fontId="14" fillId="17" borderId="0" xfId="43" applyFont="1" applyFill="1" applyAlignment="1" applyProtection="1">
      <alignment vertical="top" wrapText="1"/>
      <protection hidden="1"/>
    </xf>
    <xf numFmtId="0" fontId="163" fillId="17" borderId="33" xfId="0" applyFont="1" applyFill="1" applyBorder="1" applyAlignment="1" applyProtection="1">
      <alignment horizontal="justify" vertical="top" wrapText="1"/>
      <protection hidden="1"/>
    </xf>
    <xf numFmtId="0" fontId="163" fillId="17" borderId="35" xfId="0" applyFont="1" applyFill="1" applyBorder="1" applyAlignment="1" applyProtection="1">
      <alignment horizontal="justify" vertical="top" wrapText="1"/>
      <protection hidden="1"/>
    </xf>
    <xf numFmtId="0" fontId="13" fillId="17" borderId="0" xfId="43" applyFont="1" applyFill="1" applyAlignment="1" applyProtection="1">
      <alignment vertical="top" wrapText="1"/>
      <protection hidden="1"/>
    </xf>
    <xf numFmtId="0" fontId="13" fillId="17" borderId="0" xfId="43" applyFont="1" applyFill="1" applyAlignment="1" applyProtection="1">
      <alignment horizontal="justify" vertical="top" wrapText="1"/>
      <protection hidden="1"/>
    </xf>
    <xf numFmtId="0" fontId="7" fillId="17" borderId="0" xfId="43" applyFont="1" applyFill="1" applyAlignment="1" applyProtection="1">
      <alignment horizontal="justify"/>
      <protection hidden="1"/>
    </xf>
    <xf numFmtId="0" fontId="7" fillId="26" borderId="0" xfId="43" applyFont="1" applyFill="1" applyAlignment="1" applyProtection="1">
      <alignment horizontal="justify" vertical="top" wrapText="1"/>
      <protection hidden="1"/>
    </xf>
    <xf numFmtId="0" fontId="7" fillId="26" borderId="0" xfId="43" applyFont="1" applyFill="1" applyAlignment="1" applyProtection="1">
      <alignment horizontal="justify"/>
      <protection hidden="1"/>
    </xf>
    <xf numFmtId="0" fontId="121" fillId="17" borderId="0" xfId="0" applyFont="1" applyFill="1" applyAlignment="1" applyProtection="1">
      <alignment horizontal="justify" vertical="top" wrapText="1"/>
      <protection hidden="1"/>
    </xf>
    <xf numFmtId="0" fontId="18" fillId="17" borderId="0" xfId="43" applyFont="1" applyFill="1" applyAlignment="1" applyProtection="1">
      <alignment horizontal="justify" vertical="top" wrapText="1"/>
      <protection hidden="1"/>
    </xf>
    <xf numFmtId="0" fontId="18" fillId="26" borderId="0" xfId="43" applyFont="1" applyFill="1" applyAlignment="1" applyProtection="1">
      <alignment horizontal="justify" vertical="top" wrapText="1"/>
      <protection hidden="1"/>
    </xf>
    <xf numFmtId="0" fontId="13" fillId="17" borderId="0" xfId="43" applyFont="1" applyFill="1" applyBorder="1" applyAlignment="1" applyProtection="1">
      <alignment horizontal="justify" vertical="top" wrapText="1"/>
      <protection hidden="1"/>
    </xf>
    <xf numFmtId="0" fontId="16" fillId="17" borderId="0" xfId="43" applyFont="1" applyFill="1" applyBorder="1" applyAlignment="1" applyProtection="1">
      <alignment horizontal="justify" vertical="top" wrapText="1"/>
      <protection hidden="1"/>
    </xf>
    <xf numFmtId="0" fontId="16" fillId="17" borderId="0" xfId="43" applyFont="1" applyFill="1" applyAlignment="1" applyProtection="1">
      <alignment vertical="top" wrapText="1"/>
      <protection hidden="1"/>
    </xf>
    <xf numFmtId="0" fontId="7" fillId="17" borderId="0" xfId="43" applyFont="1" applyFill="1" applyBorder="1" applyAlignment="1" applyProtection="1">
      <alignment horizontal="justify" vertical="top" wrapText="1"/>
      <protection hidden="1"/>
    </xf>
    <xf numFmtId="0" fontId="10" fillId="17" borderId="0" xfId="43" applyFont="1" applyFill="1" applyBorder="1" applyAlignment="1" applyProtection="1">
      <alignment horizontal="justify"/>
      <protection hidden="1"/>
    </xf>
    <xf numFmtId="0" fontId="121" fillId="17" borderId="0" xfId="43" applyFont="1" applyFill="1" applyBorder="1" applyAlignment="1" applyProtection="1">
      <alignment horizontal="justify"/>
      <protection hidden="1"/>
    </xf>
    <xf numFmtId="0" fontId="7" fillId="17" borderId="0" xfId="43" applyFont="1" applyFill="1" applyBorder="1" applyAlignment="1" applyProtection="1">
      <alignment horizontal="justify"/>
      <protection hidden="1"/>
    </xf>
    <xf numFmtId="0" fontId="7" fillId="26" borderId="0" xfId="43" applyFont="1" applyFill="1" applyBorder="1" applyAlignment="1" applyProtection="1">
      <alignment horizontal="justify" vertical="top" wrapText="1"/>
      <protection hidden="1"/>
    </xf>
    <xf numFmtId="0" fontId="10" fillId="26" borderId="0" xfId="43" applyFont="1" applyFill="1" applyBorder="1" applyAlignment="1" applyProtection="1">
      <alignment horizontal="justify"/>
      <protection hidden="1"/>
    </xf>
    <xf numFmtId="0" fontId="19" fillId="17" borderId="0" xfId="43" applyFont="1" applyFill="1" applyAlignment="1" applyProtection="1">
      <alignment horizontal="justify" vertical="top" wrapText="1"/>
      <protection hidden="1"/>
    </xf>
    <xf numFmtId="0" fontId="7" fillId="17" borderId="0" xfId="0" applyNumberFormat="1" applyFont="1" applyFill="1" applyAlignment="1" applyProtection="1">
      <alignment horizontal="justify"/>
      <protection hidden="1"/>
    </xf>
    <xf numFmtId="0" fontId="19" fillId="17" borderId="0" xfId="0" applyFont="1" applyFill="1" applyAlignment="1" applyProtection="1">
      <alignment horizontal="justify" vertical="top" wrapText="1"/>
      <protection hidden="1"/>
    </xf>
    <xf numFmtId="0" fontId="7" fillId="17" borderId="0" xfId="0" applyFont="1" applyFill="1" applyAlignment="1" applyProtection="1">
      <alignment horizontal="justify"/>
      <protection hidden="1"/>
    </xf>
    <xf numFmtId="0" fontId="10" fillId="17" borderId="0" xfId="43" applyFont="1" applyFill="1" applyAlignment="1" applyProtection="1">
      <alignment horizontal="justify"/>
      <protection hidden="1"/>
    </xf>
    <xf numFmtId="0" fontId="7" fillId="17" borderId="0" xfId="43" quotePrefix="1" applyFont="1" applyFill="1" applyBorder="1" applyAlignment="1" applyProtection="1">
      <alignment horizontal="justify"/>
      <protection hidden="1"/>
    </xf>
    <xf numFmtId="0" fontId="18" fillId="17" borderId="0" xfId="42" applyFont="1" applyFill="1" applyProtection="1">
      <protection hidden="1"/>
    </xf>
    <xf numFmtId="0" fontId="7" fillId="17" borderId="0" xfId="42" applyFill="1" applyProtection="1">
      <protection hidden="1"/>
    </xf>
    <xf numFmtId="0" fontId="132" fillId="17" borderId="0" xfId="42" applyFont="1" applyFill="1" applyProtection="1">
      <protection hidden="1"/>
    </xf>
    <xf numFmtId="0" fontId="20" fillId="17" borderId="0" xfId="42" applyFont="1" applyFill="1" applyBorder="1" applyAlignment="1" applyProtection="1">
      <alignment horizontal="justify" wrapText="1"/>
      <protection hidden="1"/>
    </xf>
    <xf numFmtId="0" fontId="10" fillId="17" borderId="0" xfId="42" applyFont="1" applyFill="1" applyBorder="1" applyProtection="1">
      <protection hidden="1"/>
    </xf>
    <xf numFmtId="0" fontId="20" fillId="17" borderId="0" xfId="42" applyFont="1" applyFill="1" applyBorder="1" applyAlignment="1" applyProtection="1">
      <alignment horizontal="justify" vertical="center" wrapText="1"/>
      <protection hidden="1"/>
    </xf>
    <xf numFmtId="0" fontId="122" fillId="17" borderId="0" xfId="42" applyFont="1" applyFill="1" applyProtection="1">
      <protection hidden="1"/>
    </xf>
    <xf numFmtId="0" fontId="21" fillId="17" borderId="0" xfId="42" applyFont="1" applyFill="1" applyAlignment="1" applyProtection="1">
      <alignment horizontal="left" vertical="center"/>
      <protection hidden="1"/>
    </xf>
    <xf numFmtId="0" fontId="7" fillId="17" borderId="0" xfId="42" applyFont="1" applyFill="1" applyProtection="1">
      <protection hidden="1"/>
    </xf>
    <xf numFmtId="0" fontId="22" fillId="17" borderId="0" xfId="42" applyFont="1" applyFill="1" applyProtection="1">
      <protection hidden="1"/>
    </xf>
    <xf numFmtId="0" fontId="23" fillId="17" borderId="0" xfId="42" applyFont="1" applyFill="1" applyProtection="1">
      <protection hidden="1"/>
    </xf>
    <xf numFmtId="0" fontId="20" fillId="17" borderId="43" xfId="0" applyFont="1" applyFill="1" applyBorder="1" applyAlignment="1" applyProtection="1">
      <alignment horizontal="center" vertical="center" wrapText="1"/>
      <protection hidden="1"/>
    </xf>
    <xf numFmtId="0" fontId="20" fillId="17" borderId="71" xfId="0" applyFont="1" applyFill="1" applyBorder="1" applyAlignment="1" applyProtection="1">
      <alignment horizontal="center" vertical="center" wrapText="1"/>
      <protection hidden="1"/>
    </xf>
    <xf numFmtId="0" fontId="20" fillId="17" borderId="10" xfId="0" applyFont="1" applyFill="1" applyBorder="1" applyAlignment="1" applyProtection="1">
      <alignment horizontal="center" vertical="center" wrapText="1"/>
      <protection hidden="1"/>
    </xf>
    <xf numFmtId="0" fontId="104" fillId="17" borderId="71" xfId="0" applyFont="1" applyFill="1" applyBorder="1" applyAlignment="1" applyProtection="1">
      <alignment horizontal="left" vertical="top" wrapText="1"/>
      <protection hidden="1"/>
    </xf>
    <xf numFmtId="0" fontId="7" fillId="17" borderId="43" xfId="0" applyFont="1" applyFill="1" applyBorder="1" applyAlignment="1" applyProtection="1">
      <alignment horizontal="left" vertical="top" wrapText="1"/>
      <protection hidden="1"/>
    </xf>
    <xf numFmtId="0" fontId="53" fillId="23" borderId="0" xfId="40" applyFont="1" applyFill="1" applyAlignment="1" applyProtection="1">
      <alignment horizontal="center" vertical="top" wrapText="1"/>
      <protection hidden="1"/>
    </xf>
    <xf numFmtId="0" fontId="16" fillId="17" borderId="72" xfId="0" applyFont="1" applyFill="1" applyBorder="1" applyAlignment="1" applyProtection="1">
      <alignment horizontal="left" vertical="top" wrapText="1"/>
      <protection hidden="1"/>
    </xf>
    <xf numFmtId="0" fontId="7" fillId="17" borderId="71" xfId="0" applyFont="1" applyFill="1" applyBorder="1" applyAlignment="1" applyProtection="1">
      <alignment horizontal="left" vertical="top" wrapText="1"/>
      <protection hidden="1"/>
    </xf>
    <xf numFmtId="0" fontId="73" fillId="17" borderId="44" xfId="0" applyFont="1" applyFill="1" applyBorder="1" applyAlignment="1" applyProtection="1">
      <alignment horizontal="justify"/>
      <protection hidden="1"/>
    </xf>
    <xf numFmtId="0" fontId="5" fillId="17" borderId="10" xfId="0" applyFont="1" applyFill="1" applyBorder="1" applyAlignment="1" applyProtection="1">
      <alignment horizontal="center" vertical="center"/>
      <protection locked="0" hidden="1"/>
    </xf>
    <xf numFmtId="0" fontId="5" fillId="17" borderId="71" xfId="0" applyFont="1" applyFill="1" applyBorder="1" applyAlignment="1" applyProtection="1">
      <alignment horizontal="center" vertical="center"/>
      <protection locked="0" hidden="1"/>
    </xf>
    <xf numFmtId="0" fontId="167" fillId="23" borderId="0" xfId="40" applyFont="1" applyFill="1" applyBorder="1" applyAlignment="1" applyProtection="1">
      <alignment horizontal="center" vertical="center"/>
      <protection hidden="1"/>
    </xf>
    <xf numFmtId="0" fontId="169" fillId="23" borderId="0" xfId="40" applyFont="1" applyFill="1" applyBorder="1" applyAlignment="1" applyProtection="1">
      <alignment horizontal="left" vertical="top"/>
      <protection hidden="1"/>
    </xf>
    <xf numFmtId="0" fontId="170" fillId="23" borderId="0" xfId="40" applyFont="1" applyFill="1" applyAlignment="1" applyProtection="1">
      <alignment horizontal="left" vertical="top" wrapText="1"/>
    </xf>
    <xf numFmtId="0" fontId="104" fillId="17" borderId="43" xfId="40" applyFont="1" applyFill="1" applyBorder="1" applyAlignment="1" applyProtection="1">
      <alignment horizontal="left" vertical="top" wrapText="1"/>
      <protection hidden="1"/>
    </xf>
    <xf numFmtId="0" fontId="92" fillId="23" borderId="0" xfId="40" applyFont="1" applyFill="1" applyAlignment="1" applyProtection="1">
      <alignment horizontal="left" vertical="top" wrapText="1"/>
    </xf>
    <xf numFmtId="0" fontId="171" fillId="23" borderId="0" xfId="40" applyFont="1" applyFill="1" applyAlignment="1" applyProtection="1">
      <alignment horizontal="left" vertical="top" wrapText="1"/>
    </xf>
    <xf numFmtId="0" fontId="93" fillId="23" borderId="0" xfId="40" applyFont="1" applyFill="1" applyAlignment="1" applyProtection="1">
      <alignment horizontal="left" vertical="top" wrapText="1"/>
    </xf>
    <xf numFmtId="0" fontId="172" fillId="23" borderId="0" xfId="40" applyFont="1" applyFill="1" applyAlignment="1" applyProtection="1">
      <alignment horizontal="left" vertical="top" wrapText="1"/>
    </xf>
    <xf numFmtId="0" fontId="55" fillId="23" borderId="0" xfId="40" applyFont="1" applyFill="1" applyAlignment="1" applyProtection="1">
      <alignment horizontal="left" vertical="center"/>
      <protection hidden="1"/>
    </xf>
    <xf numFmtId="0" fontId="173" fillId="17" borderId="0" xfId="43" applyFont="1" applyFill="1" applyAlignment="1" applyProtection="1">
      <alignment horizontal="justify" vertical="top" wrapText="1"/>
      <protection hidden="1"/>
    </xf>
    <xf numFmtId="0" fontId="134" fillId="23" borderId="0" xfId="48" applyNumberFormat="1" applyFont="1" applyFill="1" applyBorder="1" applyAlignment="1" applyProtection="1">
      <alignment horizontal="left" vertical="center" wrapText="1"/>
      <protection hidden="1"/>
    </xf>
    <xf numFmtId="0" fontId="51" fillId="26" borderId="36" xfId="41" applyFont="1" applyFill="1" applyBorder="1" applyAlignment="1" applyProtection="1">
      <alignment horizontal="center" vertical="center" wrapText="1"/>
      <protection hidden="1"/>
    </xf>
    <xf numFmtId="0" fontId="51" fillId="23" borderId="0" xfId="41" applyFont="1" applyFill="1" applyBorder="1" applyAlignment="1" applyProtection="1">
      <alignment horizontal="left" vertical="center"/>
      <protection hidden="1"/>
    </xf>
    <xf numFmtId="3" fontId="16" fillId="23" borderId="0" xfId="41" applyNumberFormat="1" applyFont="1" applyFill="1" applyBorder="1" applyAlignment="1" applyProtection="1">
      <alignment horizontal="center" vertical="center" wrapText="1"/>
      <protection hidden="1"/>
    </xf>
    <xf numFmtId="0" fontId="51" fillId="26" borderId="43" xfId="41" applyFont="1" applyFill="1" applyBorder="1" applyAlignment="1" applyProtection="1">
      <alignment horizontal="center" vertical="center" wrapText="1"/>
      <protection hidden="1"/>
    </xf>
    <xf numFmtId="0" fontId="51" fillId="26" borderId="110" xfId="41" applyFont="1" applyFill="1" applyBorder="1" applyAlignment="1" applyProtection="1">
      <alignment horizontal="center" vertical="center" wrapText="1"/>
      <protection hidden="1"/>
    </xf>
    <xf numFmtId="0" fontId="51" fillId="26" borderId="60" xfId="41" applyFont="1" applyFill="1" applyBorder="1" applyAlignment="1" applyProtection="1">
      <alignment horizontal="center" vertical="center" wrapText="1"/>
      <protection hidden="1"/>
    </xf>
    <xf numFmtId="0" fontId="51" fillId="26" borderId="37" xfId="41" applyFont="1" applyFill="1" applyBorder="1" applyAlignment="1" applyProtection="1">
      <alignment horizontal="center" vertical="center" wrapText="1"/>
      <protection hidden="1"/>
    </xf>
    <xf numFmtId="0" fontId="55" fillId="26" borderId="49" xfId="41" applyFont="1" applyFill="1" applyBorder="1" applyAlignment="1" applyProtection="1">
      <alignment horizontal="left" vertical="center"/>
      <protection hidden="1"/>
    </xf>
    <xf numFmtId="0" fontId="9" fillId="26" borderId="75" xfId="41" applyFont="1" applyFill="1" applyBorder="1" applyAlignment="1" applyProtection="1">
      <alignment vertical="center" wrapText="1"/>
      <protection hidden="1"/>
    </xf>
    <xf numFmtId="0" fontId="7" fillId="26" borderId="75" xfId="41" applyFill="1" applyBorder="1" applyAlignment="1" applyProtection="1">
      <alignment horizontal="left" vertical="center"/>
      <protection hidden="1"/>
    </xf>
    <xf numFmtId="0" fontId="34" fillId="26" borderId="53" xfId="41" applyFont="1" applyFill="1" applyBorder="1" applyAlignment="1" applyProtection="1">
      <alignment horizontal="center" vertical="center"/>
      <protection hidden="1"/>
    </xf>
    <xf numFmtId="3" fontId="16" fillId="26" borderId="55" xfId="41" applyNumberFormat="1" applyFont="1" applyFill="1" applyBorder="1" applyAlignment="1" applyProtection="1">
      <alignment horizontal="center" vertical="center" wrapText="1"/>
      <protection hidden="1"/>
    </xf>
    <xf numFmtId="3" fontId="16" fillId="26" borderId="12" xfId="41" applyNumberFormat="1" applyFont="1" applyFill="1" applyBorder="1" applyAlignment="1" applyProtection="1">
      <alignment horizontal="center" vertical="center" wrapText="1"/>
      <protection hidden="1"/>
    </xf>
    <xf numFmtId="0" fontId="51" fillId="26" borderId="44" xfId="41" applyFont="1" applyFill="1" applyBorder="1" applyAlignment="1" applyProtection="1">
      <alignment horizontal="center" vertical="center" wrapText="1"/>
      <protection hidden="1"/>
    </xf>
    <xf numFmtId="0" fontId="51" fillId="26" borderId="49" xfId="41" applyFont="1" applyFill="1" applyBorder="1" applyAlignment="1" applyProtection="1">
      <alignment vertical="top" wrapText="1"/>
      <protection hidden="1"/>
    </xf>
    <xf numFmtId="1" fontId="51" fillId="26" borderId="75" xfId="41" applyNumberFormat="1" applyFont="1" applyFill="1" applyBorder="1" applyAlignment="1" applyProtection="1">
      <alignment horizontal="left" vertical="center" wrapText="1"/>
      <protection hidden="1"/>
    </xf>
    <xf numFmtId="1" fontId="51" fillId="26" borderId="75" xfId="41" applyNumberFormat="1" applyFont="1" applyFill="1" applyBorder="1" applyAlignment="1" applyProtection="1">
      <alignment horizontal="center" vertical="center" wrapText="1"/>
      <protection hidden="1"/>
    </xf>
    <xf numFmtId="0" fontId="7" fillId="26" borderId="75" xfId="41" applyFont="1" applyFill="1" applyBorder="1" applyAlignment="1" applyProtection="1">
      <alignment horizontal="center" vertical="top" wrapText="1"/>
      <protection hidden="1"/>
    </xf>
    <xf numFmtId="0" fontId="7" fillId="26" borderId="76" xfId="41" applyFont="1" applyFill="1" applyBorder="1" applyAlignment="1" applyProtection="1">
      <alignment horizontal="center" vertical="top" wrapText="1"/>
      <protection hidden="1"/>
    </xf>
    <xf numFmtId="0" fontId="51" fillId="26" borderId="13" xfId="41" applyFont="1" applyFill="1" applyBorder="1" applyAlignment="1" applyProtection="1">
      <alignment vertical="center" wrapText="1"/>
      <protection hidden="1"/>
    </xf>
    <xf numFmtId="0" fontId="104" fillId="17" borderId="47" xfId="41" applyFont="1" applyFill="1" applyBorder="1" applyAlignment="1" applyProtection="1">
      <alignment vertical="center" wrapText="1"/>
      <protection hidden="1"/>
    </xf>
    <xf numFmtId="0" fontId="51" fillId="26" borderId="19" xfId="41" applyFont="1" applyFill="1" applyBorder="1" applyAlignment="1" applyProtection="1">
      <alignment vertical="center"/>
      <protection hidden="1"/>
    </xf>
    <xf numFmtId="0" fontId="51" fillId="26" borderId="22" xfId="41" applyFont="1" applyFill="1" applyBorder="1" applyAlignment="1" applyProtection="1">
      <alignment vertical="center"/>
      <protection hidden="1"/>
    </xf>
    <xf numFmtId="0" fontId="51" fillId="26" borderId="52" xfId="41" applyFont="1" applyFill="1" applyBorder="1" applyAlignment="1" applyProtection="1">
      <alignment vertical="center"/>
      <protection hidden="1"/>
    </xf>
    <xf numFmtId="0" fontId="51" fillId="26" borderId="64" xfId="41" applyFont="1" applyFill="1" applyBorder="1" applyAlignment="1" applyProtection="1">
      <alignment vertical="center" wrapText="1"/>
      <protection hidden="1"/>
    </xf>
    <xf numFmtId="0" fontId="51" fillId="26" borderId="74" xfId="41" applyFont="1" applyFill="1" applyBorder="1" applyAlignment="1" applyProtection="1">
      <alignment vertical="center" wrapText="1"/>
      <protection hidden="1"/>
    </xf>
    <xf numFmtId="167" fontId="16" fillId="24" borderId="10" xfId="41" applyNumberFormat="1" applyFont="1" applyFill="1" applyBorder="1" applyAlignment="1" applyProtection="1">
      <alignment vertical="center" wrapText="1"/>
      <protection hidden="1"/>
    </xf>
    <xf numFmtId="167" fontId="16" fillId="24" borderId="46" xfId="41" applyNumberFormat="1" applyFont="1" applyFill="1" applyBorder="1" applyAlignment="1" applyProtection="1">
      <alignment vertical="center" wrapText="1"/>
      <protection hidden="1"/>
    </xf>
    <xf numFmtId="0" fontId="84" fillId="0" borderId="0" xfId="41" applyFont="1" applyFill="1" applyBorder="1" applyAlignment="1" applyProtection="1">
      <alignment horizontal="center" vertical="center" wrapText="1"/>
      <protection locked="0" hidden="1"/>
    </xf>
    <xf numFmtId="0" fontId="84" fillId="0" borderId="0" xfId="41" applyFont="1" applyFill="1" applyBorder="1" applyAlignment="1" applyProtection="1">
      <alignment horizontal="left" vertical="top" wrapText="1"/>
      <protection locked="0" hidden="1"/>
    </xf>
    <xf numFmtId="0" fontId="83" fillId="0" borderId="0" xfId="41" applyFont="1" applyFill="1" applyAlignment="1" applyProtection="1">
      <alignment horizontal="left" vertical="top" wrapText="1"/>
      <protection hidden="1"/>
    </xf>
    <xf numFmtId="0" fontId="15" fillId="0" borderId="0" xfId="41" applyFont="1" applyFill="1" applyAlignment="1" applyProtection="1">
      <alignment vertical="center" wrapText="1"/>
      <protection locked="0" hidden="1"/>
    </xf>
    <xf numFmtId="0" fontId="16" fillId="0" borderId="0" xfId="41" applyFont="1" applyFill="1" applyAlignment="1" applyProtection="1">
      <alignment horizontal="center" vertical="center" wrapText="1"/>
      <protection locked="0" hidden="1"/>
    </xf>
    <xf numFmtId="0" fontId="16" fillId="0" borderId="0" xfId="41" applyFont="1" applyFill="1" applyAlignment="1" applyProtection="1">
      <alignment vertical="center" wrapText="1"/>
      <protection locked="0" hidden="1"/>
    </xf>
    <xf numFmtId="0" fontId="7" fillId="0" borderId="0" xfId="41" applyFont="1" applyFill="1" applyAlignment="1" applyProtection="1">
      <alignment vertical="center" wrapText="1"/>
      <protection hidden="1"/>
    </xf>
    <xf numFmtId="0" fontId="85" fillId="0" borderId="0" xfId="41" applyFont="1" applyFill="1" applyAlignment="1" applyProtection="1">
      <alignment vertical="top" wrapText="1"/>
      <protection locked="0" hidden="1"/>
    </xf>
    <xf numFmtId="0" fontId="9" fillId="0" borderId="0" xfId="41" applyFont="1" applyFill="1" applyAlignment="1" applyProtection="1">
      <alignment vertical="top" wrapText="1"/>
      <protection locked="0" hidden="1"/>
    </xf>
    <xf numFmtId="0" fontId="15" fillId="0" borderId="0" xfId="41" applyFont="1" applyFill="1" applyAlignment="1" applyProtection="1">
      <alignment vertical="top" wrapText="1"/>
      <protection locked="0" hidden="1"/>
    </xf>
    <xf numFmtId="0" fontId="9" fillId="0" borderId="0" xfId="41" applyFont="1" applyFill="1" applyAlignment="1" applyProtection="1">
      <alignment vertical="top" wrapText="1"/>
      <protection hidden="1"/>
    </xf>
    <xf numFmtId="0" fontId="85" fillId="0" borderId="0" xfId="41" applyFont="1" applyFill="1" applyAlignment="1" applyProtection="1">
      <alignment vertical="top" wrapText="1"/>
      <protection hidden="1"/>
    </xf>
    <xf numFmtId="0" fontId="9" fillId="0" borderId="0" xfId="41" applyFont="1" applyFill="1" applyAlignment="1" applyProtection="1">
      <alignment vertical="top"/>
      <protection locked="0" hidden="1"/>
    </xf>
    <xf numFmtId="0" fontId="9" fillId="0" borderId="0" xfId="41" applyFont="1" applyFill="1" applyAlignment="1" applyProtection="1">
      <alignment vertical="center" wrapText="1"/>
      <protection locked="0" hidden="1"/>
    </xf>
    <xf numFmtId="0" fontId="9" fillId="0" borderId="0" xfId="41" applyFont="1" applyFill="1" applyAlignment="1" applyProtection="1">
      <alignment vertical="center" wrapText="1"/>
      <protection hidden="1"/>
    </xf>
    <xf numFmtId="0" fontId="9" fillId="0" borderId="0" xfId="41" applyNumberFormat="1" applyFont="1" applyFill="1" applyAlignment="1" applyProtection="1">
      <alignment vertical="center" wrapText="1"/>
      <protection locked="0" hidden="1"/>
    </xf>
    <xf numFmtId="10" fontId="9" fillId="0" borderId="0" xfId="41" applyNumberFormat="1" applyFont="1" applyFill="1" applyAlignment="1" applyProtection="1">
      <alignment vertical="top" wrapText="1"/>
      <protection locked="0" hidden="1"/>
    </xf>
    <xf numFmtId="0" fontId="9" fillId="0" borderId="0" xfId="41" applyNumberFormat="1" applyFont="1" applyFill="1" applyAlignment="1" applyProtection="1">
      <alignment vertical="top" wrapText="1"/>
      <protection locked="0" hidden="1"/>
    </xf>
    <xf numFmtId="0" fontId="9" fillId="0" borderId="0" xfId="41" applyNumberFormat="1" applyFont="1" applyFill="1" applyAlignment="1" applyProtection="1">
      <alignment vertical="center"/>
      <protection locked="0" hidden="1"/>
    </xf>
    <xf numFmtId="0" fontId="9" fillId="0" borderId="0" xfId="41" applyNumberFormat="1" applyFont="1" applyFill="1" applyAlignment="1" applyProtection="1">
      <alignment vertical="center" wrapText="1"/>
      <protection hidden="1"/>
    </xf>
    <xf numFmtId="0" fontId="9" fillId="0" borderId="0" xfId="41" applyFont="1" applyFill="1" applyAlignment="1" applyProtection="1">
      <alignment vertical="center"/>
      <protection locked="0" hidden="1"/>
    </xf>
    <xf numFmtId="1" fontId="9" fillId="0" borderId="0" xfId="41" applyNumberFormat="1" applyFont="1" applyFill="1" applyAlignment="1" applyProtection="1">
      <alignment vertical="top" wrapText="1"/>
      <protection locked="0" hidden="1"/>
    </xf>
    <xf numFmtId="0" fontId="88" fillId="0" borderId="0" xfId="41" applyFont="1" applyFill="1" applyAlignment="1" applyProtection="1">
      <alignment horizontal="center"/>
      <protection locked="0" hidden="1"/>
    </xf>
    <xf numFmtId="0" fontId="9" fillId="0" borderId="0" xfId="41" applyFont="1" applyFill="1" applyProtection="1">
      <protection locked="0" hidden="1"/>
    </xf>
    <xf numFmtId="0" fontId="9" fillId="0" borderId="0" xfId="41" applyFont="1" applyFill="1" applyAlignment="1" applyProtection="1">
      <alignment horizontal="center"/>
      <protection locked="0" hidden="1"/>
    </xf>
    <xf numFmtId="166" fontId="15" fillId="0" borderId="0" xfId="41" applyNumberFormat="1" applyFont="1" applyFill="1" applyAlignment="1" applyProtection="1">
      <alignment horizontal="center"/>
      <protection locked="0" hidden="1"/>
    </xf>
    <xf numFmtId="0" fontId="9" fillId="0" borderId="0" xfId="41" applyFont="1" applyFill="1" applyAlignment="1" applyProtection="1">
      <alignment horizontal="center" vertical="top" wrapText="1"/>
      <protection locked="0" hidden="1"/>
    </xf>
    <xf numFmtId="1" fontId="9" fillId="0" borderId="0" xfId="41" applyNumberFormat="1" applyFont="1" applyFill="1" applyBorder="1" applyAlignment="1" applyProtection="1">
      <alignment vertical="top" wrapText="1"/>
      <protection locked="0" hidden="1"/>
    </xf>
    <xf numFmtId="0" fontId="9" fillId="0" borderId="0" xfId="41" applyFont="1" applyFill="1" applyBorder="1" applyAlignment="1" applyProtection="1">
      <alignment vertical="top" wrapText="1"/>
      <protection locked="0" hidden="1"/>
    </xf>
    <xf numFmtId="0" fontId="9" fillId="0" borderId="0" xfId="41" applyFont="1" applyFill="1" applyBorder="1" applyAlignment="1" applyProtection="1">
      <alignment vertical="top" wrapText="1"/>
      <protection hidden="1"/>
    </xf>
    <xf numFmtId="0" fontId="9" fillId="0" borderId="0" xfId="41" applyFont="1" applyFill="1" applyAlignment="1" applyProtection="1">
      <alignment vertical="top"/>
      <protection hidden="1"/>
    </xf>
    <xf numFmtId="2" fontId="9" fillId="0" borderId="0" xfId="41" applyNumberFormat="1" applyFont="1" applyFill="1" applyAlignment="1" applyProtection="1">
      <alignment vertical="top" wrapText="1"/>
      <protection locked="0" hidden="1"/>
    </xf>
    <xf numFmtId="0" fontId="104" fillId="0" borderId="0" xfId="41" applyFont="1" applyFill="1" applyBorder="1" applyAlignment="1" applyProtection="1">
      <alignment horizontal="left" vertical="center"/>
      <protection hidden="1"/>
    </xf>
    <xf numFmtId="0" fontId="16" fillId="0" borderId="0" xfId="41" applyFont="1" applyFill="1" applyBorder="1" applyAlignment="1" applyProtection="1">
      <alignment horizontal="center" vertical="center"/>
      <protection hidden="1"/>
    </xf>
    <xf numFmtId="0" fontId="7" fillId="0" borderId="0" xfId="41" applyFill="1" applyBorder="1" applyAlignment="1" applyProtection="1">
      <alignment horizontal="center" vertical="center"/>
      <protection hidden="1"/>
    </xf>
    <xf numFmtId="168" fontId="7" fillId="0" borderId="0" xfId="41" applyNumberFormat="1" applyFill="1" applyBorder="1" applyAlignment="1" applyProtection="1">
      <alignment horizontal="center" vertical="center"/>
      <protection hidden="1"/>
    </xf>
    <xf numFmtId="168" fontId="33" fillId="0" borderId="0" xfId="41" applyNumberFormat="1" applyFont="1" applyFill="1" applyBorder="1" applyAlignment="1" applyProtection="1">
      <alignment horizontal="center" vertical="center"/>
      <protection hidden="1"/>
    </xf>
    <xf numFmtId="0" fontId="16" fillId="0" borderId="0" xfId="41" applyFont="1" applyFill="1" applyBorder="1" applyProtection="1">
      <protection hidden="1"/>
    </xf>
    <xf numFmtId="168" fontId="7" fillId="0" borderId="0" xfId="41" applyNumberFormat="1" applyFill="1" applyBorder="1" applyAlignment="1" applyProtection="1">
      <alignment horizontal="center"/>
      <protection hidden="1"/>
    </xf>
    <xf numFmtId="0" fontId="9" fillId="0" borderId="0" xfId="41" applyFont="1" applyFill="1" applyAlignment="1" applyProtection="1">
      <alignment vertical="center"/>
      <protection hidden="1"/>
    </xf>
    <xf numFmtId="0" fontId="9" fillId="0" borderId="0" xfId="41" applyFont="1" applyFill="1" applyAlignment="1" applyProtection="1">
      <alignment horizontal="left" vertical="top"/>
      <protection hidden="1"/>
    </xf>
    <xf numFmtId="165" fontId="9" fillId="0" borderId="0" xfId="41" applyNumberFormat="1" applyFont="1" applyFill="1" applyAlignment="1" applyProtection="1">
      <alignment vertical="top" wrapText="1"/>
      <protection hidden="1"/>
    </xf>
    <xf numFmtId="2" fontId="9" fillId="0" borderId="0" xfId="41" applyNumberFormat="1" applyFont="1" applyFill="1" applyBorder="1" applyAlignment="1" applyProtection="1">
      <alignment vertical="top" wrapText="1"/>
      <protection locked="0" hidden="1"/>
    </xf>
    <xf numFmtId="0" fontId="9" fillId="0" borderId="0" xfId="41" applyFont="1" applyFill="1" applyBorder="1" applyAlignment="1" applyProtection="1">
      <alignment vertical="center" wrapText="1"/>
      <protection locked="0" hidden="1"/>
    </xf>
    <xf numFmtId="0" fontId="7" fillId="0" borderId="0" xfId="41" applyFont="1" applyFill="1" applyAlignment="1" applyProtection="1">
      <alignment vertical="top" wrapText="1"/>
      <protection hidden="1"/>
    </xf>
    <xf numFmtId="166" fontId="7" fillId="0" borderId="18" xfId="41" applyNumberFormat="1" applyFont="1" applyFill="1" applyBorder="1" applyAlignment="1" applyProtection="1">
      <alignment horizontal="center" vertical="top" wrapText="1"/>
      <protection locked="0" hidden="1"/>
    </xf>
    <xf numFmtId="166" fontId="7" fillId="0" borderId="10" xfId="41" applyNumberFormat="1" applyFont="1" applyFill="1" applyBorder="1" applyAlignment="1" applyProtection="1">
      <alignment horizontal="center" vertical="top" wrapText="1"/>
      <protection locked="0" hidden="1"/>
    </xf>
    <xf numFmtId="2" fontId="7" fillId="0" borderId="10" xfId="41" applyNumberFormat="1" applyFont="1" applyFill="1" applyBorder="1" applyAlignment="1" applyProtection="1">
      <alignment horizontal="center" vertical="top" wrapText="1"/>
      <protection locked="0" hidden="1"/>
    </xf>
    <xf numFmtId="166" fontId="7" fillId="0" borderId="10" xfId="41" applyNumberFormat="1" applyFont="1" applyFill="1" applyBorder="1" applyAlignment="1" applyProtection="1">
      <alignment horizontal="center" vertical="top" wrapText="1"/>
      <protection hidden="1"/>
    </xf>
    <xf numFmtId="2" fontId="7" fillId="0" borderId="19" xfId="41" applyNumberFormat="1" applyFont="1" applyFill="1" applyBorder="1" applyAlignment="1" applyProtection="1">
      <alignment horizontal="center" vertical="top" wrapText="1"/>
      <protection hidden="1"/>
    </xf>
    <xf numFmtId="2" fontId="7" fillId="0" borderId="10" xfId="41" applyNumberFormat="1" applyFont="1" applyFill="1" applyBorder="1" applyAlignment="1" applyProtection="1">
      <alignment horizontal="center" vertical="top"/>
      <protection locked="0" hidden="1"/>
    </xf>
    <xf numFmtId="2" fontId="7" fillId="0" borderId="10" xfId="41" applyNumberFormat="1" applyFont="1" applyFill="1" applyBorder="1" applyAlignment="1" applyProtection="1">
      <alignment horizontal="center" vertical="top"/>
      <protection hidden="1"/>
    </xf>
    <xf numFmtId="166" fontId="7" fillId="0" borderId="45" xfId="41" applyNumberFormat="1" applyFont="1" applyFill="1" applyBorder="1" applyAlignment="1" applyProtection="1">
      <alignment horizontal="center" vertical="top" wrapText="1"/>
      <protection locked="0" hidden="1"/>
    </xf>
    <xf numFmtId="166" fontId="7" fillId="0" borderId="46" xfId="41" applyNumberFormat="1" applyFont="1" applyFill="1" applyBorder="1" applyAlignment="1" applyProtection="1">
      <alignment horizontal="center" vertical="top" wrapText="1"/>
      <protection locked="0" hidden="1"/>
    </xf>
    <xf numFmtId="166" fontId="7" fillId="0" borderId="46" xfId="41" applyNumberFormat="1" applyFont="1" applyFill="1" applyBorder="1" applyAlignment="1" applyProtection="1">
      <alignment horizontal="center" vertical="top" wrapText="1"/>
      <protection hidden="1"/>
    </xf>
    <xf numFmtId="166" fontId="7" fillId="0" borderId="22" xfId="41" applyNumberFormat="1" applyFont="1" applyFill="1" applyBorder="1" applyAlignment="1" applyProtection="1">
      <alignment horizontal="center" vertical="top" wrapText="1"/>
      <protection hidden="1"/>
    </xf>
    <xf numFmtId="0" fontId="7" fillId="0" borderId="10" xfId="41" applyFill="1" applyBorder="1" applyProtection="1">
      <protection locked="0" hidden="1"/>
    </xf>
    <xf numFmtId="0" fontId="7" fillId="0" borderId="19" xfId="41" applyFill="1" applyBorder="1" applyProtection="1">
      <protection locked="0" hidden="1"/>
    </xf>
    <xf numFmtId="0" fontId="7" fillId="0" borderId="18" xfId="41" applyFont="1" applyFill="1" applyBorder="1" applyProtection="1">
      <protection locked="0" hidden="1"/>
    </xf>
    <xf numFmtId="0" fontId="7" fillId="0" borderId="18" xfId="41" applyNumberFormat="1" applyFont="1" applyFill="1" applyBorder="1" applyAlignment="1" applyProtection="1">
      <alignment horizontal="center" vertical="top" wrapText="1"/>
      <protection locked="0" hidden="1"/>
    </xf>
    <xf numFmtId="0" fontId="7" fillId="0" borderId="12" xfId="41" applyNumberFormat="1" applyFont="1" applyFill="1" applyBorder="1" applyAlignment="1" applyProtection="1">
      <alignment horizontal="center" vertical="top" wrapText="1"/>
      <protection locked="0" hidden="1"/>
    </xf>
    <xf numFmtId="0" fontId="7" fillId="0" borderId="45" xfId="41" applyFont="1" applyFill="1" applyBorder="1" applyProtection="1">
      <protection locked="0" hidden="1"/>
    </xf>
    <xf numFmtId="0" fontId="7" fillId="0" borderId="46" xfId="41" applyFill="1" applyBorder="1" applyProtection="1">
      <protection locked="0" hidden="1"/>
    </xf>
    <xf numFmtId="0" fontId="9" fillId="0" borderId="18" xfId="41" applyFont="1" applyFill="1" applyBorder="1" applyAlignment="1" applyProtection="1">
      <alignment vertical="top" wrapText="1"/>
      <protection locked="0" hidden="1"/>
    </xf>
    <xf numFmtId="0" fontId="9" fillId="0" borderId="45" xfId="41" applyFont="1" applyFill="1" applyBorder="1" applyAlignment="1" applyProtection="1">
      <alignment vertical="top" wrapText="1"/>
      <protection locked="0" hidden="1"/>
    </xf>
    <xf numFmtId="171" fontId="9" fillId="0" borderId="0" xfId="41" applyNumberFormat="1" applyFont="1" applyFill="1" applyAlignment="1" applyProtection="1">
      <alignment vertical="top" wrapText="1"/>
      <protection hidden="1"/>
    </xf>
    <xf numFmtId="0" fontId="7" fillId="0" borderId="10" xfId="41" applyFont="1" applyFill="1" applyBorder="1" applyAlignment="1" applyProtection="1">
      <alignment horizontal="center" vertical="top"/>
      <protection locked="0" hidden="1"/>
    </xf>
    <xf numFmtId="2" fontId="9" fillId="0" borderId="0" xfId="41" applyNumberFormat="1" applyFont="1" applyFill="1" applyAlignment="1" applyProtection="1">
      <alignment vertical="top" wrapText="1"/>
      <protection hidden="1"/>
    </xf>
    <xf numFmtId="0" fontId="16" fillId="0" borderId="0" xfId="41" applyFont="1" applyFill="1" applyBorder="1" applyAlignment="1" applyProtection="1">
      <alignment horizontal="center" vertical="top" wrapText="1"/>
      <protection hidden="1"/>
    </xf>
    <xf numFmtId="0" fontId="7" fillId="0" borderId="0" xfId="41" applyFont="1" applyFill="1" applyBorder="1" applyAlignment="1" applyProtection="1">
      <alignment vertical="top" wrapText="1"/>
      <protection hidden="1"/>
    </xf>
    <xf numFmtId="0" fontId="16" fillId="0" borderId="110" xfId="41" applyFont="1" applyFill="1" applyBorder="1" applyAlignment="1" applyProtection="1">
      <alignment horizontal="center" vertical="top" wrapText="1"/>
      <protection locked="0" hidden="1"/>
    </xf>
    <xf numFmtId="0" fontId="16" fillId="0" borderId="71" xfId="41" applyFont="1" applyFill="1" applyBorder="1" applyAlignment="1" applyProtection="1">
      <alignment horizontal="center" vertical="top" wrapText="1"/>
      <protection locked="0" hidden="1"/>
    </xf>
    <xf numFmtId="0" fontId="7" fillId="0" borderId="21" xfId="41" applyFont="1" applyFill="1" applyBorder="1" applyAlignment="1" applyProtection="1">
      <alignment vertical="top" wrapText="1"/>
      <protection hidden="1"/>
    </xf>
    <xf numFmtId="0" fontId="16" fillId="0" borderId="21" xfId="41" applyFont="1" applyFill="1" applyBorder="1" applyAlignment="1" applyProtection="1">
      <alignment horizontal="center"/>
      <protection hidden="1"/>
    </xf>
    <xf numFmtId="0" fontId="16" fillId="0" borderId="25" xfId="41" applyFont="1" applyFill="1" applyBorder="1" applyAlignment="1" applyProtection="1">
      <alignment horizontal="center" vertical="top" wrapText="1"/>
      <protection hidden="1"/>
    </xf>
    <xf numFmtId="0" fontId="9" fillId="0" borderId="0" xfId="41" applyFont="1" applyFill="1" applyBorder="1" applyAlignment="1" applyProtection="1">
      <alignment vertical="top"/>
      <protection locked="0" hidden="1"/>
    </xf>
    <xf numFmtId="0" fontId="9" fillId="0" borderId="0" xfId="41" applyFont="1" applyFill="1" applyBorder="1" applyAlignment="1" applyProtection="1">
      <alignment vertical="top"/>
      <protection hidden="1"/>
    </xf>
    <xf numFmtId="0" fontId="16" fillId="0" borderId="71" xfId="42" applyFont="1" applyFill="1" applyBorder="1" applyAlignment="1" applyProtection="1">
      <alignment horizontal="center" vertical="top" wrapText="1"/>
      <protection hidden="1"/>
    </xf>
    <xf numFmtId="0" fontId="16" fillId="0" borderId="0" xfId="42" applyFont="1" applyFill="1" applyBorder="1" applyAlignment="1" applyProtection="1">
      <alignment horizontal="center" vertical="top" wrapText="1"/>
      <protection hidden="1"/>
    </xf>
    <xf numFmtId="0" fontId="7" fillId="0" borderId="0" xfId="42" applyFont="1" applyFill="1" applyBorder="1" applyAlignment="1" applyProtection="1">
      <alignment vertical="top" wrapText="1"/>
      <protection hidden="1"/>
    </xf>
    <xf numFmtId="0" fontId="16" fillId="0" borderId="88" xfId="42" applyFont="1" applyFill="1" applyBorder="1" applyAlignment="1" applyProtection="1">
      <alignment horizontal="center" vertical="top" wrapText="1"/>
      <protection locked="0" hidden="1"/>
    </xf>
    <xf numFmtId="0" fontId="7" fillId="0" borderId="73" xfId="42" applyFont="1" applyFill="1" applyBorder="1" applyAlignment="1" applyProtection="1">
      <alignment horizontal="center" vertical="top" wrapText="1"/>
      <protection locked="0" hidden="1"/>
    </xf>
    <xf numFmtId="0" fontId="7" fillId="0" borderId="71" xfId="42" applyFont="1" applyFill="1" applyBorder="1" applyAlignment="1" applyProtection="1">
      <alignment horizontal="center" vertical="top" wrapText="1"/>
      <protection locked="0" hidden="1"/>
    </xf>
    <xf numFmtId="0" fontId="7" fillId="0" borderId="0" xfId="42" applyFont="1" applyFill="1" applyBorder="1" applyAlignment="1" applyProtection="1">
      <alignment horizontal="center" vertical="top" wrapText="1"/>
      <protection locked="0" hidden="1"/>
    </xf>
    <xf numFmtId="0" fontId="7" fillId="0" borderId="39" xfId="42" applyFont="1" applyFill="1" applyBorder="1" applyAlignment="1" applyProtection="1">
      <alignment horizontal="center"/>
      <protection hidden="1"/>
    </xf>
    <xf numFmtId="0" fontId="7" fillId="0" borderId="0" xfId="42" applyFont="1" applyFill="1" applyBorder="1" applyAlignment="1" applyProtection="1">
      <alignment horizontal="center"/>
      <protection hidden="1"/>
    </xf>
    <xf numFmtId="9" fontId="16" fillId="0" borderId="88" xfId="42" applyNumberFormat="1" applyFont="1" applyFill="1" applyBorder="1" applyAlignment="1" applyProtection="1">
      <alignment horizontal="center" vertical="top" wrapText="1"/>
      <protection locked="0" hidden="1"/>
    </xf>
    <xf numFmtId="0" fontId="16" fillId="0" borderId="73" xfId="42" applyFont="1" applyFill="1" applyBorder="1" applyAlignment="1" applyProtection="1">
      <alignment horizontal="center" vertical="top" wrapText="1"/>
      <protection hidden="1"/>
    </xf>
    <xf numFmtId="9" fontId="16" fillId="0" borderId="89" xfId="42" applyNumberFormat="1" applyFont="1" applyFill="1" applyBorder="1" applyAlignment="1" applyProtection="1">
      <alignment horizontal="center" vertical="top" wrapText="1"/>
      <protection locked="0" hidden="1"/>
    </xf>
    <xf numFmtId="0" fontId="7" fillId="0" borderId="24" xfId="42" applyFont="1" applyFill="1" applyBorder="1" applyAlignment="1" applyProtection="1">
      <alignment horizontal="center" vertical="top" wrapText="1"/>
      <protection locked="0" hidden="1"/>
    </xf>
    <xf numFmtId="0" fontId="7" fillId="0" borderId="111" xfId="42" applyFont="1" applyFill="1" applyBorder="1" applyAlignment="1" applyProtection="1">
      <alignment horizontal="center" vertical="top" wrapText="1"/>
      <protection hidden="1"/>
    </xf>
    <xf numFmtId="0" fontId="7" fillId="0" borderId="0" xfId="42" applyFont="1" applyFill="1" applyBorder="1" applyAlignment="1" applyProtection="1">
      <alignment horizontal="center" vertical="top" wrapText="1"/>
      <protection hidden="1"/>
    </xf>
    <xf numFmtId="0" fontId="7" fillId="0" borderId="0" xfId="42" applyFont="1" applyFill="1" applyAlignment="1" applyProtection="1">
      <alignment vertical="top" wrapText="1"/>
      <protection locked="0" hidden="1"/>
    </xf>
    <xf numFmtId="0" fontId="7" fillId="0" borderId="0" xfId="42" applyFont="1" applyFill="1" applyAlignment="1" applyProtection="1">
      <alignment vertical="top" wrapText="1"/>
      <protection hidden="1"/>
    </xf>
    <xf numFmtId="0" fontId="14" fillId="0" borderId="0" xfId="41" applyFont="1" applyFill="1" applyAlignment="1" applyProtection="1">
      <alignment horizontal="center" vertical="top" wrapText="1"/>
      <protection hidden="1"/>
    </xf>
    <xf numFmtId="0" fontId="127" fillId="0" borderId="47" xfId="41" applyFont="1" applyFill="1" applyBorder="1" applyAlignment="1" applyProtection="1">
      <alignment horizontal="center" vertical="top" wrapText="1"/>
      <protection hidden="1"/>
    </xf>
    <xf numFmtId="2" fontId="9" fillId="0" borderId="43" xfId="41" applyNumberFormat="1" applyFont="1" applyFill="1" applyBorder="1" applyAlignment="1" applyProtection="1">
      <alignment vertical="top" wrapText="1"/>
      <protection locked="0" hidden="1"/>
    </xf>
    <xf numFmtId="0" fontId="9" fillId="0" borderId="21" xfId="41" applyFont="1" applyFill="1" applyBorder="1" applyAlignment="1" applyProtection="1">
      <alignment vertical="top"/>
      <protection hidden="1"/>
    </xf>
    <xf numFmtId="0" fontId="127" fillId="0" borderId="18" xfId="41" applyFont="1" applyFill="1" applyBorder="1" applyAlignment="1" applyProtection="1">
      <alignment horizontal="center" vertical="top" wrapText="1"/>
      <protection hidden="1"/>
    </xf>
    <xf numFmtId="2" fontId="9" fillId="0" borderId="10" xfId="41" applyNumberFormat="1" applyFont="1" applyFill="1" applyBorder="1" applyAlignment="1" applyProtection="1">
      <alignment vertical="top" wrapText="1"/>
      <protection locked="0" hidden="1"/>
    </xf>
    <xf numFmtId="0" fontId="9" fillId="0" borderId="0" xfId="41" applyFont="1" applyFill="1" applyBorder="1" applyAlignment="1" applyProtection="1">
      <alignment horizontal="center" vertical="top" wrapText="1"/>
      <protection locked="0" hidden="1"/>
    </xf>
    <xf numFmtId="0" fontId="9" fillId="0" borderId="10" xfId="41" applyFont="1" applyFill="1" applyBorder="1" applyAlignment="1" applyProtection="1">
      <alignment vertical="center" wrapText="1"/>
      <protection locked="0" hidden="1"/>
    </xf>
    <xf numFmtId="0" fontId="9" fillId="0" borderId="0" xfId="41" applyFont="1" applyFill="1" applyBorder="1" applyAlignment="1" applyProtection="1">
      <alignment horizontal="center" vertical="center" wrapText="1"/>
      <protection locked="0" hidden="1"/>
    </xf>
    <xf numFmtId="0" fontId="14" fillId="0" borderId="20" xfId="41" applyFont="1" applyFill="1" applyBorder="1" applyAlignment="1" applyProtection="1">
      <alignment horizontal="center" vertical="top" wrapText="1"/>
      <protection hidden="1"/>
    </xf>
    <xf numFmtId="0" fontId="128" fillId="0" borderId="13" xfId="41" applyFont="1" applyFill="1" applyBorder="1" applyAlignment="1" applyProtection="1">
      <alignment vertical="top" wrapText="1"/>
      <protection locked="0" hidden="1"/>
    </xf>
    <xf numFmtId="0" fontId="128" fillId="0" borderId="44" xfId="41" applyFont="1" applyFill="1" applyBorder="1" applyAlignment="1" applyProtection="1">
      <alignment horizontal="center" vertical="top"/>
      <protection locked="0" hidden="1"/>
    </xf>
    <xf numFmtId="0" fontId="128" fillId="0" borderId="14" xfId="41" applyFont="1" applyFill="1" applyBorder="1" applyAlignment="1" applyProtection="1">
      <alignment horizontal="center" vertical="top"/>
      <protection hidden="1"/>
    </xf>
    <xf numFmtId="0" fontId="128" fillId="0" borderId="0" xfId="41" applyFont="1" applyFill="1" applyAlignment="1" applyProtection="1">
      <alignment vertical="top"/>
      <protection hidden="1"/>
    </xf>
    <xf numFmtId="0" fontId="128" fillId="0" borderId="0" xfId="41" applyFont="1" applyFill="1" applyAlignment="1" applyProtection="1">
      <alignment vertical="top" wrapText="1"/>
      <protection hidden="1"/>
    </xf>
    <xf numFmtId="0" fontId="9" fillId="0" borderId="112" xfId="41" applyFont="1" applyFill="1" applyBorder="1" applyAlignment="1" applyProtection="1">
      <alignment horizontal="center" vertical="top" wrapText="1"/>
      <protection locked="0" hidden="1"/>
    </xf>
    <xf numFmtId="0" fontId="9" fillId="0" borderId="112" xfId="41" applyFont="1" applyFill="1" applyBorder="1" applyAlignment="1" applyProtection="1">
      <alignment horizontal="center" vertical="top"/>
      <protection locked="0" hidden="1"/>
    </xf>
    <xf numFmtId="0" fontId="9" fillId="0" borderId="112" xfId="41" applyFont="1" applyFill="1" applyBorder="1" applyAlignment="1" applyProtection="1">
      <alignment horizontal="center" vertical="top"/>
      <protection hidden="1"/>
    </xf>
    <xf numFmtId="0" fontId="9" fillId="0" borderId="113" xfId="41" applyFont="1" applyFill="1" applyBorder="1" applyAlignment="1" applyProtection="1">
      <alignment horizontal="center" vertical="top"/>
      <protection hidden="1"/>
    </xf>
    <xf numFmtId="0" fontId="14" fillId="0" borderId="0" xfId="41" applyFont="1" applyFill="1" applyBorder="1" applyAlignment="1" applyProtection="1">
      <alignment horizontal="center" vertical="top" wrapText="1"/>
      <protection hidden="1"/>
    </xf>
    <xf numFmtId="0" fontId="127" fillId="0" borderId="0" xfId="41" applyFont="1" applyFill="1" applyBorder="1" applyAlignment="1" applyProtection="1">
      <alignment horizontal="center" vertical="top" wrapText="1"/>
      <protection hidden="1"/>
    </xf>
    <xf numFmtId="0" fontId="128" fillId="0" borderId="0" xfId="41" applyFont="1" applyFill="1" applyBorder="1" applyAlignment="1" applyProtection="1">
      <alignment vertical="top" wrapText="1"/>
      <protection locked="0" hidden="1"/>
    </xf>
    <xf numFmtId="2" fontId="128" fillId="0" borderId="0" xfId="41" applyNumberFormat="1" applyFont="1" applyFill="1" applyBorder="1" applyAlignment="1" applyProtection="1">
      <alignment vertical="top" wrapText="1"/>
      <protection locked="0" hidden="1"/>
    </xf>
    <xf numFmtId="0" fontId="128" fillId="0" borderId="0" xfId="41" applyFont="1" applyFill="1" applyBorder="1" applyAlignment="1" applyProtection="1">
      <alignment horizontal="center" vertical="top"/>
      <protection locked="0" hidden="1"/>
    </xf>
    <xf numFmtId="0" fontId="128" fillId="0" borderId="0" xfId="41" applyFont="1" applyFill="1" applyBorder="1" applyAlignment="1" applyProtection="1">
      <alignment horizontal="center" vertical="top"/>
      <protection hidden="1"/>
    </xf>
    <xf numFmtId="0" fontId="128" fillId="0" borderId="0" xfId="41" applyFont="1" applyFill="1" applyBorder="1" applyAlignment="1" applyProtection="1">
      <alignment horizontal="center" vertical="top" wrapText="1"/>
      <protection locked="0" hidden="1"/>
    </xf>
    <xf numFmtId="2" fontId="9" fillId="0" borderId="0" xfId="41" applyNumberFormat="1" applyFont="1" applyFill="1" applyBorder="1" applyAlignment="1" applyProtection="1">
      <alignment horizontal="center" vertical="top" wrapText="1"/>
      <protection locked="0" hidden="1"/>
    </xf>
    <xf numFmtId="0" fontId="9" fillId="0" borderId="0" xfId="41" applyFont="1" applyFill="1" applyBorder="1" applyAlignment="1" applyProtection="1">
      <alignment horizontal="center" vertical="top"/>
      <protection locked="0" hidden="1"/>
    </xf>
    <xf numFmtId="0" fontId="9" fillId="0" borderId="0" xfId="41" applyFont="1" applyFill="1" applyBorder="1" applyAlignment="1" applyProtection="1">
      <alignment horizontal="center" vertical="top"/>
      <protection hidden="1"/>
    </xf>
    <xf numFmtId="0" fontId="85" fillId="0" borderId="0" xfId="41" applyFont="1" applyFill="1" applyAlignment="1" applyProtection="1">
      <alignment horizontal="left" vertical="top" wrapText="1"/>
      <protection hidden="1"/>
    </xf>
    <xf numFmtId="0" fontId="9" fillId="31" borderId="49" xfId="41" applyFont="1" applyFill="1" applyBorder="1" applyAlignment="1" applyProtection="1">
      <alignment vertical="top" wrapText="1"/>
      <protection locked="0" hidden="1"/>
    </xf>
    <xf numFmtId="0" fontId="9" fillId="31" borderId="53" xfId="41" applyFont="1" applyFill="1" applyBorder="1" applyAlignment="1" applyProtection="1">
      <alignment vertical="top" wrapText="1"/>
      <protection locked="0" hidden="1"/>
    </xf>
    <xf numFmtId="0" fontId="9" fillId="31" borderId="53" xfId="41" applyFont="1" applyFill="1" applyBorder="1" applyAlignment="1" applyProtection="1">
      <alignment horizontal="center" vertical="center" wrapText="1"/>
      <protection locked="0" hidden="1"/>
    </xf>
    <xf numFmtId="0" fontId="9" fillId="31" borderId="33" xfId="41" applyFont="1" applyFill="1" applyBorder="1" applyAlignment="1" applyProtection="1">
      <alignment horizontal="center" vertical="center" wrapText="1"/>
      <protection locked="0" hidden="1"/>
    </xf>
    <xf numFmtId="0" fontId="128" fillId="0" borderId="0" xfId="41" applyFont="1" applyFill="1" applyAlignment="1" applyProtection="1">
      <alignment horizontal="right" vertical="center" wrapText="1"/>
      <protection locked="0" hidden="1"/>
    </xf>
    <xf numFmtId="0" fontId="128" fillId="0" borderId="49" xfId="41" applyNumberFormat="1" applyFont="1" applyFill="1" applyBorder="1" applyAlignment="1" applyProtection="1">
      <alignment horizontal="center" vertical="center"/>
      <protection locked="0" hidden="1"/>
    </xf>
    <xf numFmtId="0" fontId="128" fillId="0" borderId="49" xfId="41" applyFont="1" applyFill="1" applyBorder="1" applyAlignment="1" applyProtection="1">
      <alignment horizontal="center" vertical="center" wrapText="1"/>
      <protection locked="0" hidden="1"/>
    </xf>
    <xf numFmtId="0" fontId="128" fillId="0" borderId="53" xfId="41" applyNumberFormat="1" applyFont="1" applyFill="1" applyBorder="1" applyAlignment="1" applyProtection="1">
      <alignment horizontal="center" vertical="center" wrapText="1"/>
      <protection locked="0" hidden="1"/>
    </xf>
    <xf numFmtId="0" fontId="9" fillId="31" borderId="114" xfId="41" applyNumberFormat="1" applyFont="1" applyFill="1" applyBorder="1" applyAlignment="1" applyProtection="1">
      <alignment horizontal="center" vertical="center"/>
      <protection locked="0" hidden="1"/>
    </xf>
    <xf numFmtId="1" fontId="9" fillId="32" borderId="114" xfId="41" applyNumberFormat="1" applyFont="1" applyFill="1" applyBorder="1" applyAlignment="1" applyProtection="1">
      <alignment horizontal="center" vertical="top" wrapText="1"/>
      <protection locked="0" hidden="1"/>
    </xf>
    <xf numFmtId="166" fontId="9" fillId="32" borderId="115" xfId="41" applyNumberFormat="1" applyFont="1" applyFill="1" applyBorder="1" applyAlignment="1" applyProtection="1">
      <alignment horizontal="center" vertical="top" wrapText="1"/>
      <protection locked="0" hidden="1"/>
    </xf>
    <xf numFmtId="0" fontId="9" fillId="31" borderId="56" xfId="41" applyNumberFormat="1" applyFont="1" applyFill="1" applyBorder="1" applyAlignment="1" applyProtection="1">
      <alignment horizontal="center" vertical="center"/>
      <protection locked="0" hidden="1"/>
    </xf>
    <xf numFmtId="1" fontId="9" fillId="32" borderId="56" xfId="41" applyNumberFormat="1" applyFont="1" applyFill="1" applyBorder="1" applyAlignment="1" applyProtection="1">
      <alignment horizontal="center" vertical="top" wrapText="1"/>
      <protection locked="0" hidden="1"/>
    </xf>
    <xf numFmtId="166" fontId="9" fillId="32" borderId="11" xfId="41" applyNumberFormat="1" applyFont="1" applyFill="1" applyBorder="1" applyAlignment="1" applyProtection="1">
      <alignment horizontal="center" vertical="top" wrapText="1"/>
      <protection locked="0" hidden="1"/>
    </xf>
    <xf numFmtId="0" fontId="9" fillId="31" borderId="57" xfId="41" applyNumberFormat="1" applyFont="1" applyFill="1" applyBorder="1" applyAlignment="1" applyProtection="1">
      <alignment horizontal="center" vertical="center"/>
      <protection locked="0" hidden="1"/>
    </xf>
    <xf numFmtId="1" fontId="9" fillId="32" borderId="57" xfId="41" applyNumberFormat="1" applyFont="1" applyFill="1" applyBorder="1" applyAlignment="1" applyProtection="1">
      <alignment horizontal="center" vertical="top" wrapText="1"/>
      <protection locked="0" hidden="1"/>
    </xf>
    <xf numFmtId="166" fontId="9" fillId="32" borderId="12" xfId="41" applyNumberFormat="1" applyFont="1" applyFill="1" applyBorder="1" applyAlignment="1" applyProtection="1">
      <alignment horizontal="center" vertical="top" wrapText="1"/>
      <protection locked="0" hidden="1"/>
    </xf>
    <xf numFmtId="0" fontId="128" fillId="32" borderId="53" xfId="41" applyFont="1" applyFill="1" applyBorder="1" applyAlignment="1" applyProtection="1">
      <alignment horizontal="center" vertical="center" wrapText="1"/>
      <protection locked="0" hidden="1"/>
    </xf>
    <xf numFmtId="0" fontId="9" fillId="32" borderId="114" xfId="41" applyFont="1" applyFill="1" applyBorder="1" applyAlignment="1" applyProtection="1">
      <alignment horizontal="center" vertical="top" wrapText="1"/>
      <protection locked="0" hidden="1"/>
    </xf>
    <xf numFmtId="0" fontId="9" fillId="32" borderId="56" xfId="41" applyFont="1" applyFill="1" applyBorder="1" applyAlignment="1" applyProtection="1">
      <alignment horizontal="center" vertical="top" wrapText="1"/>
      <protection locked="0" hidden="1"/>
    </xf>
    <xf numFmtId="0" fontId="9" fillId="32" borderId="57" xfId="41" applyFont="1" applyFill="1" applyBorder="1" applyAlignment="1" applyProtection="1">
      <alignment horizontal="center" vertical="top" wrapText="1"/>
      <protection locked="0" hidden="1"/>
    </xf>
    <xf numFmtId="0" fontId="9" fillId="32" borderId="116" xfId="41" applyFont="1" applyFill="1" applyBorder="1" applyAlignment="1" applyProtection="1">
      <alignment horizontal="center" vertical="top" wrapText="1"/>
      <protection locked="0" hidden="1"/>
    </xf>
    <xf numFmtId="0" fontId="9" fillId="32" borderId="80" xfId="41" applyFont="1" applyFill="1" applyBorder="1" applyAlignment="1" applyProtection="1">
      <alignment horizontal="center" vertical="top" wrapText="1"/>
      <protection locked="0" hidden="1"/>
    </xf>
    <xf numFmtId="0" fontId="9" fillId="32" borderId="81" xfId="41" applyFont="1" applyFill="1" applyBorder="1" applyAlignment="1" applyProtection="1">
      <alignment horizontal="center" vertical="top" wrapText="1"/>
      <protection locked="0" hidden="1"/>
    </xf>
    <xf numFmtId="0" fontId="9" fillId="32" borderId="115" xfId="41" applyNumberFormat="1" applyFont="1" applyFill="1" applyBorder="1" applyAlignment="1" applyProtection="1">
      <alignment horizontal="center" vertical="top" wrapText="1"/>
      <protection locked="0" hidden="1"/>
    </xf>
    <xf numFmtId="0" fontId="9" fillId="32" borderId="11" xfId="41" applyNumberFormat="1" applyFont="1" applyFill="1" applyBorder="1" applyAlignment="1" applyProtection="1">
      <alignment horizontal="center" vertical="top" wrapText="1"/>
      <protection locked="0" hidden="1"/>
    </xf>
    <xf numFmtId="0" fontId="9" fillId="32" borderId="12" xfId="41" applyNumberFormat="1" applyFont="1" applyFill="1" applyBorder="1" applyAlignment="1" applyProtection="1">
      <alignment horizontal="center" vertical="top" wrapText="1"/>
      <protection locked="0" hidden="1"/>
    </xf>
    <xf numFmtId="0" fontId="9" fillId="32" borderId="53" xfId="41" applyFont="1" applyFill="1" applyBorder="1" applyAlignment="1" applyProtection="1">
      <alignment vertical="top" wrapText="1"/>
      <protection locked="0" hidden="1"/>
    </xf>
    <xf numFmtId="0" fontId="128" fillId="0" borderId="49" xfId="41" applyFont="1" applyFill="1" applyBorder="1" applyAlignment="1" applyProtection="1">
      <alignment horizontal="center" vertical="top" wrapText="1"/>
      <protection locked="0" hidden="1"/>
    </xf>
    <xf numFmtId="10" fontId="128" fillId="0" borderId="53" xfId="41" applyNumberFormat="1" applyFont="1" applyFill="1" applyBorder="1" applyAlignment="1" applyProtection="1">
      <alignment horizontal="center" vertical="top" wrapText="1"/>
      <protection locked="0" hidden="1"/>
    </xf>
    <xf numFmtId="0" fontId="128" fillId="0" borderId="76" xfId="41" applyFont="1" applyFill="1" applyBorder="1" applyAlignment="1" applyProtection="1">
      <alignment horizontal="center" vertical="top" wrapText="1"/>
      <protection locked="0" hidden="1"/>
    </xf>
    <xf numFmtId="0" fontId="9" fillId="32" borderId="49" xfId="41" applyNumberFormat="1" applyFont="1" applyFill="1" applyBorder="1" applyAlignment="1" applyProtection="1">
      <alignment vertical="center" wrapText="1"/>
      <protection locked="0" hidden="1"/>
    </xf>
    <xf numFmtId="0" fontId="9" fillId="32" borderId="76" xfId="41" applyFont="1" applyFill="1" applyBorder="1" applyAlignment="1" applyProtection="1">
      <alignment vertical="top" wrapText="1"/>
      <protection locked="0" hidden="1"/>
    </xf>
    <xf numFmtId="0" fontId="9" fillId="32" borderId="53" xfId="41" applyNumberFormat="1" applyFont="1" applyFill="1" applyBorder="1" applyAlignment="1" applyProtection="1">
      <alignment vertical="top" wrapText="1"/>
      <protection locked="0" hidden="1"/>
    </xf>
    <xf numFmtId="0" fontId="9" fillId="20" borderId="53" xfId="41" applyNumberFormat="1" applyFont="1" applyFill="1" applyBorder="1" applyAlignment="1" applyProtection="1">
      <alignment vertical="center" wrapText="1"/>
      <protection locked="0" hidden="1"/>
    </xf>
    <xf numFmtId="0" fontId="9" fillId="31" borderId="53" xfId="41" applyFont="1" applyFill="1" applyBorder="1" applyAlignment="1" applyProtection="1">
      <alignment vertical="top"/>
      <protection locked="0" hidden="1"/>
    </xf>
    <xf numFmtId="0" fontId="9" fillId="0" borderId="13" xfId="41" applyFont="1" applyFill="1" applyBorder="1" applyAlignment="1" applyProtection="1">
      <alignment vertical="top" wrapText="1"/>
      <protection locked="0" hidden="1"/>
    </xf>
    <xf numFmtId="0" fontId="9" fillId="32" borderId="114" xfId="41" applyFont="1" applyFill="1" applyBorder="1" applyAlignment="1" applyProtection="1">
      <alignment horizontal="center" vertical="center" wrapText="1"/>
      <protection locked="0" hidden="1"/>
    </xf>
    <xf numFmtId="0" fontId="9" fillId="32" borderId="115" xfId="41" applyNumberFormat="1" applyFont="1" applyFill="1" applyBorder="1" applyAlignment="1" applyProtection="1">
      <alignment horizontal="center" vertical="center" wrapText="1"/>
      <protection locked="0" hidden="1"/>
    </xf>
    <xf numFmtId="0" fontId="9" fillId="32" borderId="116" xfId="41" applyFont="1" applyFill="1" applyBorder="1" applyAlignment="1" applyProtection="1">
      <alignment horizontal="center" vertical="center" wrapText="1"/>
      <protection locked="0" hidden="1"/>
    </xf>
    <xf numFmtId="0" fontId="9" fillId="32" borderId="56" xfId="41" applyFont="1" applyFill="1" applyBorder="1" applyAlignment="1" applyProtection="1">
      <alignment horizontal="center" vertical="center" wrapText="1"/>
      <protection locked="0" hidden="1"/>
    </xf>
    <xf numFmtId="0" fontId="9" fillId="32" borderId="57" xfId="41" applyFont="1" applyFill="1" applyBorder="1" applyAlignment="1" applyProtection="1">
      <alignment horizontal="center" vertical="center" wrapText="1"/>
      <protection locked="0" hidden="1"/>
    </xf>
    <xf numFmtId="0" fontId="9" fillId="32" borderId="21" xfId="41" applyFont="1" applyFill="1" applyBorder="1" applyAlignment="1" applyProtection="1">
      <alignment horizontal="center" vertical="center" wrapText="1"/>
      <protection locked="0" hidden="1"/>
    </xf>
    <xf numFmtId="0" fontId="128" fillId="33" borderId="53" xfId="41" applyFont="1" applyFill="1" applyBorder="1" applyAlignment="1" applyProtection="1">
      <alignment horizontal="center" vertical="center" wrapText="1"/>
      <protection locked="0" hidden="1"/>
    </xf>
    <xf numFmtId="0" fontId="9" fillId="32" borderId="54" xfId="41" applyNumberFormat="1" applyFont="1" applyFill="1" applyBorder="1" applyAlignment="1" applyProtection="1">
      <alignment horizontal="center" vertical="center"/>
      <protection locked="0" hidden="1"/>
    </xf>
    <xf numFmtId="0" fontId="9" fillId="32" borderId="114" xfId="41" applyNumberFormat="1" applyFont="1" applyFill="1" applyBorder="1" applyAlignment="1" applyProtection="1">
      <alignment horizontal="center" vertical="center"/>
      <protection locked="0" hidden="1"/>
    </xf>
    <xf numFmtId="0" fontId="9" fillId="32" borderId="23" xfId="41" applyNumberFormat="1" applyFont="1" applyFill="1" applyBorder="1" applyAlignment="1" applyProtection="1">
      <alignment horizontal="center" vertical="center"/>
      <protection locked="0" hidden="1"/>
    </xf>
    <xf numFmtId="2" fontId="9" fillId="32" borderId="55" xfId="41" applyNumberFormat="1" applyFont="1" applyFill="1" applyBorder="1" applyAlignment="1" applyProtection="1">
      <alignment horizontal="center" vertical="center" wrapText="1"/>
      <protection locked="0" hidden="1"/>
    </xf>
    <xf numFmtId="0" fontId="9" fillId="32" borderId="79" xfId="41" applyFont="1" applyFill="1" applyBorder="1" applyAlignment="1" applyProtection="1">
      <alignment horizontal="center" vertical="center" wrapText="1"/>
      <protection locked="0" hidden="1"/>
    </xf>
    <xf numFmtId="2" fontId="9" fillId="32" borderId="115" xfId="41" applyNumberFormat="1" applyFont="1" applyFill="1" applyBorder="1" applyAlignment="1" applyProtection="1">
      <alignment horizontal="center" vertical="center" wrapText="1"/>
      <protection locked="0" hidden="1"/>
    </xf>
    <xf numFmtId="0" fontId="9" fillId="32" borderId="25" xfId="41" applyFont="1" applyFill="1" applyBorder="1" applyAlignment="1" applyProtection="1">
      <alignment horizontal="center" vertical="center" wrapText="1"/>
      <protection locked="0" hidden="1"/>
    </xf>
    <xf numFmtId="2" fontId="9" fillId="32" borderId="35" xfId="41" applyNumberFormat="1" applyFont="1" applyFill="1" applyBorder="1" applyAlignment="1" applyProtection="1">
      <alignment horizontal="center" vertical="center" wrapText="1"/>
      <protection locked="0" hidden="1"/>
    </xf>
    <xf numFmtId="2" fontId="9" fillId="33" borderId="53" xfId="41" applyNumberFormat="1" applyFont="1" applyFill="1" applyBorder="1" applyAlignment="1" applyProtection="1">
      <alignment horizontal="center" vertical="center" wrapText="1"/>
      <protection locked="0" hidden="1"/>
    </xf>
    <xf numFmtId="0" fontId="128" fillId="0" borderId="0" xfId="41" applyFont="1" applyFill="1" applyAlignment="1" applyProtection="1">
      <alignment horizontal="left" vertical="center" wrapText="1"/>
      <protection locked="0" hidden="1"/>
    </xf>
    <xf numFmtId="0" fontId="9" fillId="31" borderId="18" xfId="41" applyFont="1" applyFill="1" applyBorder="1" applyAlignment="1" applyProtection="1">
      <alignment vertical="center" wrapText="1"/>
      <protection locked="0" hidden="1"/>
    </xf>
    <xf numFmtId="0" fontId="9" fillId="31" borderId="45" xfId="41" applyFont="1" applyFill="1" applyBorder="1" applyAlignment="1" applyProtection="1">
      <alignment vertical="center" wrapText="1"/>
      <protection locked="0" hidden="1"/>
    </xf>
    <xf numFmtId="0" fontId="9" fillId="31" borderId="47" xfId="41" applyFont="1" applyFill="1" applyBorder="1" applyAlignment="1" applyProtection="1">
      <alignment vertical="center" wrapText="1"/>
      <protection locked="0" hidden="1"/>
    </xf>
    <xf numFmtId="0" fontId="9" fillId="31" borderId="40" xfId="41" applyFont="1" applyFill="1" applyBorder="1" applyAlignment="1" applyProtection="1">
      <alignment vertical="center" wrapText="1"/>
      <protection locked="0" hidden="1"/>
    </xf>
    <xf numFmtId="0" fontId="9" fillId="31" borderId="61" xfId="41" applyFont="1" applyFill="1" applyBorder="1" applyAlignment="1" applyProtection="1">
      <alignment vertical="center" wrapText="1"/>
      <protection locked="0" hidden="1"/>
    </xf>
    <xf numFmtId="0" fontId="9" fillId="31" borderId="117" xfId="41" applyFont="1" applyFill="1" applyBorder="1" applyAlignment="1" applyProtection="1">
      <alignment vertical="center" wrapText="1"/>
      <protection locked="0" hidden="1"/>
    </xf>
    <xf numFmtId="0" fontId="144" fillId="0" borderId="0" xfId="44" applyAlignment="1">
      <alignment horizontal="center" vertical="center"/>
    </xf>
    <xf numFmtId="0" fontId="9" fillId="0" borderId="13" xfId="41" applyFont="1" applyFill="1" applyBorder="1" applyAlignment="1" applyProtection="1">
      <alignment vertical="top"/>
      <protection locked="0" hidden="1"/>
    </xf>
    <xf numFmtId="0" fontId="9" fillId="0" borderId="18" xfId="41" applyFont="1" applyFill="1" applyBorder="1" applyAlignment="1" applyProtection="1">
      <alignment vertical="top"/>
      <protection locked="0" hidden="1"/>
    </xf>
    <xf numFmtId="0" fontId="9" fillId="0" borderId="45" xfId="41" applyFont="1" applyFill="1" applyBorder="1" applyAlignment="1" applyProtection="1">
      <alignment vertical="top"/>
      <protection locked="0" hidden="1"/>
    </xf>
    <xf numFmtId="0" fontId="15" fillId="0" borderId="0" xfId="41" applyFont="1" applyFill="1" applyBorder="1" applyAlignment="1" applyProtection="1">
      <alignment vertical="top"/>
      <protection locked="0" hidden="1"/>
    </xf>
    <xf numFmtId="0" fontId="15" fillId="0" borderId="15" xfId="41" applyFont="1" applyFill="1" applyBorder="1" applyAlignment="1" applyProtection="1">
      <alignment vertical="top"/>
      <protection locked="0" hidden="1"/>
    </xf>
    <xf numFmtId="0" fontId="9" fillId="0" borderId="16" xfId="41" applyFont="1" applyFill="1" applyBorder="1" applyAlignment="1" applyProtection="1">
      <alignment vertical="top" wrapText="1"/>
      <protection locked="0" hidden="1"/>
    </xf>
    <xf numFmtId="0" fontId="15" fillId="0" borderId="20" xfId="41" applyFont="1" applyFill="1" applyBorder="1" applyAlignment="1" applyProtection="1">
      <alignment vertical="top"/>
      <protection locked="0" hidden="1"/>
    </xf>
    <xf numFmtId="0" fontId="15" fillId="0" borderId="0" xfId="41" applyFont="1" applyFill="1" applyBorder="1" applyAlignment="1" applyProtection="1">
      <alignment horizontal="center" vertical="top"/>
      <protection locked="0" hidden="1"/>
    </xf>
    <xf numFmtId="0" fontId="9" fillId="0" borderId="0" xfId="41" applyFont="1" applyFill="1" applyBorder="1" applyAlignment="1" applyProtection="1">
      <alignment vertical="center" wrapText="1"/>
      <protection hidden="1"/>
    </xf>
    <xf numFmtId="0" fontId="9" fillId="0" borderId="21" xfId="41" applyFont="1" applyFill="1" applyBorder="1" applyAlignment="1" applyProtection="1">
      <alignment vertical="center" wrapText="1"/>
      <protection hidden="1"/>
    </xf>
    <xf numFmtId="0" fontId="9" fillId="0" borderId="21" xfId="41" applyFont="1" applyFill="1" applyBorder="1" applyAlignment="1" applyProtection="1">
      <alignment vertical="top" wrapText="1"/>
      <protection hidden="1"/>
    </xf>
    <xf numFmtId="0" fontId="15" fillId="0" borderId="16" xfId="41" applyFont="1" applyFill="1" applyBorder="1" applyAlignment="1" applyProtection="1">
      <alignment horizontal="center" vertical="top"/>
      <protection locked="0" hidden="1"/>
    </xf>
    <xf numFmtId="0" fontId="15" fillId="0" borderId="16" xfId="41" applyFont="1" applyFill="1" applyBorder="1" applyAlignment="1" applyProtection="1">
      <alignment vertical="top"/>
      <protection locked="0" hidden="1"/>
    </xf>
    <xf numFmtId="0" fontId="9" fillId="0" borderId="16" xfId="41" applyFont="1" applyFill="1" applyBorder="1" applyAlignment="1" applyProtection="1">
      <alignment vertical="center" wrapText="1"/>
      <protection hidden="1"/>
    </xf>
    <xf numFmtId="0" fontId="9" fillId="0" borderId="17" xfId="41" applyFont="1" applyFill="1" applyBorder="1" applyAlignment="1" applyProtection="1">
      <alignment vertical="center" wrapText="1"/>
      <protection hidden="1"/>
    </xf>
    <xf numFmtId="0" fontId="7" fillId="0" borderId="18" xfId="41" applyFont="1" applyFill="1" applyBorder="1" applyAlignment="1" applyProtection="1">
      <alignment horizontal="center" vertical="top" wrapText="1"/>
      <protection locked="0" hidden="1"/>
    </xf>
    <xf numFmtId="0" fontId="7" fillId="0" borderId="0" xfId="41" applyFont="1" applyFill="1" applyBorder="1" applyAlignment="1" applyProtection="1">
      <alignment horizontal="center" vertical="top"/>
      <protection locked="0" hidden="1"/>
    </xf>
    <xf numFmtId="0" fontId="7" fillId="0" borderId="45" xfId="41" applyFont="1" applyFill="1" applyBorder="1" applyAlignment="1" applyProtection="1">
      <alignment horizontal="center" vertical="top" wrapText="1"/>
      <protection locked="0" hidden="1"/>
    </xf>
    <xf numFmtId="0" fontId="7" fillId="0" borderId="46" xfId="41" applyFont="1" applyFill="1" applyBorder="1" applyAlignment="1" applyProtection="1">
      <alignment horizontal="center" vertical="top"/>
      <protection locked="0" hidden="1"/>
    </xf>
    <xf numFmtId="0" fontId="7" fillId="0" borderId="47" xfId="41" applyFont="1" applyFill="1" applyBorder="1" applyAlignment="1" applyProtection="1">
      <alignment horizontal="center" vertical="top" wrapText="1"/>
      <protection locked="0" hidden="1"/>
    </xf>
    <xf numFmtId="0" fontId="7" fillId="0" borderId="43" xfId="41" applyFont="1" applyFill="1" applyBorder="1" applyAlignment="1" applyProtection="1">
      <alignment horizontal="center" vertical="top"/>
      <protection locked="0" hidden="1"/>
    </xf>
    <xf numFmtId="0" fontId="9" fillId="0" borderId="89" xfId="41" applyFont="1" applyFill="1" applyBorder="1" applyAlignment="1" applyProtection="1">
      <alignment vertical="top"/>
      <protection locked="0" hidden="1"/>
    </xf>
    <xf numFmtId="0" fontId="7" fillId="0" borderId="72" xfId="41" applyNumberFormat="1" applyFont="1" applyFill="1" applyBorder="1" applyAlignment="1" applyProtection="1">
      <alignment horizontal="center" vertical="top" wrapText="1"/>
      <protection locked="0" hidden="1"/>
    </xf>
    <xf numFmtId="0" fontId="7" fillId="0" borderId="45" xfId="41" applyNumberFormat="1" applyFont="1" applyFill="1" applyBorder="1" applyAlignment="1" applyProtection="1">
      <alignment horizontal="center" vertical="top" wrapText="1"/>
      <protection locked="0" hidden="1"/>
    </xf>
    <xf numFmtId="0" fontId="7" fillId="0" borderId="13" xfId="41" applyNumberFormat="1" applyFont="1" applyFill="1" applyBorder="1" applyAlignment="1" applyProtection="1">
      <alignment horizontal="center" vertical="top" wrapText="1"/>
      <protection locked="0" hidden="1"/>
    </xf>
    <xf numFmtId="166" fontId="7" fillId="0" borderId="13" xfId="41" applyNumberFormat="1" applyFont="1" applyFill="1" applyBorder="1" applyAlignment="1" applyProtection="1">
      <alignment horizontal="center" vertical="top" wrapText="1"/>
      <protection locked="0" hidden="1"/>
    </xf>
    <xf numFmtId="166" fontId="7" fillId="0" borderId="44" xfId="41" applyNumberFormat="1" applyFont="1" applyFill="1" applyBorder="1" applyAlignment="1" applyProtection="1">
      <alignment horizontal="center" vertical="top" wrapText="1"/>
      <protection locked="0" hidden="1"/>
    </xf>
    <xf numFmtId="2" fontId="7" fillId="0" borderId="44" xfId="41" applyNumberFormat="1" applyFont="1" applyFill="1" applyBorder="1" applyAlignment="1" applyProtection="1">
      <alignment horizontal="center" vertical="top" wrapText="1"/>
      <protection locked="0" hidden="1"/>
    </xf>
    <xf numFmtId="166" fontId="7" fillId="0" borderId="44" xfId="41" applyNumberFormat="1" applyFont="1" applyFill="1" applyBorder="1" applyAlignment="1" applyProtection="1">
      <alignment horizontal="center" vertical="top" wrapText="1"/>
      <protection hidden="1"/>
    </xf>
    <xf numFmtId="2" fontId="7" fillId="0" borderId="14" xfId="41" applyNumberFormat="1" applyFont="1" applyFill="1" applyBorder="1" applyAlignment="1" applyProtection="1">
      <alignment horizontal="center" vertical="top" wrapText="1"/>
      <protection hidden="1"/>
    </xf>
    <xf numFmtId="0" fontId="9" fillId="34" borderId="44" xfId="41" applyFont="1" applyFill="1" applyBorder="1" applyAlignment="1" applyProtection="1">
      <alignment vertical="top"/>
      <protection locked="0" hidden="1"/>
    </xf>
    <xf numFmtId="0" fontId="9" fillId="34" borderId="10" xfId="41" applyFont="1" applyFill="1" applyBorder="1" applyAlignment="1" applyProtection="1">
      <alignment vertical="top"/>
      <protection locked="0" hidden="1"/>
    </xf>
    <xf numFmtId="0" fontId="9" fillId="34" borderId="10" xfId="41" applyFont="1" applyFill="1" applyBorder="1" applyAlignment="1" applyProtection="1">
      <alignment horizontal="right" vertical="top"/>
      <protection locked="0" hidden="1"/>
    </xf>
    <xf numFmtId="9" fontId="9" fillId="34" borderId="10" xfId="41" applyNumberFormat="1" applyFont="1" applyFill="1" applyBorder="1" applyAlignment="1" applyProtection="1">
      <alignment vertical="top"/>
      <protection locked="0" hidden="1"/>
    </xf>
    <xf numFmtId="0" fontId="9" fillId="34" borderId="46" xfId="41" applyFont="1" applyFill="1" applyBorder="1" applyAlignment="1" applyProtection="1">
      <alignment vertical="top"/>
      <protection locked="0" hidden="1"/>
    </xf>
    <xf numFmtId="0" fontId="7" fillId="34" borderId="48" xfId="41" applyFont="1" applyFill="1" applyBorder="1" applyAlignment="1" applyProtection="1">
      <alignment horizontal="center" vertical="top" wrapText="1"/>
      <protection locked="0" hidden="1"/>
    </xf>
    <xf numFmtId="0" fontId="7" fillId="34" borderId="19" xfId="41" applyFont="1" applyFill="1" applyBorder="1" applyAlignment="1" applyProtection="1">
      <alignment horizontal="center" vertical="top" wrapText="1"/>
      <protection locked="0" hidden="1"/>
    </xf>
    <xf numFmtId="0" fontId="7" fillId="34" borderId="22" xfId="41" applyFont="1" applyFill="1" applyBorder="1" applyAlignment="1" applyProtection="1">
      <alignment horizontal="center" vertical="top" wrapText="1"/>
      <protection locked="0" hidden="1"/>
    </xf>
    <xf numFmtId="0" fontId="9" fillId="34" borderId="10" xfId="41" applyFont="1" applyFill="1" applyBorder="1" applyAlignment="1" applyProtection="1">
      <alignment horizontal="center" vertical="top" wrapText="1"/>
      <protection locked="0" hidden="1"/>
    </xf>
    <xf numFmtId="165" fontId="9" fillId="34" borderId="10" xfId="41" applyNumberFormat="1" applyFont="1" applyFill="1" applyBorder="1" applyAlignment="1" applyProtection="1">
      <alignment horizontal="center" vertical="top" wrapText="1"/>
      <protection locked="0" hidden="1"/>
    </xf>
    <xf numFmtId="0" fontId="9" fillId="34" borderId="19" xfId="41" applyFont="1" applyFill="1" applyBorder="1" applyAlignment="1" applyProtection="1">
      <alignment horizontal="center" vertical="top" wrapText="1"/>
      <protection locked="0" hidden="1"/>
    </xf>
    <xf numFmtId="165" fontId="9" fillId="0" borderId="55" xfId="41" applyNumberFormat="1" applyFont="1" applyFill="1" applyBorder="1" applyAlignment="1" applyProtection="1">
      <alignment vertical="top" wrapText="1"/>
      <protection locked="0" hidden="1"/>
    </xf>
    <xf numFmtId="165" fontId="9" fillId="0" borderId="12" xfId="41" applyNumberFormat="1" applyFont="1" applyFill="1" applyBorder="1" applyAlignment="1" applyProtection="1">
      <alignment vertical="top" wrapText="1"/>
      <protection locked="0" hidden="1"/>
    </xf>
    <xf numFmtId="0" fontId="9" fillId="35" borderId="11" xfId="41" applyFont="1" applyFill="1" applyBorder="1" applyAlignment="1" applyProtection="1">
      <alignment vertical="top" wrapText="1"/>
      <protection locked="0" hidden="1"/>
    </xf>
    <xf numFmtId="0" fontId="128" fillId="0" borderId="53" xfId="41" applyFont="1" applyFill="1" applyBorder="1" applyAlignment="1" applyProtection="1">
      <alignment horizontal="center" vertical="top" wrapText="1"/>
      <protection locked="0" hidden="1"/>
    </xf>
    <xf numFmtId="165" fontId="9" fillId="32" borderId="12" xfId="41" applyNumberFormat="1" applyFont="1" applyFill="1" applyBorder="1" applyAlignment="1" applyProtection="1">
      <alignment vertical="top" wrapText="1"/>
      <protection locked="0" hidden="1"/>
    </xf>
    <xf numFmtId="0" fontId="9" fillId="24" borderId="20" xfId="41" applyFont="1" applyFill="1" applyBorder="1" applyAlignment="1" applyProtection="1">
      <alignment vertical="top" wrapText="1"/>
      <protection hidden="1"/>
    </xf>
    <xf numFmtId="0" fontId="9" fillId="24" borderId="0" xfId="41" applyFont="1" applyFill="1" applyBorder="1" applyAlignment="1" applyProtection="1">
      <alignment vertical="top" wrapText="1"/>
      <protection hidden="1"/>
    </xf>
    <xf numFmtId="0" fontId="9" fillId="24" borderId="21" xfId="41" applyFont="1" applyFill="1" applyBorder="1" applyAlignment="1" applyProtection="1">
      <alignment vertical="top" wrapText="1"/>
      <protection hidden="1"/>
    </xf>
    <xf numFmtId="0" fontId="9" fillId="24" borderId="0" xfId="41" applyFont="1" applyFill="1" applyBorder="1" applyAlignment="1" applyProtection="1">
      <alignment vertical="top"/>
      <protection hidden="1"/>
    </xf>
    <xf numFmtId="0" fontId="16" fillId="24" borderId="56" xfId="41" applyFont="1" applyFill="1" applyBorder="1" applyProtection="1">
      <protection hidden="1"/>
    </xf>
    <xf numFmtId="0" fontId="16" fillId="24" borderId="62" xfId="41" applyFont="1" applyFill="1" applyBorder="1" applyAlignment="1" applyProtection="1">
      <alignment horizontal="center"/>
      <protection hidden="1"/>
    </xf>
    <xf numFmtId="0" fontId="16" fillId="24" borderId="80" xfId="41" applyFont="1" applyFill="1" applyBorder="1" applyAlignment="1" applyProtection="1">
      <alignment horizontal="center"/>
      <protection hidden="1"/>
    </xf>
    <xf numFmtId="0" fontId="16" fillId="24" borderId="18" xfId="41" applyFont="1" applyFill="1" applyBorder="1" applyProtection="1">
      <protection hidden="1"/>
    </xf>
    <xf numFmtId="0" fontId="7" fillId="24" borderId="10" xfId="41" applyFill="1" applyBorder="1" applyAlignment="1" applyProtection="1">
      <alignment horizontal="center"/>
      <protection hidden="1"/>
    </xf>
    <xf numFmtId="0" fontId="7" fillId="24" borderId="19" xfId="41" applyFill="1" applyBorder="1" applyAlignment="1" applyProtection="1">
      <alignment horizontal="center"/>
      <protection hidden="1"/>
    </xf>
    <xf numFmtId="0" fontId="7" fillId="24" borderId="18" xfId="41" applyFill="1" applyBorder="1" applyProtection="1">
      <protection hidden="1"/>
    </xf>
    <xf numFmtId="168" fontId="7" fillId="24" borderId="10" xfId="41" applyNumberFormat="1" applyFill="1" applyBorder="1" applyAlignment="1" applyProtection="1">
      <alignment horizontal="center"/>
      <protection hidden="1"/>
    </xf>
    <xf numFmtId="168" fontId="7" fillId="24" borderId="19" xfId="41" applyNumberFormat="1" applyFill="1" applyBorder="1" applyAlignment="1" applyProtection="1">
      <alignment horizontal="center"/>
      <protection hidden="1"/>
    </xf>
    <xf numFmtId="170" fontId="7" fillId="24" borderId="18" xfId="41" applyNumberFormat="1" applyFill="1" applyBorder="1" applyProtection="1">
      <protection hidden="1"/>
    </xf>
    <xf numFmtId="0" fontId="173" fillId="24" borderId="10" xfId="41" applyNumberFormat="1" applyFont="1" applyFill="1" applyBorder="1" applyAlignment="1" applyProtection="1">
      <alignment horizontal="center"/>
      <protection hidden="1"/>
    </xf>
    <xf numFmtId="0" fontId="173" fillId="24" borderId="19" xfId="41" applyNumberFormat="1" applyFont="1" applyFill="1" applyBorder="1" applyAlignment="1" applyProtection="1">
      <alignment horizontal="center"/>
      <protection hidden="1"/>
    </xf>
    <xf numFmtId="0" fontId="16" fillId="24" borderId="114" xfId="41" applyFont="1" applyFill="1" applyBorder="1" applyProtection="1">
      <protection hidden="1"/>
    </xf>
    <xf numFmtId="168" fontId="7" fillId="24" borderId="32" xfId="41" applyNumberFormat="1" applyFill="1" applyBorder="1" applyAlignment="1" applyProtection="1">
      <alignment horizontal="center"/>
      <protection hidden="1"/>
    </xf>
    <xf numFmtId="170" fontId="7" fillId="24" borderId="116" xfId="41" applyNumberFormat="1" applyFill="1" applyBorder="1" applyAlignment="1" applyProtection="1">
      <alignment horizontal="center"/>
      <protection hidden="1"/>
    </xf>
    <xf numFmtId="0" fontId="178" fillId="24" borderId="23" xfId="41" applyFont="1" applyFill="1" applyBorder="1" applyAlignment="1" applyProtection="1">
      <alignment vertical="top" wrapText="1"/>
      <protection hidden="1"/>
    </xf>
    <xf numFmtId="0" fontId="178" fillId="24" borderId="24" xfId="41" applyFont="1" applyFill="1" applyBorder="1" applyAlignment="1" applyProtection="1">
      <alignment vertical="top" wrapText="1"/>
      <protection hidden="1"/>
    </xf>
    <xf numFmtId="0" fontId="178" fillId="24" borderId="25" xfId="41" applyFont="1" applyFill="1" applyBorder="1" applyAlignment="1" applyProtection="1">
      <alignment vertical="top" wrapText="1"/>
      <protection hidden="1"/>
    </xf>
    <xf numFmtId="0" fontId="128" fillId="31" borderId="53" xfId="41" applyFont="1" applyFill="1" applyBorder="1" applyAlignment="1" applyProtection="1">
      <alignment horizontal="center" vertical="center" wrapText="1"/>
      <protection locked="0" hidden="1"/>
    </xf>
    <xf numFmtId="0" fontId="128" fillId="0" borderId="0" xfId="41" applyFont="1" applyFill="1" applyAlignment="1" applyProtection="1">
      <alignment vertical="top" wrapText="1"/>
      <protection locked="0" hidden="1"/>
    </xf>
    <xf numFmtId="0" fontId="128" fillId="0" borderId="16" xfId="41" applyFont="1" applyFill="1" applyBorder="1" applyAlignment="1" applyProtection="1">
      <alignment horizontal="left" vertical="center" wrapText="1"/>
      <protection locked="0" hidden="1"/>
    </xf>
    <xf numFmtId="0" fontId="9" fillId="0" borderId="20" xfId="41" applyFont="1" applyFill="1" applyBorder="1" applyAlignment="1" applyProtection="1">
      <alignment vertical="top" wrapText="1"/>
      <protection locked="0" hidden="1"/>
    </xf>
    <xf numFmtId="0" fontId="9" fillId="0" borderId="20" xfId="41" applyFont="1" applyFill="1" applyBorder="1" applyAlignment="1" applyProtection="1">
      <alignment vertical="top"/>
      <protection locked="0" hidden="1"/>
    </xf>
    <xf numFmtId="0" fontId="9" fillId="0" borderId="23" xfId="41" applyFont="1" applyFill="1" applyBorder="1" applyAlignment="1" applyProtection="1">
      <alignment vertical="top" wrapText="1"/>
      <protection locked="0" hidden="1"/>
    </xf>
    <xf numFmtId="0" fontId="9" fillId="0" borderId="24" xfId="41" applyFont="1" applyFill="1" applyBorder="1" applyAlignment="1" applyProtection="1">
      <alignment vertical="top" wrapText="1"/>
      <protection locked="0" hidden="1"/>
    </xf>
    <xf numFmtId="0" fontId="9" fillId="0" borderId="15" xfId="41" applyFont="1" applyFill="1" applyBorder="1" applyAlignment="1" applyProtection="1">
      <alignment vertical="top" wrapText="1"/>
      <protection hidden="1"/>
    </xf>
    <xf numFmtId="0" fontId="9" fillId="0" borderId="16" xfId="41" applyFont="1" applyFill="1" applyBorder="1" applyAlignment="1" applyProtection="1">
      <alignment vertical="top" wrapText="1"/>
      <protection hidden="1"/>
    </xf>
    <xf numFmtId="0" fontId="9" fillId="0" borderId="17" xfId="41" applyFont="1" applyFill="1" applyBorder="1" applyAlignment="1" applyProtection="1">
      <alignment vertical="top" wrapText="1"/>
      <protection hidden="1"/>
    </xf>
    <xf numFmtId="0" fontId="178" fillId="0" borderId="0" xfId="41" applyFont="1" applyFill="1" applyBorder="1" applyAlignment="1" applyProtection="1">
      <alignment vertical="top" wrapText="1"/>
      <protection hidden="1"/>
    </xf>
    <xf numFmtId="0" fontId="9" fillId="0" borderId="23" xfId="41" applyFont="1" applyFill="1" applyBorder="1" applyAlignment="1" applyProtection="1">
      <alignment vertical="top" wrapText="1"/>
      <protection hidden="1"/>
    </xf>
    <xf numFmtId="167" fontId="9" fillId="0" borderId="24" xfId="41" applyNumberFormat="1" applyFont="1" applyFill="1" applyBorder="1" applyAlignment="1" applyProtection="1">
      <alignment vertical="top" wrapText="1"/>
      <protection hidden="1"/>
    </xf>
    <xf numFmtId="0" fontId="9" fillId="0" borderId="25" xfId="41" applyFont="1" applyFill="1" applyBorder="1" applyAlignment="1" applyProtection="1">
      <alignment vertical="top" wrapText="1"/>
      <protection hidden="1"/>
    </xf>
    <xf numFmtId="0" fontId="9" fillId="31" borderId="13" xfId="41" applyFont="1" applyFill="1" applyBorder="1" applyAlignment="1" applyProtection="1">
      <alignment vertical="top" wrapText="1"/>
      <protection locked="0" hidden="1"/>
    </xf>
    <xf numFmtId="0" fontId="9" fillId="31" borderId="18" xfId="41" applyFont="1" applyFill="1" applyBorder="1" applyAlignment="1" applyProtection="1">
      <alignment vertical="top" wrapText="1"/>
      <protection locked="0" hidden="1"/>
    </xf>
    <xf numFmtId="0" fontId="9" fillId="31" borderId="45" xfId="41" applyFont="1" applyFill="1" applyBorder="1" applyAlignment="1" applyProtection="1">
      <alignment vertical="top" wrapText="1"/>
      <protection locked="0" hidden="1"/>
    </xf>
    <xf numFmtId="0" fontId="9" fillId="31" borderId="118" xfId="41" applyFont="1" applyFill="1" applyBorder="1" applyAlignment="1" applyProtection="1">
      <alignment vertical="top" wrapText="1"/>
      <protection locked="0" hidden="1"/>
    </xf>
    <xf numFmtId="0" fontId="9" fillId="31" borderId="61" xfId="41" applyFont="1" applyFill="1" applyBorder="1" applyAlignment="1" applyProtection="1">
      <alignment vertical="top" wrapText="1"/>
      <protection locked="0" hidden="1"/>
    </xf>
    <xf numFmtId="0" fontId="9" fillId="31" borderId="117" xfId="41" applyFont="1" applyFill="1" applyBorder="1" applyAlignment="1" applyProtection="1">
      <alignment vertical="top" wrapText="1"/>
      <protection locked="0" hidden="1"/>
    </xf>
    <xf numFmtId="165" fontId="9" fillId="35" borderId="79" xfId="41" applyNumberFormat="1" applyFont="1" applyFill="1" applyBorder="1" applyAlignment="1" applyProtection="1">
      <alignment vertical="top" wrapText="1"/>
      <protection locked="0" hidden="1"/>
    </xf>
    <xf numFmtId="0" fontId="9" fillId="32" borderId="80" xfId="41" applyFont="1" applyFill="1" applyBorder="1" applyAlignment="1" applyProtection="1">
      <alignment vertical="top" wrapText="1"/>
      <protection locked="0" hidden="1"/>
    </xf>
    <xf numFmtId="166" fontId="9" fillId="32" borderId="80" xfId="41" applyNumberFormat="1" applyFont="1" applyFill="1" applyBorder="1" applyAlignment="1" applyProtection="1">
      <alignment vertical="top" wrapText="1"/>
      <protection locked="0" hidden="1"/>
    </xf>
    <xf numFmtId="0" fontId="9" fillId="0" borderId="0" xfId="41" applyFont="1" applyFill="1" applyAlignment="1" applyProtection="1">
      <alignment horizontal="right" vertical="top" wrapText="1"/>
      <protection locked="0" hidden="1"/>
    </xf>
    <xf numFmtId="0" fontId="9" fillId="35" borderId="55" xfId="41" applyFont="1" applyFill="1" applyBorder="1" applyAlignment="1" applyProtection="1">
      <alignment vertical="top" wrapText="1"/>
      <protection locked="0" hidden="1"/>
    </xf>
    <xf numFmtId="0" fontId="9" fillId="35" borderId="12" xfId="41" applyFont="1" applyFill="1" applyBorder="1" applyAlignment="1" applyProtection="1">
      <alignment vertical="top" wrapText="1"/>
      <protection locked="0" hidden="1"/>
    </xf>
    <xf numFmtId="0" fontId="9" fillId="35" borderId="35" xfId="41" applyFont="1" applyFill="1" applyBorder="1" applyAlignment="1" applyProtection="1">
      <alignment vertical="top" wrapText="1"/>
      <protection locked="0" hidden="1"/>
    </xf>
    <xf numFmtId="0" fontId="9" fillId="32" borderId="54" xfId="41" applyFont="1" applyFill="1" applyBorder="1" applyAlignment="1" applyProtection="1">
      <alignment horizontal="center" vertical="center" wrapText="1"/>
      <protection locked="0" hidden="1"/>
    </xf>
    <xf numFmtId="0" fontId="128" fillId="0" borderId="17" xfId="41" applyFont="1" applyFill="1" applyBorder="1" applyAlignment="1" applyProtection="1">
      <alignment horizontal="center" vertical="center" wrapText="1"/>
      <protection locked="0" hidden="1"/>
    </xf>
    <xf numFmtId="2" fontId="9" fillId="35" borderId="53" xfId="41" applyNumberFormat="1" applyFont="1" applyFill="1" applyBorder="1" applyAlignment="1" applyProtection="1">
      <alignment horizontal="center" vertical="center" wrapText="1"/>
      <protection locked="0" hidden="1"/>
    </xf>
    <xf numFmtId="169" fontId="9" fillId="35" borderId="54" xfId="41" applyNumberFormat="1" applyFont="1" applyFill="1" applyBorder="1" applyAlignment="1" applyProtection="1">
      <alignment vertical="top" wrapText="1"/>
      <protection locked="0" hidden="1"/>
    </xf>
    <xf numFmtId="169" fontId="9" fillId="35" borderId="56" xfId="41" applyNumberFormat="1" applyFont="1" applyFill="1" applyBorder="1" applyAlignment="1" applyProtection="1">
      <alignment vertical="top" wrapText="1"/>
      <protection locked="0" hidden="1"/>
    </xf>
    <xf numFmtId="0" fontId="7" fillId="24" borderId="18" xfId="41" applyFont="1" applyFill="1" applyBorder="1" applyProtection="1">
      <protection hidden="1"/>
    </xf>
    <xf numFmtId="0" fontId="179" fillId="24" borderId="0" xfId="41" applyFont="1" applyFill="1" applyBorder="1" applyAlignment="1" applyProtection="1">
      <alignment vertical="top"/>
      <protection hidden="1"/>
    </xf>
    <xf numFmtId="165" fontId="9" fillId="0" borderId="11" xfId="41" applyNumberFormat="1" applyFont="1" applyFill="1" applyBorder="1" applyAlignment="1" applyProtection="1">
      <alignment vertical="top" wrapText="1"/>
      <protection locked="0" hidden="1"/>
    </xf>
    <xf numFmtId="165" fontId="9" fillId="35" borderId="13" xfId="41" applyNumberFormat="1" applyFont="1" applyFill="1" applyBorder="1" applyAlignment="1" applyProtection="1">
      <alignment horizontal="center" vertical="top" wrapText="1"/>
      <protection locked="0" hidden="1"/>
    </xf>
    <xf numFmtId="0" fontId="9" fillId="0" borderId="0" xfId="41" applyFont="1" applyFill="1" applyBorder="1" applyAlignment="1" applyProtection="1">
      <alignment horizontal="right" vertical="top"/>
      <protection locked="0" hidden="1"/>
    </xf>
    <xf numFmtId="165" fontId="9" fillId="35" borderId="49" xfId="41" applyNumberFormat="1" applyFont="1" applyFill="1" applyBorder="1" applyAlignment="1" applyProtection="1">
      <alignment vertical="top" wrapText="1"/>
      <protection hidden="1"/>
    </xf>
    <xf numFmtId="0" fontId="9" fillId="0" borderId="34" xfId="41" applyFont="1" applyFill="1" applyBorder="1" applyAlignment="1" applyProtection="1">
      <alignment vertical="top" wrapText="1"/>
      <protection hidden="1"/>
    </xf>
    <xf numFmtId="0" fontId="178" fillId="0" borderId="35" xfId="41" applyFont="1" applyFill="1" applyBorder="1" applyAlignment="1" applyProtection="1">
      <alignment vertical="top" wrapText="1"/>
      <protection hidden="1"/>
    </xf>
    <xf numFmtId="0" fontId="9" fillId="0" borderId="0" xfId="41" applyFont="1" applyFill="1" applyAlignment="1" applyProtection="1">
      <alignment wrapText="1"/>
      <protection hidden="1"/>
    </xf>
    <xf numFmtId="169" fontId="9" fillId="0" borderId="0" xfId="41" applyNumberFormat="1" applyFont="1" applyFill="1" applyAlignment="1" applyProtection="1">
      <alignment vertical="top" wrapText="1"/>
      <protection hidden="1"/>
    </xf>
    <xf numFmtId="165" fontId="9" fillId="19" borderId="118" xfId="41" applyNumberFormat="1" applyFont="1" applyFill="1" applyBorder="1" applyAlignment="1" applyProtection="1">
      <alignment horizontal="center" vertical="top" wrapText="1"/>
      <protection locked="0" hidden="1"/>
    </xf>
    <xf numFmtId="2" fontId="9" fillId="35" borderId="12" xfId="41" applyNumberFormat="1" applyFont="1" applyFill="1" applyBorder="1" applyAlignment="1" applyProtection="1">
      <alignment vertical="top" wrapText="1"/>
      <protection locked="0" hidden="1"/>
    </xf>
    <xf numFmtId="0" fontId="9" fillId="0" borderId="0" xfId="41" applyFont="1" applyFill="1" applyAlignment="1" applyProtection="1">
      <alignment horizontal="right" vertical="top"/>
      <protection hidden="1"/>
    </xf>
    <xf numFmtId="165" fontId="9" fillId="32" borderId="53" xfId="41" applyNumberFormat="1" applyFont="1" applyFill="1" applyBorder="1" applyAlignment="1" applyProtection="1">
      <alignment vertical="top" wrapText="1"/>
      <protection hidden="1"/>
    </xf>
    <xf numFmtId="0" fontId="9" fillId="0" borderId="0" xfId="41" applyFont="1" applyFill="1" applyBorder="1" applyAlignment="1" applyProtection="1">
      <alignment horizontal="right" vertical="top" wrapText="1"/>
      <protection hidden="1"/>
    </xf>
    <xf numFmtId="165" fontId="9" fillId="35" borderId="114" xfId="41" applyNumberFormat="1" applyFont="1" applyFill="1" applyBorder="1" applyAlignment="1" applyProtection="1">
      <alignment vertical="top" wrapText="1"/>
      <protection locked="0" hidden="1"/>
    </xf>
    <xf numFmtId="0" fontId="16" fillId="24" borderId="13" xfId="41" applyFont="1" applyFill="1" applyBorder="1" applyAlignment="1" applyProtection="1">
      <alignment horizontal="center"/>
      <protection hidden="1"/>
    </xf>
    <xf numFmtId="0" fontId="16" fillId="24" borderId="44" xfId="41" applyFont="1" applyFill="1" applyBorder="1" applyAlignment="1" applyProtection="1">
      <alignment horizontal="center"/>
      <protection hidden="1"/>
    </xf>
    <xf numFmtId="0" fontId="16" fillId="24" borderId="14" xfId="41" applyFont="1" applyFill="1" applyBorder="1" applyAlignment="1" applyProtection="1">
      <alignment horizontal="center"/>
      <protection hidden="1"/>
    </xf>
    <xf numFmtId="165" fontId="9" fillId="24" borderId="18" xfId="41" applyNumberFormat="1" applyFont="1" applyFill="1" applyBorder="1" applyAlignment="1" applyProtection="1">
      <alignment vertical="top" wrapText="1"/>
      <protection hidden="1"/>
    </xf>
    <xf numFmtId="165" fontId="9" fillId="24" borderId="64" xfId="41" applyNumberFormat="1" applyFont="1" applyFill="1" applyBorder="1" applyAlignment="1" applyProtection="1">
      <alignment vertical="top" wrapText="1"/>
      <protection hidden="1"/>
    </xf>
    <xf numFmtId="165" fontId="9" fillId="24" borderId="80" xfId="41" applyNumberFormat="1" applyFont="1" applyFill="1" applyBorder="1" applyAlignment="1" applyProtection="1">
      <alignment vertical="top" wrapText="1"/>
      <protection hidden="1"/>
    </xf>
    <xf numFmtId="165" fontId="9" fillId="24" borderId="45" xfId="41" applyNumberFormat="1" applyFont="1" applyFill="1" applyBorder="1" applyAlignment="1" applyProtection="1">
      <alignment vertical="top" wrapText="1"/>
      <protection hidden="1"/>
    </xf>
    <xf numFmtId="165" fontId="9" fillId="24" borderId="74" xfId="41" applyNumberFormat="1" applyFont="1" applyFill="1" applyBorder="1" applyAlignment="1" applyProtection="1">
      <alignment vertical="top" wrapText="1"/>
      <protection hidden="1"/>
    </xf>
    <xf numFmtId="165" fontId="9" fillId="24" borderId="81" xfId="41" applyNumberFormat="1" applyFont="1" applyFill="1" applyBorder="1" applyAlignment="1" applyProtection="1">
      <alignment vertical="top" wrapText="1"/>
      <protection hidden="1"/>
    </xf>
    <xf numFmtId="165" fontId="9" fillId="24" borderId="46" xfId="41" applyNumberFormat="1" applyFont="1" applyFill="1" applyBorder="1" applyAlignment="1" applyProtection="1">
      <alignment vertical="top" wrapText="1"/>
      <protection hidden="1"/>
    </xf>
    <xf numFmtId="165" fontId="9" fillId="24" borderId="22" xfId="41" applyNumberFormat="1" applyFont="1" applyFill="1" applyBorder="1" applyAlignment="1" applyProtection="1">
      <alignment vertical="top" wrapText="1"/>
      <protection hidden="1"/>
    </xf>
    <xf numFmtId="165" fontId="9" fillId="24" borderId="13" xfId="41" applyNumberFormat="1" applyFont="1" applyFill="1" applyBorder="1" applyAlignment="1" applyProtection="1">
      <alignment vertical="top" wrapText="1"/>
      <protection hidden="1"/>
    </xf>
    <xf numFmtId="165" fontId="9" fillId="24" borderId="44" xfId="41" applyNumberFormat="1" applyFont="1" applyFill="1" applyBorder="1" applyAlignment="1" applyProtection="1">
      <alignment vertical="top" wrapText="1"/>
      <protection hidden="1"/>
    </xf>
    <xf numFmtId="165" fontId="9" fillId="24" borderId="14" xfId="41" applyNumberFormat="1" applyFont="1" applyFill="1" applyBorder="1" applyAlignment="1" applyProtection="1">
      <alignment vertical="top" wrapText="1"/>
      <protection hidden="1"/>
    </xf>
    <xf numFmtId="165" fontId="9" fillId="0" borderId="55" xfId="41" applyNumberFormat="1" applyFont="1" applyFill="1" applyBorder="1" applyAlignment="1" applyProtection="1">
      <alignment vertical="top" wrapText="1"/>
      <protection hidden="1"/>
    </xf>
    <xf numFmtId="165" fontId="9" fillId="0" borderId="11" xfId="41" applyNumberFormat="1" applyFont="1" applyFill="1" applyBorder="1" applyAlignment="1" applyProtection="1">
      <alignment vertical="top" wrapText="1"/>
      <protection hidden="1"/>
    </xf>
    <xf numFmtId="165" fontId="9" fillId="0" borderId="12" xfId="41" applyNumberFormat="1" applyFont="1" applyFill="1" applyBorder="1" applyAlignment="1" applyProtection="1">
      <alignment vertical="top" wrapText="1"/>
      <protection hidden="1"/>
    </xf>
    <xf numFmtId="165" fontId="9" fillId="18" borderId="55" xfId="41" applyNumberFormat="1" applyFont="1" applyFill="1" applyBorder="1" applyAlignment="1" applyProtection="1">
      <alignment vertical="top" wrapText="1"/>
      <protection hidden="1"/>
    </xf>
    <xf numFmtId="0" fontId="9" fillId="23" borderId="0" xfId="41" applyFont="1" applyFill="1" applyAlignment="1" applyProtection="1">
      <alignment vertical="top"/>
      <protection hidden="1"/>
    </xf>
    <xf numFmtId="169" fontId="9" fillId="35" borderId="53" xfId="41" applyNumberFormat="1" applyFont="1" applyFill="1" applyBorder="1" applyAlignment="1" applyProtection="1">
      <alignment horizontal="center" vertical="center" wrapText="1"/>
      <protection locked="0" hidden="1"/>
    </xf>
    <xf numFmtId="0" fontId="9" fillId="0" borderId="10" xfId="41" applyFont="1" applyFill="1" applyBorder="1" applyAlignment="1" applyProtection="1">
      <alignment vertical="top" wrapText="1"/>
      <protection hidden="1"/>
    </xf>
    <xf numFmtId="10" fontId="9" fillId="0" borderId="10" xfId="41" applyNumberFormat="1" applyFont="1" applyFill="1" applyBorder="1" applyAlignment="1" applyProtection="1">
      <alignment vertical="top" wrapText="1"/>
      <protection hidden="1"/>
    </xf>
    <xf numFmtId="10" fontId="183" fillId="18" borderId="10" xfId="41" applyNumberFormat="1" applyFont="1" applyFill="1" applyBorder="1" applyAlignment="1" applyProtection="1">
      <alignment vertical="top" wrapText="1"/>
      <protection hidden="1"/>
    </xf>
    <xf numFmtId="10" fontId="9" fillId="18" borderId="10" xfId="41" applyNumberFormat="1" applyFont="1" applyFill="1" applyBorder="1" applyAlignment="1" applyProtection="1">
      <alignment vertical="top"/>
      <protection hidden="1"/>
    </xf>
    <xf numFmtId="10" fontId="9" fillId="18" borderId="10" xfId="41" applyNumberFormat="1" applyFont="1" applyFill="1" applyBorder="1" applyAlignment="1" applyProtection="1">
      <alignment vertical="top" wrapText="1"/>
      <protection hidden="1"/>
    </xf>
    <xf numFmtId="3" fontId="9" fillId="0" borderId="10" xfId="41" applyNumberFormat="1" applyFont="1" applyFill="1" applyBorder="1" applyAlignment="1" applyProtection="1">
      <alignment vertical="top"/>
      <protection hidden="1"/>
    </xf>
    <xf numFmtId="0" fontId="9" fillId="0" borderId="61" xfId="41" applyFont="1" applyFill="1" applyBorder="1" applyAlignment="1" applyProtection="1">
      <alignment horizontal="center" vertical="top" wrapText="1"/>
      <protection hidden="1"/>
    </xf>
    <xf numFmtId="0" fontId="135" fillId="23" borderId="0" xfId="48" applyNumberFormat="1" applyFont="1" applyFill="1" applyBorder="1" applyAlignment="1" applyProtection="1">
      <alignment horizontal="left" vertical="center" wrapText="1"/>
      <protection hidden="1"/>
    </xf>
    <xf numFmtId="0" fontId="9" fillId="31" borderId="0" xfId="41" applyFont="1" applyFill="1" applyAlignment="1" applyProtection="1">
      <alignment vertical="top" wrapText="1"/>
      <protection hidden="1"/>
    </xf>
    <xf numFmtId="0" fontId="16" fillId="24" borderId="50" xfId="41" applyFont="1" applyFill="1" applyBorder="1" applyAlignment="1" applyProtection="1">
      <alignment horizontal="center"/>
      <protection hidden="1"/>
    </xf>
    <xf numFmtId="0" fontId="16" fillId="24" borderId="51" xfId="41" applyFont="1" applyFill="1" applyBorder="1" applyAlignment="1" applyProtection="1">
      <alignment horizontal="center"/>
      <protection hidden="1"/>
    </xf>
    <xf numFmtId="0" fontId="16" fillId="24" borderId="52" xfId="41" applyFont="1" applyFill="1" applyBorder="1" applyAlignment="1" applyProtection="1">
      <alignment horizontal="center"/>
      <protection hidden="1"/>
    </xf>
    <xf numFmtId="0" fontId="128" fillId="0" borderId="53" xfId="41" applyFont="1" applyFill="1" applyBorder="1" applyAlignment="1" applyProtection="1">
      <alignment vertical="top"/>
      <protection hidden="1"/>
    </xf>
    <xf numFmtId="0" fontId="9" fillId="0" borderId="13" xfId="41" applyFont="1" applyFill="1" applyBorder="1" applyAlignment="1" applyProtection="1">
      <alignment horizontal="center" vertical="center"/>
      <protection hidden="1"/>
    </xf>
    <xf numFmtId="0" fontId="9" fillId="0" borderId="44" xfId="41" applyFont="1" applyFill="1" applyBorder="1" applyAlignment="1" applyProtection="1">
      <alignment horizontal="center" vertical="center"/>
      <protection hidden="1"/>
    </xf>
    <xf numFmtId="0" fontId="9" fillId="0" borderId="14" xfId="41" applyFont="1" applyFill="1" applyBorder="1" applyAlignment="1" applyProtection="1">
      <alignment horizontal="center" vertical="center"/>
      <protection hidden="1"/>
    </xf>
    <xf numFmtId="0" fontId="9" fillId="0" borderId="45" xfId="41" applyFont="1" applyFill="1" applyBorder="1" applyAlignment="1" applyProtection="1">
      <alignment horizontal="center" vertical="center"/>
      <protection hidden="1"/>
    </xf>
    <xf numFmtId="0" fontId="9" fillId="0" borderId="46" xfId="41" applyFont="1" applyFill="1" applyBorder="1" applyAlignment="1" applyProtection="1">
      <alignment horizontal="center" vertical="center"/>
      <protection hidden="1"/>
    </xf>
    <xf numFmtId="0" fontId="9" fillId="0" borderId="22" xfId="41" applyFont="1" applyFill="1" applyBorder="1" applyAlignment="1" applyProtection="1">
      <alignment horizontal="center" vertical="center"/>
      <protection hidden="1"/>
    </xf>
    <xf numFmtId="0" fontId="9" fillId="0" borderId="55" xfId="41" applyFont="1" applyFill="1" applyBorder="1" applyAlignment="1" applyProtection="1">
      <alignment vertical="top"/>
      <protection hidden="1"/>
    </xf>
    <xf numFmtId="0" fontId="9" fillId="0" borderId="12" xfId="41" applyFont="1" applyFill="1" applyBorder="1" applyAlignment="1" applyProtection="1">
      <alignment vertical="top"/>
      <protection hidden="1"/>
    </xf>
    <xf numFmtId="0" fontId="128" fillId="0" borderId="50" xfId="41" applyFont="1" applyFill="1" applyBorder="1" applyAlignment="1" applyProtection="1">
      <alignment vertical="top"/>
      <protection hidden="1"/>
    </xf>
    <xf numFmtId="0" fontId="128" fillId="0" borderId="51" xfId="41" applyFont="1" applyFill="1" applyBorder="1" applyAlignment="1" applyProtection="1">
      <alignment vertical="top"/>
      <protection hidden="1"/>
    </xf>
    <xf numFmtId="0" fontId="128" fillId="0" borderId="52" xfId="41" applyFont="1" applyFill="1" applyBorder="1" applyAlignment="1" applyProtection="1">
      <alignment vertical="top"/>
      <protection hidden="1"/>
    </xf>
    <xf numFmtId="10" fontId="9" fillId="18" borderId="13" xfId="41" applyNumberFormat="1" applyFont="1" applyFill="1" applyBorder="1" applyAlignment="1" applyProtection="1">
      <alignment vertical="top"/>
      <protection hidden="1"/>
    </xf>
    <xf numFmtId="10" fontId="9" fillId="18" borderId="44" xfId="41" applyNumberFormat="1" applyFont="1" applyFill="1" applyBorder="1" applyAlignment="1" applyProtection="1">
      <alignment vertical="top"/>
      <protection hidden="1"/>
    </xf>
    <xf numFmtId="10" fontId="9" fillId="18" borderId="14" xfId="41" applyNumberFormat="1" applyFont="1" applyFill="1" applyBorder="1" applyAlignment="1" applyProtection="1">
      <alignment vertical="top"/>
      <protection hidden="1"/>
    </xf>
    <xf numFmtId="10" fontId="9" fillId="18" borderId="18" xfId="41" applyNumberFormat="1" applyFont="1" applyFill="1" applyBorder="1" applyAlignment="1" applyProtection="1">
      <alignment vertical="top"/>
      <protection hidden="1"/>
    </xf>
    <xf numFmtId="10" fontId="9" fillId="18" borderId="19" xfId="41" applyNumberFormat="1" applyFont="1" applyFill="1" applyBorder="1" applyAlignment="1" applyProtection="1">
      <alignment vertical="top"/>
      <protection hidden="1"/>
    </xf>
    <xf numFmtId="10" fontId="9" fillId="18" borderId="45" xfId="41" applyNumberFormat="1" applyFont="1" applyFill="1" applyBorder="1" applyAlignment="1" applyProtection="1">
      <alignment vertical="top"/>
      <protection hidden="1"/>
    </xf>
    <xf numFmtId="10" fontId="9" fillId="18" borderId="46" xfId="41" applyNumberFormat="1" applyFont="1" applyFill="1" applyBorder="1" applyAlignment="1" applyProtection="1">
      <alignment vertical="top"/>
      <protection hidden="1"/>
    </xf>
    <xf numFmtId="10" fontId="9" fillId="18" borderId="22" xfId="41" applyNumberFormat="1" applyFont="1" applyFill="1" applyBorder="1" applyAlignment="1" applyProtection="1">
      <alignment vertical="top"/>
      <protection hidden="1"/>
    </xf>
    <xf numFmtId="10" fontId="9" fillId="18" borderId="13" xfId="41" applyNumberFormat="1" applyFont="1" applyFill="1" applyBorder="1" applyAlignment="1" applyProtection="1">
      <alignment vertical="top" wrapText="1"/>
      <protection hidden="1"/>
    </xf>
    <xf numFmtId="10" fontId="9" fillId="18" borderId="44" xfId="41" applyNumberFormat="1" applyFont="1" applyFill="1" applyBorder="1" applyAlignment="1" applyProtection="1">
      <alignment vertical="top" wrapText="1"/>
      <protection hidden="1"/>
    </xf>
    <xf numFmtId="10" fontId="9" fillId="18" borderId="14" xfId="41" applyNumberFormat="1" applyFont="1" applyFill="1" applyBorder="1" applyAlignment="1" applyProtection="1">
      <alignment vertical="top" wrapText="1"/>
      <protection hidden="1"/>
    </xf>
    <xf numFmtId="10" fontId="9" fillId="18" borderId="18" xfId="41" applyNumberFormat="1" applyFont="1" applyFill="1" applyBorder="1" applyAlignment="1" applyProtection="1">
      <alignment vertical="top" wrapText="1"/>
      <protection hidden="1"/>
    </xf>
    <xf numFmtId="10" fontId="9" fillId="18" borderId="19" xfId="41" applyNumberFormat="1" applyFont="1" applyFill="1" applyBorder="1" applyAlignment="1" applyProtection="1">
      <alignment vertical="top" wrapText="1"/>
      <protection hidden="1"/>
    </xf>
    <xf numFmtId="10" fontId="9" fillId="18" borderId="45" xfId="41" applyNumberFormat="1" applyFont="1" applyFill="1" applyBorder="1" applyAlignment="1" applyProtection="1">
      <alignment vertical="top" wrapText="1"/>
      <protection hidden="1"/>
    </xf>
    <xf numFmtId="10" fontId="9" fillId="18" borderId="46" xfId="41" applyNumberFormat="1" applyFont="1" applyFill="1" applyBorder="1" applyAlignment="1" applyProtection="1">
      <alignment vertical="top" wrapText="1"/>
      <protection hidden="1"/>
    </xf>
    <xf numFmtId="10" fontId="9" fillId="18" borderId="22" xfId="41" applyNumberFormat="1" applyFont="1" applyFill="1" applyBorder="1" applyAlignment="1" applyProtection="1">
      <alignment vertical="top" wrapText="1"/>
      <protection hidden="1"/>
    </xf>
    <xf numFmtId="0" fontId="9" fillId="35" borderId="61" xfId="41" applyFont="1" applyFill="1" applyBorder="1" applyAlignment="1" applyProtection="1">
      <alignment horizontal="center" vertical="top" wrapText="1"/>
      <protection hidden="1"/>
    </xf>
    <xf numFmtId="10" fontId="9" fillId="0" borderId="13" xfId="41" applyNumberFormat="1" applyFont="1" applyFill="1" applyBorder="1" applyAlignment="1" applyProtection="1">
      <alignment vertical="top" wrapText="1"/>
      <protection hidden="1"/>
    </xf>
    <xf numFmtId="10" fontId="9" fillId="0" borderId="44" xfId="41" applyNumberFormat="1" applyFont="1" applyFill="1" applyBorder="1" applyAlignment="1" applyProtection="1">
      <alignment vertical="top" wrapText="1"/>
      <protection hidden="1"/>
    </xf>
    <xf numFmtId="10" fontId="9" fillId="0" borderId="14" xfId="41" applyNumberFormat="1" applyFont="1" applyFill="1" applyBorder="1" applyAlignment="1" applyProtection="1">
      <alignment vertical="top" wrapText="1"/>
      <protection hidden="1"/>
    </xf>
    <xf numFmtId="10" fontId="9" fillId="0" borderId="18" xfId="41" applyNumberFormat="1" applyFont="1" applyFill="1" applyBorder="1" applyAlignment="1" applyProtection="1">
      <alignment vertical="top" wrapText="1"/>
      <protection hidden="1"/>
    </xf>
    <xf numFmtId="10" fontId="9" fillId="0" borderId="19" xfId="41" applyNumberFormat="1" applyFont="1" applyFill="1" applyBorder="1" applyAlignment="1" applyProtection="1">
      <alignment vertical="top" wrapText="1"/>
      <protection hidden="1"/>
    </xf>
    <xf numFmtId="10" fontId="9" fillId="0" borderId="45" xfId="41" applyNumberFormat="1" applyFont="1" applyFill="1" applyBorder="1" applyAlignment="1" applyProtection="1">
      <alignment vertical="top" wrapText="1"/>
      <protection hidden="1"/>
    </xf>
    <xf numFmtId="10" fontId="9" fillId="0" borderId="46" xfId="41" applyNumberFormat="1" applyFont="1" applyFill="1" applyBorder="1" applyAlignment="1" applyProtection="1">
      <alignment vertical="top" wrapText="1"/>
      <protection hidden="1"/>
    </xf>
    <xf numFmtId="10" fontId="9" fillId="0" borderId="22" xfId="41" applyNumberFormat="1" applyFont="1" applyFill="1" applyBorder="1" applyAlignment="1" applyProtection="1">
      <alignment vertical="top" wrapText="1"/>
      <protection hidden="1"/>
    </xf>
    <xf numFmtId="10" fontId="183" fillId="18" borderId="13" xfId="41" applyNumberFormat="1" applyFont="1" applyFill="1" applyBorder="1" applyAlignment="1" applyProtection="1">
      <alignment vertical="top" wrapText="1"/>
      <protection hidden="1"/>
    </xf>
    <xf numFmtId="10" fontId="183" fillId="18" borderId="44" xfId="41" applyNumberFormat="1" applyFont="1" applyFill="1" applyBorder="1" applyAlignment="1" applyProtection="1">
      <alignment vertical="top" wrapText="1"/>
      <protection hidden="1"/>
    </xf>
    <xf numFmtId="10" fontId="183" fillId="18" borderId="14" xfId="41" applyNumberFormat="1" applyFont="1" applyFill="1" applyBorder="1" applyAlignment="1" applyProtection="1">
      <alignment vertical="top" wrapText="1"/>
      <protection hidden="1"/>
    </xf>
    <xf numFmtId="10" fontId="183" fillId="18" borderId="18" xfId="41" applyNumberFormat="1" applyFont="1" applyFill="1" applyBorder="1" applyAlignment="1" applyProtection="1">
      <alignment vertical="top" wrapText="1"/>
      <protection hidden="1"/>
    </xf>
    <xf numFmtId="10" fontId="183" fillId="18" borderId="19" xfId="41" applyNumberFormat="1" applyFont="1" applyFill="1" applyBorder="1" applyAlignment="1" applyProtection="1">
      <alignment vertical="top" wrapText="1"/>
      <protection hidden="1"/>
    </xf>
    <xf numFmtId="10" fontId="183" fillId="18" borderId="45" xfId="41" applyNumberFormat="1" applyFont="1" applyFill="1" applyBorder="1" applyAlignment="1" applyProtection="1">
      <alignment vertical="top" wrapText="1"/>
      <protection hidden="1"/>
    </xf>
    <xf numFmtId="10" fontId="183" fillId="18" borderId="46" xfId="41" applyNumberFormat="1" applyFont="1" applyFill="1" applyBorder="1" applyAlignment="1" applyProtection="1">
      <alignment vertical="top" wrapText="1"/>
      <protection hidden="1"/>
    </xf>
    <xf numFmtId="10" fontId="183" fillId="18" borderId="22" xfId="41" applyNumberFormat="1" applyFont="1" applyFill="1" applyBorder="1" applyAlignment="1" applyProtection="1">
      <alignment vertical="top" wrapText="1"/>
      <protection hidden="1"/>
    </xf>
    <xf numFmtId="0" fontId="9" fillId="0" borderId="73" xfId="41" applyFont="1" applyFill="1" applyBorder="1" applyAlignment="1" applyProtection="1">
      <alignment vertical="top" wrapText="1"/>
      <protection hidden="1"/>
    </xf>
    <xf numFmtId="3" fontId="9" fillId="35" borderId="55" xfId="41" applyNumberFormat="1" applyFont="1" applyFill="1" applyBorder="1" applyAlignment="1" applyProtection="1">
      <alignment vertical="top" wrapText="1"/>
      <protection hidden="1"/>
    </xf>
    <xf numFmtId="3" fontId="9" fillId="35" borderId="11" xfId="41" applyNumberFormat="1" applyFont="1" applyFill="1" applyBorder="1" applyAlignment="1" applyProtection="1">
      <alignment vertical="top" wrapText="1"/>
      <protection hidden="1"/>
    </xf>
    <xf numFmtId="0" fontId="9" fillId="0" borderId="55" xfId="41" applyFont="1" applyFill="1" applyBorder="1" applyAlignment="1" applyProtection="1">
      <alignment vertical="top" wrapText="1"/>
      <protection hidden="1"/>
    </xf>
    <xf numFmtId="0" fontId="9" fillId="0" borderId="11" xfId="41" applyFont="1" applyFill="1" applyBorder="1" applyAlignment="1" applyProtection="1">
      <alignment vertical="top" wrapText="1"/>
      <protection hidden="1"/>
    </xf>
    <xf numFmtId="0" fontId="9" fillId="0" borderId="80" xfId="41" applyFont="1" applyFill="1" applyBorder="1" applyAlignment="1" applyProtection="1">
      <alignment vertical="top" wrapText="1"/>
      <protection hidden="1"/>
    </xf>
    <xf numFmtId="2" fontId="9" fillId="0" borderId="80" xfId="41" applyNumberFormat="1" applyFont="1" applyFill="1" applyBorder="1" applyAlignment="1" applyProtection="1">
      <alignment vertical="top" wrapText="1"/>
      <protection hidden="1"/>
    </xf>
    <xf numFmtId="168" fontId="9" fillId="0" borderId="81" xfId="41" applyNumberFormat="1" applyFont="1" applyFill="1" applyBorder="1" applyAlignment="1" applyProtection="1">
      <alignment vertical="top" wrapText="1"/>
      <protection hidden="1"/>
    </xf>
    <xf numFmtId="166" fontId="9" fillId="0" borderId="11" xfId="41" applyNumberFormat="1" applyFont="1" applyFill="1" applyBorder="1" applyAlignment="1" applyProtection="1">
      <alignment vertical="top" wrapText="1"/>
      <protection hidden="1"/>
    </xf>
    <xf numFmtId="168" fontId="9" fillId="0" borderId="11" xfId="41" applyNumberFormat="1" applyFont="1" applyFill="1" applyBorder="1" applyAlignment="1" applyProtection="1">
      <alignment vertical="top" wrapText="1"/>
      <protection hidden="1"/>
    </xf>
    <xf numFmtId="0" fontId="177" fillId="0" borderId="11" xfId="41" applyNumberFormat="1" applyFont="1" applyFill="1" applyBorder="1" applyAlignment="1" applyProtection="1">
      <alignment vertical="top" wrapText="1"/>
      <protection hidden="1"/>
    </xf>
    <xf numFmtId="9" fontId="16" fillId="0" borderId="12" xfId="41" applyNumberFormat="1" applyFont="1" applyFill="1" applyBorder="1" applyAlignment="1" applyProtection="1">
      <alignment horizontal="right"/>
      <protection hidden="1"/>
    </xf>
    <xf numFmtId="0" fontId="9" fillId="0" borderId="116" xfId="41" applyFont="1" applyFill="1" applyBorder="1" applyAlignment="1" applyProtection="1">
      <alignment vertical="top" wrapText="1"/>
      <protection hidden="1"/>
    </xf>
    <xf numFmtId="0" fontId="9" fillId="0" borderId="53" xfId="41" applyFont="1" applyFill="1" applyBorder="1" applyAlignment="1" applyProtection="1">
      <alignment vertical="top" wrapText="1"/>
      <protection hidden="1"/>
    </xf>
    <xf numFmtId="3" fontId="9" fillId="24" borderId="55" xfId="41" applyNumberFormat="1" applyFont="1" applyFill="1" applyBorder="1" applyAlignment="1" applyProtection="1">
      <alignment vertical="top"/>
      <protection hidden="1"/>
    </xf>
    <xf numFmtId="3" fontId="9" fillId="24" borderId="11" xfId="41" applyNumberFormat="1" applyFont="1" applyFill="1" applyBorder="1" applyAlignment="1" applyProtection="1">
      <alignment vertical="top"/>
      <protection hidden="1"/>
    </xf>
    <xf numFmtId="3" fontId="9" fillId="24" borderId="119" xfId="41" applyNumberFormat="1" applyFont="1" applyFill="1" applyBorder="1" applyAlignment="1" applyProtection="1">
      <alignment vertical="top"/>
      <protection hidden="1"/>
    </xf>
    <xf numFmtId="3" fontId="9" fillId="35" borderId="55" xfId="41" applyNumberFormat="1" applyFont="1" applyFill="1" applyBorder="1" applyAlignment="1" applyProtection="1">
      <alignment vertical="top"/>
      <protection hidden="1"/>
    </xf>
    <xf numFmtId="3" fontId="9" fillId="35" borderId="11" xfId="41" applyNumberFormat="1" applyFont="1" applyFill="1" applyBorder="1" applyAlignment="1" applyProtection="1">
      <alignment vertical="top"/>
      <protection hidden="1"/>
    </xf>
    <xf numFmtId="3" fontId="9" fillId="35" borderId="119" xfId="41" applyNumberFormat="1" applyFont="1" applyFill="1" applyBorder="1" applyAlignment="1" applyProtection="1">
      <alignment vertical="top"/>
      <protection hidden="1"/>
    </xf>
    <xf numFmtId="0" fontId="9" fillId="24" borderId="61" xfId="41" applyFont="1" applyFill="1" applyBorder="1" applyAlignment="1" applyProtection="1">
      <alignment horizontal="center" vertical="top" wrapText="1"/>
      <protection hidden="1"/>
    </xf>
    <xf numFmtId="3" fontId="9" fillId="24" borderId="11" xfId="41" applyNumberFormat="1" applyFont="1" applyFill="1" applyBorder="1" applyAlignment="1" applyProtection="1">
      <alignment vertical="top" wrapText="1"/>
      <protection hidden="1"/>
    </xf>
    <xf numFmtId="3" fontId="9" fillId="24" borderId="12" xfId="41" applyNumberFormat="1" applyFont="1" applyFill="1" applyBorder="1" applyAlignment="1" applyProtection="1">
      <alignment vertical="top" wrapText="1"/>
      <protection hidden="1"/>
    </xf>
    <xf numFmtId="3" fontId="128" fillId="35" borderId="53" xfId="41" applyNumberFormat="1" applyFont="1" applyFill="1" applyBorder="1" applyAlignment="1" applyProtection="1">
      <alignment vertical="top"/>
      <protection hidden="1"/>
    </xf>
    <xf numFmtId="3" fontId="128" fillId="24" borderId="53" xfId="41" applyNumberFormat="1" applyFont="1" applyFill="1" applyBorder="1" applyAlignment="1" applyProtection="1">
      <alignment vertical="top"/>
      <protection hidden="1"/>
    </xf>
    <xf numFmtId="3" fontId="9" fillId="35" borderId="53" xfId="41" applyNumberFormat="1" applyFont="1" applyFill="1" applyBorder="1" applyAlignment="1" applyProtection="1">
      <alignment vertical="top"/>
      <protection hidden="1"/>
    </xf>
    <xf numFmtId="3" fontId="9" fillId="24" borderId="53" xfId="41" applyNumberFormat="1" applyFont="1" applyFill="1" applyBorder="1" applyAlignment="1" applyProtection="1">
      <alignment vertical="top"/>
      <protection hidden="1"/>
    </xf>
    <xf numFmtId="3" fontId="9" fillId="35" borderId="53" xfId="41" applyNumberFormat="1" applyFont="1" applyFill="1" applyBorder="1" applyAlignment="1" applyProtection="1">
      <alignment vertical="top" wrapText="1"/>
      <protection hidden="1"/>
    </xf>
    <xf numFmtId="0" fontId="9" fillId="35" borderId="13" xfId="41" applyFont="1" applyFill="1" applyBorder="1" applyAlignment="1" applyProtection="1">
      <alignment vertical="top" wrapText="1"/>
      <protection hidden="1"/>
    </xf>
    <xf numFmtId="0" fontId="9" fillId="35" borderId="44" xfId="41" applyFont="1" applyFill="1" applyBorder="1" applyAlignment="1" applyProtection="1">
      <alignment vertical="top" wrapText="1"/>
      <protection hidden="1"/>
    </xf>
    <xf numFmtId="0" fontId="9" fillId="35" borderId="14" xfId="41" applyFont="1" applyFill="1" applyBorder="1" applyAlignment="1" applyProtection="1">
      <alignment vertical="top" wrapText="1"/>
      <protection hidden="1"/>
    </xf>
    <xf numFmtId="0" fontId="9" fillId="35" borderId="18" xfId="41" applyFont="1" applyFill="1" applyBorder="1" applyAlignment="1" applyProtection="1">
      <alignment vertical="top" wrapText="1"/>
      <protection hidden="1"/>
    </xf>
    <xf numFmtId="0" fontId="9" fillId="35" borderId="10" xfId="41" applyFont="1" applyFill="1" applyBorder="1" applyAlignment="1" applyProtection="1">
      <alignment vertical="top" wrapText="1"/>
      <protection hidden="1"/>
    </xf>
    <xf numFmtId="0" fontId="9" fillId="35" borderId="19" xfId="41" applyFont="1" applyFill="1" applyBorder="1" applyAlignment="1" applyProtection="1">
      <alignment vertical="top" wrapText="1"/>
      <protection hidden="1"/>
    </xf>
    <xf numFmtId="0" fontId="9" fillId="24" borderId="18" xfId="41" applyFont="1" applyFill="1" applyBorder="1" applyAlignment="1" applyProtection="1">
      <alignment vertical="top" wrapText="1"/>
      <protection hidden="1"/>
    </xf>
    <xf numFmtId="0" fontId="9" fillId="24" borderId="10" xfId="41" applyFont="1" applyFill="1" applyBorder="1" applyAlignment="1" applyProtection="1">
      <alignment vertical="top" wrapText="1"/>
      <protection hidden="1"/>
    </xf>
    <xf numFmtId="0" fontId="9" fillId="24" borderId="19" xfId="41" applyFont="1" applyFill="1" applyBorder="1" applyAlignment="1" applyProtection="1">
      <alignment vertical="top" wrapText="1"/>
      <protection hidden="1"/>
    </xf>
    <xf numFmtId="0" fontId="9" fillId="24" borderId="45" xfId="41" applyFont="1" applyFill="1" applyBorder="1" applyAlignment="1" applyProtection="1">
      <alignment vertical="top" wrapText="1"/>
      <protection hidden="1"/>
    </xf>
    <xf numFmtId="0" fontId="9" fillId="24" borderId="46" xfId="41" applyFont="1" applyFill="1" applyBorder="1" applyAlignment="1" applyProtection="1">
      <alignment vertical="top" wrapText="1"/>
      <protection hidden="1"/>
    </xf>
    <xf numFmtId="0" fontId="9" fillId="24" borderId="22" xfId="41" applyFont="1" applyFill="1" applyBorder="1" applyAlignment="1" applyProtection="1">
      <alignment vertical="top" wrapText="1"/>
      <protection hidden="1"/>
    </xf>
    <xf numFmtId="0" fontId="9" fillId="24" borderId="18" xfId="41" applyFont="1" applyFill="1" applyBorder="1" applyAlignment="1" applyProtection="1">
      <alignment vertical="center" wrapText="1"/>
      <protection hidden="1"/>
    </xf>
    <xf numFmtId="0" fontId="9" fillId="24" borderId="10" xfId="41" applyFont="1" applyFill="1" applyBorder="1" applyAlignment="1" applyProtection="1">
      <alignment vertical="center" wrapText="1"/>
      <protection hidden="1"/>
    </xf>
    <xf numFmtId="0" fontId="9" fillId="31" borderId="50" xfId="41" applyFont="1" applyFill="1" applyBorder="1" applyAlignment="1" applyProtection="1">
      <alignment vertical="top" wrapText="1"/>
      <protection hidden="1"/>
    </xf>
    <xf numFmtId="0" fontId="9" fillId="31" borderId="51" xfId="41" applyFont="1" applyFill="1" applyBorder="1" applyAlignment="1" applyProtection="1">
      <alignment vertical="top" wrapText="1"/>
      <protection hidden="1"/>
    </xf>
    <xf numFmtId="0" fontId="9" fillId="31" borderId="52" xfId="41" applyFont="1" applyFill="1" applyBorder="1" applyAlignment="1" applyProtection="1">
      <alignment vertical="top" wrapText="1"/>
      <protection hidden="1"/>
    </xf>
    <xf numFmtId="0" fontId="9" fillId="24" borderId="13" xfId="41" applyFont="1" applyFill="1" applyBorder="1" applyAlignment="1" applyProtection="1">
      <alignment vertical="top"/>
      <protection hidden="1"/>
    </xf>
    <xf numFmtId="0" fontId="9" fillId="24" borderId="44" xfId="41" applyFont="1" applyFill="1" applyBorder="1" applyAlignment="1" applyProtection="1">
      <alignment vertical="top"/>
      <protection hidden="1"/>
    </xf>
    <xf numFmtId="0" fontId="9" fillId="24" borderId="14" xfId="41" applyFont="1" applyFill="1" applyBorder="1" applyAlignment="1" applyProtection="1">
      <alignment vertical="top"/>
      <protection hidden="1"/>
    </xf>
    <xf numFmtId="0" fontId="9" fillId="24" borderId="18" xfId="41" applyFont="1" applyFill="1" applyBorder="1" applyAlignment="1" applyProtection="1">
      <alignment vertical="top"/>
      <protection hidden="1"/>
    </xf>
    <xf numFmtId="0" fontId="9" fillId="24" borderId="10" xfId="41" applyFont="1" applyFill="1" applyBorder="1" applyAlignment="1" applyProtection="1">
      <alignment vertical="top"/>
      <protection hidden="1"/>
    </xf>
    <xf numFmtId="0" fontId="9" fillId="24" borderId="19" xfId="41" applyFont="1" applyFill="1" applyBorder="1" applyAlignment="1" applyProtection="1">
      <alignment vertical="top"/>
      <protection hidden="1"/>
    </xf>
    <xf numFmtId="0" fontId="9" fillId="24" borderId="72" xfId="41" applyFont="1" applyFill="1" applyBorder="1" applyAlignment="1" applyProtection="1">
      <alignment vertical="top"/>
      <protection hidden="1"/>
    </xf>
    <xf numFmtId="0" fontId="9" fillId="24" borderId="71" xfId="41" applyFont="1" applyFill="1" applyBorder="1" applyAlignment="1" applyProtection="1">
      <alignment vertical="top"/>
      <protection hidden="1"/>
    </xf>
    <xf numFmtId="0" fontId="9" fillId="24" borderId="83" xfId="41" applyFont="1" applyFill="1" applyBorder="1" applyAlignment="1" applyProtection="1">
      <alignment vertical="top"/>
      <protection hidden="1"/>
    </xf>
    <xf numFmtId="0" fontId="9" fillId="35" borderId="13" xfId="41" applyFont="1" applyFill="1" applyBorder="1" applyAlignment="1" applyProtection="1">
      <alignment vertical="top"/>
      <protection hidden="1"/>
    </xf>
    <xf numFmtId="0" fontId="9" fillId="35" borderId="44" xfId="41" applyFont="1" applyFill="1" applyBorder="1" applyAlignment="1" applyProtection="1">
      <alignment vertical="top"/>
      <protection hidden="1"/>
    </xf>
    <xf numFmtId="0" fontId="9" fillId="35" borderId="14" xfId="41" applyFont="1" applyFill="1" applyBorder="1" applyAlignment="1" applyProtection="1">
      <alignment vertical="top"/>
      <protection hidden="1"/>
    </xf>
    <xf numFmtId="0" fontId="9" fillId="35" borderId="18" xfId="41" applyFont="1" applyFill="1" applyBorder="1" applyAlignment="1" applyProtection="1">
      <alignment vertical="top"/>
      <protection hidden="1"/>
    </xf>
    <xf numFmtId="0" fontId="9" fillId="35" borderId="10" xfId="41" applyFont="1" applyFill="1" applyBorder="1" applyAlignment="1" applyProtection="1">
      <alignment vertical="top"/>
      <protection hidden="1"/>
    </xf>
    <xf numFmtId="0" fontId="9" fillId="35" borderId="19" xfId="41" applyFont="1" applyFill="1" applyBorder="1" applyAlignment="1" applyProtection="1">
      <alignment vertical="top"/>
      <protection hidden="1"/>
    </xf>
    <xf numFmtId="0" fontId="9" fillId="35" borderId="72" xfId="41" applyFont="1" applyFill="1" applyBorder="1" applyAlignment="1" applyProtection="1">
      <alignment vertical="top"/>
      <protection hidden="1"/>
    </xf>
    <xf numFmtId="0" fontId="9" fillId="35" borderId="71" xfId="41" applyFont="1" applyFill="1" applyBorder="1" applyAlignment="1" applyProtection="1">
      <alignment vertical="top"/>
      <protection hidden="1"/>
    </xf>
    <xf numFmtId="0" fontId="9" fillId="35" borderId="83" xfId="41" applyFont="1" applyFill="1" applyBorder="1" applyAlignment="1" applyProtection="1">
      <alignment vertical="top"/>
      <protection hidden="1"/>
    </xf>
    <xf numFmtId="167" fontId="9" fillId="0" borderId="0" xfId="41" applyNumberFormat="1" applyFont="1" applyFill="1" applyAlignment="1" applyProtection="1">
      <alignment horizontal="center" vertical="top"/>
      <protection hidden="1"/>
    </xf>
    <xf numFmtId="3" fontId="9" fillId="35" borderId="76" xfId="41" applyNumberFormat="1" applyFont="1" applyFill="1" applyBorder="1" applyAlignment="1" applyProtection="1">
      <alignment vertical="center" wrapText="1"/>
      <protection hidden="1"/>
    </xf>
    <xf numFmtId="3" fontId="9" fillId="24" borderId="76" xfId="41" applyNumberFormat="1" applyFont="1" applyFill="1" applyBorder="1" applyAlignment="1" applyProtection="1">
      <alignment vertical="top" wrapText="1"/>
      <protection hidden="1"/>
    </xf>
    <xf numFmtId="3" fontId="9" fillId="35" borderId="76" xfId="41" applyNumberFormat="1" applyFont="1" applyFill="1" applyBorder="1" applyAlignment="1" applyProtection="1">
      <alignment vertical="top" wrapText="1"/>
      <protection hidden="1"/>
    </xf>
    <xf numFmtId="0" fontId="9" fillId="31" borderId="14" xfId="41" applyFont="1" applyFill="1" applyBorder="1" applyAlignment="1" applyProtection="1">
      <alignment vertical="top" wrapText="1"/>
      <protection locked="0" hidden="1"/>
    </xf>
    <xf numFmtId="0" fontId="9" fillId="31" borderId="19" xfId="41" applyFont="1" applyFill="1" applyBorder="1" applyAlignment="1" applyProtection="1">
      <alignment vertical="top" wrapText="1"/>
      <protection locked="0" hidden="1"/>
    </xf>
    <xf numFmtId="0" fontId="9" fillId="31" borderId="22" xfId="41" applyFont="1" applyFill="1" applyBorder="1" applyAlignment="1" applyProtection="1">
      <alignment vertical="top" wrapText="1"/>
      <protection locked="0" hidden="1"/>
    </xf>
    <xf numFmtId="2" fontId="9" fillId="35" borderId="11" xfId="41" applyNumberFormat="1" applyFont="1" applyFill="1" applyBorder="1" applyAlignment="1" applyProtection="1">
      <alignment vertical="top" wrapText="1"/>
      <protection locked="0" hidden="1"/>
    </xf>
    <xf numFmtId="166" fontId="9" fillId="35" borderId="55" xfId="41" applyNumberFormat="1" applyFont="1" applyFill="1" applyBorder="1" applyAlignment="1" applyProtection="1">
      <alignment vertical="top" wrapText="1"/>
      <protection locked="0" hidden="1"/>
    </xf>
    <xf numFmtId="166" fontId="9" fillId="35" borderId="11" xfId="41" applyNumberFormat="1" applyFont="1" applyFill="1" applyBorder="1" applyAlignment="1" applyProtection="1">
      <alignment vertical="top" wrapText="1"/>
      <protection locked="0" hidden="1"/>
    </xf>
    <xf numFmtId="0" fontId="128" fillId="0" borderId="0" xfId="41" applyFont="1" applyFill="1" applyAlignment="1" applyProtection="1">
      <alignment vertical="top"/>
      <protection locked="0" hidden="1"/>
    </xf>
    <xf numFmtId="2" fontId="9" fillId="33" borderId="53" xfId="41" applyNumberFormat="1" applyFont="1" applyFill="1" applyBorder="1" applyAlignment="1" applyProtection="1">
      <alignment vertical="top" wrapText="1"/>
      <protection locked="0" hidden="1"/>
    </xf>
    <xf numFmtId="2" fontId="128" fillId="33" borderId="34" xfId="41" applyNumberFormat="1" applyFont="1" applyFill="1" applyBorder="1" applyAlignment="1" applyProtection="1">
      <alignment vertical="top" wrapText="1"/>
      <protection locked="0" hidden="1"/>
    </xf>
    <xf numFmtId="0" fontId="7" fillId="34" borderId="19" xfId="41" applyFill="1" applyBorder="1" applyProtection="1">
      <protection locked="0" hidden="1"/>
    </xf>
    <xf numFmtId="0" fontId="7" fillId="34" borderId="22" xfId="41" applyFill="1" applyBorder="1" applyProtection="1">
      <protection locked="0" hidden="1"/>
    </xf>
    <xf numFmtId="0" fontId="9" fillId="34" borderId="22" xfId="41" applyFont="1" applyFill="1" applyBorder="1" applyAlignment="1" applyProtection="1">
      <alignment horizontal="center" vertical="top" wrapText="1"/>
      <protection locked="0" hidden="1"/>
    </xf>
    <xf numFmtId="0" fontId="9" fillId="0" borderId="0" xfId="41" applyFont="1" applyFill="1" applyBorder="1" applyAlignment="1" applyProtection="1">
      <alignment horizontal="center" vertical="top" wrapText="1"/>
      <protection hidden="1"/>
    </xf>
    <xf numFmtId="0" fontId="9" fillId="0" borderId="0" xfId="41" applyFont="1" applyFill="1" applyBorder="1" applyAlignment="1" applyProtection="1">
      <alignment vertical="center"/>
      <protection locked="0" hidden="1"/>
    </xf>
    <xf numFmtId="177" fontId="9" fillId="0" borderId="0" xfId="41" applyNumberFormat="1" applyFont="1" applyFill="1" applyBorder="1" applyAlignment="1" applyProtection="1">
      <alignment horizontal="center" vertical="top" wrapText="1"/>
      <protection hidden="1"/>
    </xf>
    <xf numFmtId="0" fontId="16" fillId="35" borderId="47" xfId="41" applyFont="1" applyFill="1" applyBorder="1" applyAlignment="1" applyProtection="1">
      <alignment horizontal="center" vertical="top" wrapText="1"/>
      <protection locked="0" hidden="1"/>
    </xf>
    <xf numFmtId="0" fontId="16" fillId="35" borderId="10" xfId="41" applyFont="1" applyFill="1" applyBorder="1" applyAlignment="1" applyProtection="1">
      <alignment horizontal="center" vertical="top" wrapText="1"/>
      <protection locked="0" hidden="1"/>
    </xf>
    <xf numFmtId="0" fontId="9" fillId="34" borderId="20" xfId="41" applyFont="1" applyFill="1" applyBorder="1" applyAlignment="1" applyProtection="1">
      <alignment horizontal="center" vertical="top" wrapText="1"/>
      <protection hidden="1"/>
    </xf>
    <xf numFmtId="0" fontId="9" fillId="34" borderId="73" xfId="41" applyFont="1" applyFill="1" applyBorder="1" applyAlignment="1" applyProtection="1">
      <alignment horizontal="center" vertical="top" wrapText="1"/>
      <protection hidden="1"/>
    </xf>
    <xf numFmtId="2" fontId="9" fillId="34" borderId="73" xfId="41" applyNumberFormat="1" applyFont="1" applyFill="1" applyBorder="1" applyAlignment="1" applyProtection="1">
      <alignment horizontal="center" vertical="top" wrapText="1"/>
      <protection hidden="1"/>
    </xf>
    <xf numFmtId="0" fontId="9" fillId="34" borderId="23" xfId="41" applyFont="1" applyFill="1" applyBorder="1" applyAlignment="1" applyProtection="1">
      <alignment horizontal="center" vertical="top" wrapText="1"/>
      <protection hidden="1"/>
    </xf>
    <xf numFmtId="2" fontId="9" fillId="34" borderId="112" xfId="41" applyNumberFormat="1" applyFont="1" applyFill="1" applyBorder="1" applyAlignment="1" applyProtection="1">
      <alignment horizontal="center" vertical="top" wrapText="1"/>
      <protection hidden="1"/>
    </xf>
    <xf numFmtId="0" fontId="16" fillId="0" borderId="89" xfId="42" applyFont="1" applyFill="1" applyBorder="1" applyAlignment="1" applyProtection="1">
      <alignment horizontal="center" vertical="top" wrapText="1"/>
      <protection hidden="1"/>
    </xf>
    <xf numFmtId="0" fontId="16" fillId="0" borderId="112" xfId="42" applyFont="1" applyFill="1" applyBorder="1" applyAlignment="1" applyProtection="1">
      <alignment horizontal="center" vertical="top" wrapText="1"/>
      <protection hidden="1"/>
    </xf>
    <xf numFmtId="0" fontId="7" fillId="0" borderId="120" xfId="42" applyFont="1" applyFill="1" applyBorder="1" applyAlignment="1" applyProtection="1">
      <alignment horizontal="center"/>
      <protection hidden="1"/>
    </xf>
    <xf numFmtId="0" fontId="7" fillId="0" borderId="113" xfId="42" applyFont="1" applyFill="1" applyBorder="1" applyAlignment="1" applyProtection="1">
      <alignment horizontal="center" vertical="top" wrapText="1"/>
      <protection hidden="1"/>
    </xf>
    <xf numFmtId="0" fontId="16" fillId="35" borderId="84" xfId="42" applyFont="1" applyFill="1" applyBorder="1" applyAlignment="1" applyProtection="1">
      <alignment horizontal="center" vertical="top" wrapText="1"/>
      <protection locked="0" hidden="1"/>
    </xf>
    <xf numFmtId="0" fontId="16" fillId="35" borderId="85" xfId="42" applyFont="1" applyFill="1" applyBorder="1" applyAlignment="1" applyProtection="1">
      <alignment horizontal="center" vertical="top" wrapText="1"/>
      <protection hidden="1"/>
    </xf>
    <xf numFmtId="0" fontId="16" fillId="35" borderId="121" xfId="42" applyFont="1" applyFill="1" applyBorder="1" applyAlignment="1" applyProtection="1">
      <alignment horizontal="center" vertical="top" wrapText="1"/>
      <protection hidden="1"/>
    </xf>
    <xf numFmtId="0" fontId="16" fillId="35" borderId="86" xfId="42" applyFont="1" applyFill="1" applyBorder="1" applyAlignment="1" applyProtection="1">
      <alignment horizontal="center" vertical="top" wrapText="1"/>
      <protection hidden="1"/>
    </xf>
    <xf numFmtId="0" fontId="7" fillId="35" borderId="47" xfId="42" applyFont="1" applyFill="1" applyBorder="1" applyAlignment="1" applyProtection="1">
      <alignment horizontal="center" vertical="top" wrapText="1"/>
      <protection locked="0" hidden="1"/>
    </xf>
    <xf numFmtId="0" fontId="16" fillId="35" borderId="43" xfId="42" applyFont="1" applyFill="1" applyBorder="1" applyAlignment="1" applyProtection="1">
      <alignment horizontal="center" vertical="top" wrapText="1"/>
      <protection locked="0" hidden="1"/>
    </xf>
    <xf numFmtId="0" fontId="16" fillId="35" borderId="10" xfId="42" applyFont="1" applyFill="1" applyBorder="1" applyAlignment="1" applyProtection="1">
      <alignment horizontal="center" vertical="top" wrapText="1"/>
      <protection locked="0" hidden="1"/>
    </xf>
    <xf numFmtId="0" fontId="16" fillId="35" borderId="61" xfId="42" applyFont="1" applyFill="1" applyBorder="1" applyAlignment="1" applyProtection="1">
      <alignment horizontal="center" vertical="top" wrapText="1"/>
      <protection locked="0" hidden="1"/>
    </xf>
    <xf numFmtId="0" fontId="16" fillId="35" borderId="43" xfId="42" applyFont="1" applyFill="1" applyBorder="1" applyAlignment="1" applyProtection="1">
      <alignment vertical="top" wrapText="1"/>
      <protection hidden="1"/>
    </xf>
    <xf numFmtId="0" fontId="7" fillId="35" borderId="41" xfId="42" applyFont="1" applyFill="1" applyBorder="1" applyAlignment="1" applyProtection="1">
      <alignment vertical="top" wrapText="1"/>
      <protection hidden="1"/>
    </xf>
    <xf numFmtId="0" fontId="7" fillId="35" borderId="48" xfId="42" applyFont="1" applyFill="1" applyBorder="1" applyAlignment="1" applyProtection="1">
      <alignment vertical="top" wrapText="1"/>
      <protection hidden="1"/>
    </xf>
    <xf numFmtId="0" fontId="7" fillId="34" borderId="73" xfId="42" applyFont="1" applyFill="1" applyBorder="1" applyAlignment="1" applyProtection="1">
      <alignment horizontal="center" vertical="top" wrapText="1"/>
      <protection locked="0" hidden="1"/>
    </xf>
    <xf numFmtId="0" fontId="7" fillId="34" borderId="112" xfId="42" applyFont="1" applyFill="1" applyBorder="1" applyAlignment="1" applyProtection="1">
      <alignment horizontal="center" vertical="top" wrapText="1"/>
      <protection locked="0" hidden="1"/>
    </xf>
    <xf numFmtId="3" fontId="9" fillId="0" borderId="10" xfId="41" applyNumberFormat="1" applyFont="1" applyFill="1" applyBorder="1" applyAlignment="1" applyProtection="1">
      <alignment vertical="top"/>
      <protection locked="0" hidden="1"/>
    </xf>
    <xf numFmtId="3" fontId="9" fillId="0" borderId="46" xfId="41" applyNumberFormat="1" applyFont="1" applyFill="1" applyBorder="1" applyAlignment="1" applyProtection="1">
      <alignment vertical="top"/>
      <protection locked="0" hidden="1"/>
    </xf>
    <xf numFmtId="3" fontId="9" fillId="0" borderId="46" xfId="41" applyNumberFormat="1" applyFont="1" applyFill="1" applyBorder="1" applyAlignment="1" applyProtection="1">
      <alignment vertical="top"/>
      <protection hidden="1"/>
    </xf>
    <xf numFmtId="0" fontId="9" fillId="0" borderId="61" xfId="41" applyFont="1" applyFill="1" applyBorder="1" applyAlignment="1" applyProtection="1">
      <alignment vertical="top" wrapText="1"/>
      <protection hidden="1"/>
    </xf>
    <xf numFmtId="168" fontId="7" fillId="36" borderId="10" xfId="41" applyNumberFormat="1" applyFill="1" applyBorder="1" applyAlignment="1" applyProtection="1">
      <alignment horizontal="center"/>
      <protection hidden="1"/>
    </xf>
    <xf numFmtId="168" fontId="7" fillId="36" borderId="19" xfId="41" applyNumberFormat="1" applyFill="1" applyBorder="1" applyAlignment="1" applyProtection="1">
      <alignment horizontal="center"/>
      <protection hidden="1"/>
    </xf>
    <xf numFmtId="0" fontId="9" fillId="35" borderId="43" xfId="41" applyFont="1" applyFill="1" applyBorder="1" applyAlignment="1" applyProtection="1">
      <alignment vertical="top" wrapText="1"/>
      <protection hidden="1"/>
    </xf>
    <xf numFmtId="0" fontId="9" fillId="24" borderId="43" xfId="41" applyFont="1" applyFill="1" applyBorder="1" applyAlignment="1" applyProtection="1">
      <alignment vertical="top" wrapText="1"/>
      <protection hidden="1"/>
    </xf>
    <xf numFmtId="0" fontId="9" fillId="24" borderId="72" xfId="41" applyFont="1" applyFill="1" applyBorder="1" applyAlignment="1" applyProtection="1">
      <alignment vertical="top" wrapText="1"/>
      <protection hidden="1"/>
    </xf>
    <xf numFmtId="0" fontId="9" fillId="24" borderId="71" xfId="41" applyFont="1" applyFill="1" applyBorder="1" applyAlignment="1" applyProtection="1">
      <alignment vertical="top" wrapText="1"/>
      <protection hidden="1"/>
    </xf>
    <xf numFmtId="0" fontId="9" fillId="24" borderId="83" xfId="41" applyFont="1" applyFill="1" applyBorder="1" applyAlignment="1" applyProtection="1">
      <alignment vertical="top" wrapText="1"/>
      <protection hidden="1"/>
    </xf>
    <xf numFmtId="166" fontId="9" fillId="36" borderId="10" xfId="41" applyNumberFormat="1" applyFont="1" applyFill="1" applyBorder="1" applyAlignment="1" applyProtection="1">
      <alignment vertical="top" wrapText="1"/>
      <protection hidden="1"/>
    </xf>
    <xf numFmtId="0" fontId="9" fillId="36" borderId="13" xfId="41" applyFont="1" applyFill="1" applyBorder="1" applyAlignment="1" applyProtection="1">
      <alignment vertical="top" wrapText="1"/>
      <protection hidden="1"/>
    </xf>
    <xf numFmtId="0" fontId="9" fillId="36" borderId="44" xfId="41" applyFont="1" applyFill="1" applyBorder="1" applyAlignment="1" applyProtection="1">
      <alignment vertical="top" wrapText="1"/>
      <protection hidden="1"/>
    </xf>
    <xf numFmtId="0" fontId="9" fillId="36" borderId="14" xfId="41" applyFont="1" applyFill="1" applyBorder="1" applyAlignment="1" applyProtection="1">
      <alignment vertical="top" wrapText="1"/>
      <protection hidden="1"/>
    </xf>
    <xf numFmtId="0" fontId="9" fillId="36" borderId="61" xfId="41" applyFont="1" applyFill="1" applyBorder="1" applyAlignment="1" applyProtection="1">
      <alignment vertical="top" wrapText="1"/>
      <protection hidden="1"/>
    </xf>
    <xf numFmtId="167" fontId="9" fillId="35" borderId="10" xfId="41" applyNumberFormat="1" applyFont="1" applyFill="1" applyBorder="1" applyAlignment="1" applyProtection="1">
      <alignment vertical="top" wrapText="1"/>
      <protection hidden="1"/>
    </xf>
    <xf numFmtId="167" fontId="9" fillId="24" borderId="10" xfId="41" applyNumberFormat="1" applyFont="1" applyFill="1" applyBorder="1" applyAlignment="1" applyProtection="1">
      <alignment vertical="top" wrapText="1"/>
      <protection hidden="1"/>
    </xf>
    <xf numFmtId="1" fontId="128" fillId="36" borderId="53" xfId="41" applyNumberFormat="1" applyFont="1" applyFill="1" applyBorder="1" applyAlignment="1" applyProtection="1">
      <alignment vertical="top" wrapText="1"/>
      <protection hidden="1"/>
    </xf>
    <xf numFmtId="0" fontId="9" fillId="0" borderId="36" xfId="41" applyFont="1" applyFill="1" applyBorder="1" applyAlignment="1" applyProtection="1">
      <alignment vertical="top" wrapText="1"/>
      <protection hidden="1"/>
    </xf>
    <xf numFmtId="0" fontId="9" fillId="36" borderId="36" xfId="41" applyFont="1" applyFill="1" applyBorder="1" applyAlignment="1" applyProtection="1">
      <alignment vertical="top" wrapText="1"/>
      <protection hidden="1"/>
    </xf>
    <xf numFmtId="1" fontId="128" fillId="36" borderId="33" xfId="41" applyNumberFormat="1" applyFont="1" applyFill="1" applyBorder="1" applyAlignment="1" applyProtection="1">
      <alignment vertical="top" wrapText="1"/>
      <protection hidden="1"/>
    </xf>
    <xf numFmtId="0" fontId="9" fillId="35" borderId="40" xfId="41" applyFont="1" applyFill="1" applyBorder="1" applyAlignment="1" applyProtection="1">
      <alignment horizontal="center" vertical="top" wrapText="1"/>
      <protection hidden="1"/>
    </xf>
    <xf numFmtId="166" fontId="9" fillId="36" borderId="18" xfId="41" applyNumberFormat="1" applyFont="1" applyFill="1" applyBorder="1" applyAlignment="1" applyProtection="1">
      <alignment vertical="top" wrapText="1"/>
      <protection hidden="1"/>
    </xf>
    <xf numFmtId="166" fontId="9" fillId="36" borderId="19" xfId="41" applyNumberFormat="1" applyFont="1" applyFill="1" applyBorder="1" applyAlignment="1" applyProtection="1">
      <alignment vertical="top" wrapText="1"/>
      <protection hidden="1"/>
    </xf>
    <xf numFmtId="10" fontId="9" fillId="36" borderId="45" xfId="41" applyNumberFormat="1" applyFont="1" applyFill="1" applyBorder="1" applyAlignment="1" applyProtection="1">
      <alignment vertical="top" wrapText="1"/>
      <protection hidden="1"/>
    </xf>
    <xf numFmtId="10" fontId="9" fillId="36" borderId="46" xfId="41" applyNumberFormat="1" applyFont="1" applyFill="1" applyBorder="1" applyAlignment="1" applyProtection="1">
      <alignment vertical="top" wrapText="1"/>
      <protection hidden="1"/>
    </xf>
    <xf numFmtId="10" fontId="9" fillId="36" borderId="22" xfId="41" applyNumberFormat="1" applyFont="1" applyFill="1" applyBorder="1" applyAlignment="1" applyProtection="1">
      <alignment vertical="top" wrapText="1"/>
      <protection hidden="1"/>
    </xf>
    <xf numFmtId="10" fontId="128" fillId="36" borderId="53" xfId="41" applyNumberFormat="1" applyFont="1" applyFill="1" applyBorder="1" applyAlignment="1" applyProtection="1">
      <alignment vertical="top" wrapText="1"/>
      <protection hidden="1"/>
    </xf>
    <xf numFmtId="0" fontId="9" fillId="35" borderId="47" xfId="41" applyFont="1" applyFill="1" applyBorder="1" applyAlignment="1" applyProtection="1">
      <alignment vertical="top" wrapText="1"/>
      <protection hidden="1"/>
    </xf>
    <xf numFmtId="0" fontId="9" fillId="35" borderId="48" xfId="41" applyFont="1" applyFill="1" applyBorder="1" applyAlignment="1" applyProtection="1">
      <alignment vertical="top" wrapText="1"/>
      <protection hidden="1"/>
    </xf>
    <xf numFmtId="0" fontId="9" fillId="24" borderId="47" xfId="41" applyFont="1" applyFill="1" applyBorder="1" applyAlignment="1" applyProtection="1">
      <alignment vertical="top" wrapText="1"/>
      <protection hidden="1"/>
    </xf>
    <xf numFmtId="0" fontId="9" fillId="24" borderId="48" xfId="41" applyFont="1" applyFill="1" applyBorder="1" applyAlignment="1" applyProtection="1">
      <alignment vertical="top" wrapText="1"/>
      <protection hidden="1"/>
    </xf>
    <xf numFmtId="0" fontId="9" fillId="24" borderId="89" xfId="41" applyFont="1" applyFill="1" applyBorder="1" applyAlignment="1" applyProtection="1">
      <alignment vertical="top" wrapText="1"/>
      <protection hidden="1"/>
    </xf>
    <xf numFmtId="0" fontId="9" fillId="24" borderId="112" xfId="41" applyFont="1" applyFill="1" applyBorder="1" applyAlignment="1" applyProtection="1">
      <alignment vertical="top" wrapText="1"/>
      <protection hidden="1"/>
    </xf>
    <xf numFmtId="0" fontId="9" fillId="24" borderId="113" xfId="41" applyFont="1" applyFill="1" applyBorder="1" applyAlignment="1" applyProtection="1">
      <alignment vertical="top" wrapText="1"/>
      <protection hidden="1"/>
    </xf>
    <xf numFmtId="1" fontId="9" fillId="35" borderId="55" xfId="41" applyNumberFormat="1" applyFont="1" applyFill="1" applyBorder="1" applyAlignment="1" applyProtection="1">
      <alignment vertical="top" wrapText="1"/>
      <protection hidden="1"/>
    </xf>
    <xf numFmtId="1" fontId="9" fillId="35" borderId="115" xfId="41" applyNumberFormat="1" applyFont="1" applyFill="1" applyBorder="1" applyAlignment="1" applyProtection="1">
      <alignment vertical="top" wrapText="1"/>
      <protection hidden="1"/>
    </xf>
    <xf numFmtId="1" fontId="9" fillId="24" borderId="115" xfId="41" applyNumberFormat="1" applyFont="1" applyFill="1" applyBorder="1" applyAlignment="1" applyProtection="1">
      <alignment vertical="top" wrapText="1"/>
      <protection hidden="1"/>
    </xf>
    <xf numFmtId="1" fontId="9" fillId="24" borderId="35" xfId="41" applyNumberFormat="1" applyFont="1" applyFill="1" applyBorder="1" applyAlignment="1" applyProtection="1">
      <alignment vertical="top" wrapText="1"/>
      <protection hidden="1"/>
    </xf>
    <xf numFmtId="167" fontId="9" fillId="35" borderId="13" xfId="41" applyNumberFormat="1" applyFont="1" applyFill="1" applyBorder="1" applyAlignment="1" applyProtection="1">
      <alignment vertical="top" wrapText="1"/>
      <protection hidden="1"/>
    </xf>
    <xf numFmtId="167" fontId="9" fillId="35" borderId="44" xfId="41" applyNumberFormat="1" applyFont="1" applyFill="1" applyBorder="1" applyAlignment="1" applyProtection="1">
      <alignment vertical="top" wrapText="1"/>
      <protection hidden="1"/>
    </xf>
    <xf numFmtId="167" fontId="9" fillId="35" borderId="14" xfId="41" applyNumberFormat="1" applyFont="1" applyFill="1" applyBorder="1" applyAlignment="1" applyProtection="1">
      <alignment vertical="top" wrapText="1"/>
      <protection hidden="1"/>
    </xf>
    <xf numFmtId="167" fontId="9" fillId="35" borderId="18" xfId="41" applyNumberFormat="1" applyFont="1" applyFill="1" applyBorder="1" applyAlignment="1" applyProtection="1">
      <alignment vertical="top" wrapText="1"/>
      <protection hidden="1"/>
    </xf>
    <xf numFmtId="167" fontId="9" fillId="35" borderId="19" xfId="41" applyNumberFormat="1" applyFont="1" applyFill="1" applyBorder="1" applyAlignment="1" applyProtection="1">
      <alignment vertical="top" wrapText="1"/>
      <protection hidden="1"/>
    </xf>
    <xf numFmtId="167" fontId="9" fillId="24" borderId="18" xfId="41" applyNumberFormat="1" applyFont="1" applyFill="1" applyBorder="1" applyAlignment="1" applyProtection="1">
      <alignment vertical="top" wrapText="1"/>
      <protection hidden="1"/>
    </xf>
    <xf numFmtId="167" fontId="9" fillId="24" borderId="19" xfId="41" applyNumberFormat="1" applyFont="1" applyFill="1" applyBorder="1" applyAlignment="1" applyProtection="1">
      <alignment vertical="top" wrapText="1"/>
      <protection hidden="1"/>
    </xf>
    <xf numFmtId="167" fontId="9" fillId="24" borderId="45" xfId="41" applyNumberFormat="1" applyFont="1" applyFill="1" applyBorder="1" applyAlignment="1" applyProtection="1">
      <alignment vertical="top" wrapText="1"/>
      <protection hidden="1"/>
    </xf>
    <xf numFmtId="167" fontId="9" fillId="24" borderId="46" xfId="41" applyNumberFormat="1" applyFont="1" applyFill="1" applyBorder="1" applyAlignment="1" applyProtection="1">
      <alignment vertical="top" wrapText="1"/>
      <protection hidden="1"/>
    </xf>
    <xf numFmtId="167" fontId="9" fillId="24" borderId="22" xfId="41" applyNumberFormat="1" applyFont="1" applyFill="1" applyBorder="1" applyAlignment="1" applyProtection="1">
      <alignment vertical="top" wrapText="1"/>
      <protection hidden="1"/>
    </xf>
    <xf numFmtId="167" fontId="9" fillId="35" borderId="55" xfId="41" applyNumberFormat="1" applyFont="1" applyFill="1" applyBorder="1" applyAlignment="1" applyProtection="1">
      <alignment vertical="top" wrapText="1"/>
      <protection hidden="1"/>
    </xf>
    <xf numFmtId="167" fontId="9" fillId="35" borderId="11" xfId="41" applyNumberFormat="1" applyFont="1" applyFill="1" applyBorder="1" applyAlignment="1" applyProtection="1">
      <alignment vertical="top" wrapText="1"/>
      <protection hidden="1"/>
    </xf>
    <xf numFmtId="167" fontId="9" fillId="24" borderId="11" xfId="41" applyNumberFormat="1" applyFont="1" applyFill="1" applyBorder="1" applyAlignment="1" applyProtection="1">
      <alignment vertical="top" wrapText="1"/>
      <protection hidden="1"/>
    </xf>
    <xf numFmtId="167" fontId="9" fillId="24" borderId="12" xfId="41" applyNumberFormat="1" applyFont="1" applyFill="1" applyBorder="1" applyAlignment="1" applyProtection="1">
      <alignment vertical="top" wrapText="1"/>
      <protection hidden="1"/>
    </xf>
    <xf numFmtId="0" fontId="9" fillId="37" borderId="0" xfId="41" applyFont="1" applyFill="1" applyAlignment="1" applyProtection="1">
      <alignment vertical="top" wrapText="1"/>
      <protection hidden="1"/>
    </xf>
    <xf numFmtId="0" fontId="9" fillId="37" borderId="62" xfId="41" applyFont="1" applyFill="1" applyBorder="1" applyAlignment="1" applyProtection="1">
      <alignment vertical="top" wrapText="1"/>
      <protection hidden="1"/>
    </xf>
    <xf numFmtId="0" fontId="9" fillId="37" borderId="60" xfId="41" applyFont="1" applyFill="1" applyBorder="1" applyAlignment="1" applyProtection="1">
      <alignment vertical="top" wrapText="1"/>
      <protection hidden="1"/>
    </xf>
    <xf numFmtId="0" fontId="9" fillId="37" borderId="32" xfId="41" applyFont="1" applyFill="1" applyBorder="1" applyAlignment="1" applyProtection="1">
      <alignment vertical="top" wrapText="1"/>
      <protection hidden="1"/>
    </xf>
    <xf numFmtId="0" fontId="9" fillId="31" borderId="122" xfId="41" applyFont="1" applyFill="1" applyBorder="1" applyAlignment="1" applyProtection="1">
      <alignment vertical="top" wrapText="1"/>
      <protection hidden="1"/>
    </xf>
    <xf numFmtId="10" fontId="9" fillId="0" borderId="118" xfId="41" applyNumberFormat="1" applyFont="1" applyFill="1" applyBorder="1" applyAlignment="1" applyProtection="1">
      <alignment vertical="top" wrapText="1"/>
      <protection hidden="1"/>
    </xf>
    <xf numFmtId="10" fontId="9" fillId="0" borderId="61" xfId="41" applyNumberFormat="1" applyFont="1" applyFill="1" applyBorder="1" applyAlignment="1" applyProtection="1">
      <alignment vertical="top" wrapText="1"/>
      <protection hidden="1"/>
    </xf>
    <xf numFmtId="10" fontId="9" fillId="0" borderId="117" xfId="41" applyNumberFormat="1" applyFont="1" applyFill="1" applyBorder="1" applyAlignment="1" applyProtection="1">
      <alignment vertical="top" wrapText="1"/>
      <protection hidden="1"/>
    </xf>
    <xf numFmtId="0" fontId="9" fillId="35" borderId="118" xfId="41" applyFont="1" applyFill="1" applyBorder="1" applyAlignment="1" applyProtection="1">
      <alignment vertical="top" wrapText="1"/>
      <protection hidden="1"/>
    </xf>
    <xf numFmtId="0" fontId="9" fillId="35" borderId="61" xfId="41" applyFont="1" applyFill="1" applyBorder="1" applyAlignment="1" applyProtection="1">
      <alignment vertical="top" wrapText="1"/>
      <protection hidden="1"/>
    </xf>
    <xf numFmtId="0" fontId="9" fillId="24" borderId="61" xfId="41" applyFont="1" applyFill="1" applyBorder="1" applyAlignment="1" applyProtection="1">
      <alignment vertical="top" wrapText="1"/>
      <protection hidden="1"/>
    </xf>
    <xf numFmtId="0" fontId="9" fillId="24" borderId="117" xfId="41" applyFont="1" applyFill="1" applyBorder="1" applyAlignment="1" applyProtection="1">
      <alignment vertical="top" wrapText="1"/>
      <protection hidden="1"/>
    </xf>
    <xf numFmtId="0" fontId="9" fillId="0" borderId="38" xfId="41" applyFont="1" applyFill="1" applyBorder="1" applyAlignment="1" applyProtection="1">
      <alignment vertical="top" wrapText="1"/>
      <protection hidden="1"/>
    </xf>
    <xf numFmtId="0" fontId="9" fillId="24" borderId="61" xfId="41" applyFont="1" applyFill="1" applyBorder="1" applyAlignment="1" applyProtection="1">
      <alignment vertical="center" wrapText="1"/>
      <protection hidden="1"/>
    </xf>
    <xf numFmtId="10" fontId="9" fillId="18" borderId="118" xfId="41" applyNumberFormat="1" applyFont="1" applyFill="1" applyBorder="1" applyAlignment="1" applyProtection="1">
      <alignment vertical="top" wrapText="1"/>
      <protection hidden="1"/>
    </xf>
    <xf numFmtId="10" fontId="9" fillId="18" borderId="61" xfId="41" applyNumberFormat="1" applyFont="1" applyFill="1" applyBorder="1" applyAlignment="1" applyProtection="1">
      <alignment vertical="top" wrapText="1"/>
      <protection hidden="1"/>
    </xf>
    <xf numFmtId="10" fontId="9" fillId="18" borderId="117" xfId="41" applyNumberFormat="1" applyFont="1" applyFill="1" applyBorder="1" applyAlignment="1" applyProtection="1">
      <alignment vertical="top" wrapText="1"/>
      <protection hidden="1"/>
    </xf>
    <xf numFmtId="3" fontId="128" fillId="31" borderId="76" xfId="41" applyNumberFormat="1" applyFont="1" applyFill="1" applyBorder="1" applyAlignment="1" applyProtection="1">
      <alignment vertical="top" wrapText="1"/>
      <protection hidden="1"/>
    </xf>
    <xf numFmtId="3" fontId="9" fillId="35" borderId="79" xfId="41" applyNumberFormat="1" applyFont="1" applyFill="1" applyBorder="1" applyAlignment="1" applyProtection="1">
      <alignment vertical="top" wrapText="1"/>
      <protection hidden="1"/>
    </xf>
    <xf numFmtId="3" fontId="9" fillId="35" borderId="80" xfId="41" applyNumberFormat="1" applyFont="1" applyFill="1" applyBorder="1" applyAlignment="1" applyProtection="1">
      <alignment vertical="top" wrapText="1"/>
      <protection hidden="1"/>
    </xf>
    <xf numFmtId="3" fontId="9" fillId="24" borderId="80" xfId="41" applyNumberFormat="1" applyFont="1" applyFill="1" applyBorder="1" applyAlignment="1" applyProtection="1">
      <alignment vertical="top" wrapText="1"/>
      <protection hidden="1"/>
    </xf>
    <xf numFmtId="3" fontId="9" fillId="24" borderId="81" xfId="41" applyNumberFormat="1" applyFont="1" applyFill="1" applyBorder="1" applyAlignment="1" applyProtection="1">
      <alignment vertical="top" wrapText="1"/>
      <protection hidden="1"/>
    </xf>
    <xf numFmtId="0" fontId="9" fillId="0" borderId="39" xfId="41" applyFont="1" applyFill="1" applyBorder="1" applyAlignment="1" applyProtection="1">
      <alignment vertical="top" wrapText="1"/>
      <protection hidden="1"/>
    </xf>
    <xf numFmtId="0" fontId="9" fillId="37" borderId="55" xfId="41" applyFont="1" applyFill="1" applyBorder="1" applyAlignment="1" applyProtection="1">
      <alignment vertical="top" wrapText="1"/>
      <protection hidden="1"/>
    </xf>
    <xf numFmtId="0" fontId="9" fillId="37" borderId="11" xfId="41" applyFont="1" applyFill="1" applyBorder="1" applyAlignment="1" applyProtection="1">
      <alignment vertical="top" wrapText="1"/>
      <protection hidden="1"/>
    </xf>
    <xf numFmtId="0" fontId="9" fillId="37" borderId="11" xfId="41" applyFont="1" applyFill="1" applyBorder="1" applyAlignment="1" applyProtection="1">
      <alignment vertical="center" wrapText="1"/>
      <protection hidden="1"/>
    </xf>
    <xf numFmtId="0" fontId="9" fillId="37" borderId="12" xfId="41" applyFont="1" applyFill="1" applyBorder="1" applyAlignment="1" applyProtection="1">
      <alignment vertical="top" wrapText="1"/>
      <protection hidden="1"/>
    </xf>
    <xf numFmtId="0" fontId="128" fillId="37" borderId="11" xfId="41" applyFont="1" applyFill="1" applyBorder="1" applyAlignment="1" applyProtection="1">
      <alignment vertical="top" wrapText="1"/>
      <protection hidden="1"/>
    </xf>
    <xf numFmtId="0" fontId="9" fillId="37" borderId="55" xfId="41" applyFont="1" applyFill="1" applyBorder="1" applyAlignment="1" applyProtection="1">
      <alignment vertical="top"/>
      <protection hidden="1"/>
    </xf>
    <xf numFmtId="0" fontId="9" fillId="37" borderId="11" xfId="41" applyFont="1" applyFill="1" applyBorder="1" applyAlignment="1" applyProtection="1">
      <alignment vertical="top"/>
      <protection hidden="1"/>
    </xf>
    <xf numFmtId="0" fontId="9" fillId="37" borderId="12" xfId="41" applyFont="1" applyFill="1" applyBorder="1" applyAlignment="1" applyProtection="1">
      <alignment vertical="top"/>
      <protection hidden="1"/>
    </xf>
    <xf numFmtId="0" fontId="9" fillId="37" borderId="53" xfId="41" applyFont="1" applyFill="1" applyBorder="1" applyAlignment="1" applyProtection="1">
      <alignment vertical="top" wrapText="1"/>
      <protection hidden="1"/>
    </xf>
    <xf numFmtId="1" fontId="9" fillId="0" borderId="10" xfId="41" applyNumberFormat="1" applyFont="1" applyFill="1" applyBorder="1" applyAlignment="1" applyProtection="1">
      <alignment vertical="top"/>
      <protection locked="0" hidden="1"/>
    </xf>
    <xf numFmtId="1" fontId="9" fillId="0" borderId="10" xfId="41" applyNumberFormat="1" applyFont="1" applyFill="1" applyBorder="1" applyAlignment="1" applyProtection="1">
      <alignment vertical="top"/>
      <protection hidden="1"/>
    </xf>
    <xf numFmtId="165" fontId="9" fillId="19" borderId="55" xfId="41" applyNumberFormat="1" applyFont="1" applyFill="1" applyBorder="1" applyAlignment="1" applyProtection="1">
      <alignment vertical="top" wrapText="1"/>
      <protection locked="0" hidden="1"/>
    </xf>
    <xf numFmtId="165" fontId="9" fillId="35" borderId="56" xfId="41" applyNumberFormat="1" applyFont="1" applyFill="1" applyBorder="1" applyAlignment="1" applyProtection="1">
      <alignment vertical="top" wrapText="1"/>
      <protection locked="0" hidden="1"/>
    </xf>
    <xf numFmtId="165" fontId="9" fillId="19" borderId="11" xfId="41" applyNumberFormat="1" applyFont="1" applyFill="1" applyBorder="1" applyAlignment="1" applyProtection="1">
      <alignment vertical="top" wrapText="1"/>
      <protection locked="0" hidden="1"/>
    </xf>
    <xf numFmtId="165" fontId="9" fillId="35" borderId="57" xfId="41" applyNumberFormat="1" applyFont="1" applyFill="1" applyBorder="1" applyAlignment="1" applyProtection="1">
      <alignment vertical="top" wrapText="1"/>
      <protection locked="0" hidden="1"/>
    </xf>
    <xf numFmtId="165" fontId="9" fillId="35" borderId="12" xfId="41" applyNumberFormat="1" applyFont="1" applyFill="1" applyBorder="1" applyAlignment="1" applyProtection="1">
      <alignment vertical="top" wrapText="1"/>
      <protection locked="0" hidden="1"/>
    </xf>
    <xf numFmtId="165" fontId="9" fillId="35" borderId="18" xfId="41" applyNumberFormat="1" applyFont="1" applyFill="1" applyBorder="1" applyAlignment="1" applyProtection="1">
      <alignment horizontal="center" vertical="top" wrapText="1"/>
      <protection locked="0" hidden="1"/>
    </xf>
    <xf numFmtId="165" fontId="9" fillId="19" borderId="61" xfId="41" applyNumberFormat="1" applyFont="1" applyFill="1" applyBorder="1" applyAlignment="1" applyProtection="1">
      <alignment horizontal="center" vertical="top" wrapText="1"/>
      <protection locked="0" hidden="1"/>
    </xf>
    <xf numFmtId="165" fontId="9" fillId="35" borderId="45" xfId="41" applyNumberFormat="1" applyFont="1" applyFill="1" applyBorder="1" applyAlignment="1" applyProtection="1">
      <alignment horizontal="center" vertical="top" wrapText="1"/>
      <protection locked="0" hidden="1"/>
    </xf>
    <xf numFmtId="165" fontId="9" fillId="35" borderId="117" xfId="41" applyNumberFormat="1" applyFont="1" applyFill="1" applyBorder="1" applyAlignment="1" applyProtection="1">
      <alignment horizontal="center" vertical="top" wrapText="1"/>
      <protection locked="0" hidden="1"/>
    </xf>
    <xf numFmtId="0" fontId="9" fillId="38" borderId="0" xfId="41" applyFont="1" applyFill="1" applyAlignment="1" applyProtection="1">
      <alignment vertical="top" wrapText="1"/>
      <protection locked="0" hidden="1"/>
    </xf>
    <xf numFmtId="10" fontId="9" fillId="38" borderId="0" xfId="41" applyNumberFormat="1" applyFont="1" applyFill="1" applyAlignment="1" applyProtection="1">
      <alignment vertical="top" wrapText="1"/>
      <protection locked="0" hidden="1"/>
    </xf>
    <xf numFmtId="2" fontId="128" fillId="38" borderId="53" xfId="41" applyNumberFormat="1" applyFont="1" applyFill="1" applyBorder="1" applyAlignment="1" applyProtection="1">
      <alignment vertical="top" wrapText="1"/>
      <protection locked="0" hidden="1"/>
    </xf>
    <xf numFmtId="0" fontId="9" fillId="38" borderId="0" xfId="41" applyFont="1" applyFill="1" applyBorder="1" applyAlignment="1" applyProtection="1">
      <alignment vertical="top" wrapText="1"/>
      <protection locked="0" hidden="1"/>
    </xf>
    <xf numFmtId="165" fontId="128" fillId="38" borderId="0" xfId="41" applyNumberFormat="1" applyFont="1" applyFill="1" applyBorder="1" applyAlignment="1" applyProtection="1">
      <alignment horizontal="center" vertical="center" wrapText="1"/>
      <protection locked="0" hidden="1"/>
    </xf>
    <xf numFmtId="0" fontId="180" fillId="38" borderId="0" xfId="41" applyFont="1" applyFill="1" applyAlignment="1" applyProtection="1">
      <alignment horizontal="left"/>
      <protection locked="0" hidden="1"/>
    </xf>
    <xf numFmtId="0" fontId="88" fillId="38" borderId="0" xfId="41" applyFont="1" applyFill="1" applyAlignment="1" applyProtection="1">
      <alignment horizontal="center"/>
      <protection locked="0" hidden="1"/>
    </xf>
    <xf numFmtId="165" fontId="128" fillId="20" borderId="53" xfId="41" applyNumberFormat="1" applyFont="1" applyFill="1" applyBorder="1" applyAlignment="1" applyProtection="1">
      <alignment horizontal="center" vertical="center" wrapText="1"/>
      <protection locked="0" hidden="1"/>
    </xf>
    <xf numFmtId="165" fontId="16" fillId="20" borderId="53" xfId="41" applyNumberFormat="1" applyFont="1" applyFill="1" applyBorder="1" applyAlignment="1" applyProtection="1">
      <alignment horizontal="center" vertical="center"/>
      <protection hidden="1"/>
    </xf>
    <xf numFmtId="165" fontId="128" fillId="38" borderId="53" xfId="41" applyNumberFormat="1" applyFont="1" applyFill="1" applyBorder="1" applyAlignment="1" applyProtection="1">
      <alignment vertical="top" wrapText="1"/>
      <protection locked="0" hidden="1"/>
    </xf>
    <xf numFmtId="0" fontId="181" fillId="0" borderId="21" xfId="41" applyFont="1" applyFill="1" applyBorder="1" applyAlignment="1" applyProtection="1">
      <alignment vertical="top" wrapText="1"/>
      <protection locked="0" hidden="1"/>
    </xf>
    <xf numFmtId="0" fontId="9" fillId="38" borderId="0" xfId="41" applyFont="1" applyFill="1" applyAlignment="1" applyProtection="1">
      <alignment vertical="top" wrapText="1"/>
      <protection hidden="1"/>
    </xf>
    <xf numFmtId="0" fontId="181" fillId="38" borderId="0" xfId="41" applyFont="1" applyFill="1" applyBorder="1" applyAlignment="1" applyProtection="1">
      <alignment vertical="top" wrapText="1"/>
      <protection locked="0" hidden="1"/>
    </xf>
    <xf numFmtId="0" fontId="181" fillId="38" borderId="20" xfId="41" applyFont="1" applyFill="1" applyBorder="1" applyAlignment="1" applyProtection="1">
      <alignment vertical="top" wrapText="1"/>
      <protection locked="0" hidden="1"/>
    </xf>
    <xf numFmtId="0" fontId="9" fillId="37" borderId="0" xfId="41" applyFont="1" applyFill="1" applyAlignment="1" applyProtection="1">
      <alignment vertical="top"/>
      <protection hidden="1"/>
    </xf>
    <xf numFmtId="0" fontId="9" fillId="37" borderId="0" xfId="41" applyFont="1" applyFill="1" applyAlignment="1" applyProtection="1">
      <alignment vertical="center" wrapText="1"/>
      <protection hidden="1"/>
    </xf>
    <xf numFmtId="0" fontId="9" fillId="37" borderId="0" xfId="41" applyFont="1" applyFill="1" applyBorder="1" applyAlignment="1" applyProtection="1">
      <alignment vertical="top" wrapText="1"/>
      <protection hidden="1"/>
    </xf>
    <xf numFmtId="0" fontId="77" fillId="37" borderId="0" xfId="41" applyFont="1" applyFill="1" applyAlignment="1" applyProtection="1">
      <alignment vertical="top" wrapText="1"/>
      <protection hidden="1"/>
    </xf>
    <xf numFmtId="0" fontId="140" fillId="37" borderId="0" xfId="41" applyFont="1" applyFill="1" applyAlignment="1" applyProtection="1">
      <alignment vertical="top" wrapText="1"/>
      <protection hidden="1"/>
    </xf>
    <xf numFmtId="0" fontId="140" fillId="37" borderId="0" xfId="41" applyFont="1" applyFill="1" applyAlignment="1" applyProtection="1">
      <alignment vertical="top"/>
      <protection hidden="1"/>
    </xf>
    <xf numFmtId="167" fontId="140" fillId="37" borderId="0" xfId="41" applyNumberFormat="1" applyFont="1" applyFill="1" applyAlignment="1" applyProtection="1">
      <alignment horizontal="center" vertical="top"/>
      <protection hidden="1"/>
    </xf>
    <xf numFmtId="167" fontId="140" fillId="37" borderId="0" xfId="41" applyNumberFormat="1" applyFont="1" applyFill="1" applyAlignment="1" applyProtection="1">
      <alignment horizontal="center" vertical="top" wrapText="1"/>
      <protection hidden="1"/>
    </xf>
    <xf numFmtId="0" fontId="140" fillId="37" borderId="0" xfId="41" applyFont="1" applyFill="1" applyBorder="1" applyAlignment="1" applyProtection="1">
      <alignment vertical="top" wrapText="1"/>
      <protection hidden="1"/>
    </xf>
    <xf numFmtId="1" fontId="9" fillId="0" borderId="19" xfId="41" applyNumberFormat="1" applyFont="1" applyFill="1" applyBorder="1" applyAlignment="1" applyProtection="1">
      <alignment vertical="top"/>
      <protection hidden="1"/>
    </xf>
    <xf numFmtId="3" fontId="9" fillId="0" borderId="19" xfId="41" applyNumberFormat="1" applyFont="1" applyFill="1" applyBorder="1" applyAlignment="1" applyProtection="1">
      <alignment vertical="top"/>
      <protection hidden="1"/>
    </xf>
    <xf numFmtId="3" fontId="9" fillId="0" borderId="71" xfId="41" applyNumberFormat="1" applyFont="1" applyFill="1" applyBorder="1" applyAlignment="1" applyProtection="1">
      <alignment vertical="top"/>
      <protection locked="0" hidden="1"/>
    </xf>
    <xf numFmtId="3" fontId="9" fillId="0" borderId="71" xfId="41" applyNumberFormat="1" applyFont="1" applyFill="1" applyBorder="1" applyAlignment="1" applyProtection="1">
      <alignment vertical="top"/>
      <protection hidden="1"/>
    </xf>
    <xf numFmtId="3" fontId="9" fillId="0" borderId="83" xfId="41" applyNumberFormat="1" applyFont="1" applyFill="1" applyBorder="1" applyAlignment="1" applyProtection="1">
      <alignment vertical="top"/>
      <protection hidden="1"/>
    </xf>
    <xf numFmtId="0" fontId="128" fillId="0" borderId="50" xfId="41" applyFont="1" applyFill="1" applyBorder="1" applyAlignment="1" applyProtection="1">
      <alignment vertical="top"/>
      <protection locked="0" hidden="1"/>
    </xf>
    <xf numFmtId="3" fontId="9" fillId="0" borderId="51" xfId="41" applyNumberFormat="1" applyFont="1" applyFill="1" applyBorder="1" applyAlignment="1" applyProtection="1">
      <alignment vertical="top"/>
      <protection locked="0" hidden="1"/>
    </xf>
    <xf numFmtId="3" fontId="9" fillId="0" borderId="51" xfId="41" applyNumberFormat="1" applyFont="1" applyFill="1" applyBorder="1" applyAlignment="1" applyProtection="1">
      <alignment vertical="top"/>
      <protection hidden="1"/>
    </xf>
    <xf numFmtId="3" fontId="9" fillId="0" borderId="52" xfId="41" applyNumberFormat="1" applyFont="1" applyFill="1" applyBorder="1" applyAlignment="1" applyProtection="1">
      <alignment vertical="top"/>
      <protection hidden="1"/>
    </xf>
    <xf numFmtId="0" fontId="128" fillId="0" borderId="13" xfId="41" applyFont="1" applyFill="1" applyBorder="1" applyAlignment="1" applyProtection="1">
      <alignment vertical="top"/>
      <protection locked="0" hidden="1"/>
    </xf>
    <xf numFmtId="10" fontId="9" fillId="0" borderId="44" xfId="41" applyNumberFormat="1" applyFont="1" applyFill="1" applyBorder="1" applyAlignment="1" applyProtection="1">
      <alignment vertical="top"/>
      <protection locked="0" hidden="1"/>
    </xf>
    <xf numFmtId="10" fontId="9" fillId="0" borderId="14" xfId="41" applyNumberFormat="1" applyFont="1" applyFill="1" applyBorder="1" applyAlignment="1" applyProtection="1">
      <alignment vertical="top"/>
      <protection locked="0" hidden="1"/>
    </xf>
    <xf numFmtId="0" fontId="128" fillId="0" borderId="45" xfId="41" applyFont="1" applyFill="1" applyBorder="1" applyAlignment="1" applyProtection="1">
      <alignment vertical="top" wrapText="1"/>
      <protection locked="0" hidden="1"/>
    </xf>
    <xf numFmtId="3" fontId="9" fillId="0" borderId="22" xfId="41" applyNumberFormat="1" applyFont="1" applyFill="1" applyBorder="1" applyAlignment="1" applyProtection="1">
      <alignment vertical="top"/>
      <protection hidden="1"/>
    </xf>
    <xf numFmtId="1" fontId="9" fillId="24" borderId="51" xfId="41" applyNumberFormat="1" applyFont="1" applyFill="1" applyBorder="1" applyAlignment="1" applyProtection="1">
      <alignment vertical="top" wrapText="1"/>
      <protection hidden="1"/>
    </xf>
    <xf numFmtId="0" fontId="15" fillId="34" borderId="13" xfId="41" applyFont="1" applyFill="1" applyBorder="1" applyAlignment="1" applyProtection="1">
      <alignment horizontal="right" vertical="top"/>
      <protection locked="0" hidden="1"/>
    </xf>
    <xf numFmtId="0" fontId="15" fillId="34" borderId="18" xfId="41" applyFont="1" applyFill="1" applyBorder="1" applyAlignment="1" applyProtection="1">
      <alignment vertical="top"/>
      <protection locked="0" hidden="1"/>
    </xf>
    <xf numFmtId="0" fontId="15" fillId="34" borderId="72" xfId="41" applyFont="1" applyFill="1" applyBorder="1" applyAlignment="1" applyProtection="1">
      <alignment vertical="top"/>
      <protection locked="0" hidden="1"/>
    </xf>
    <xf numFmtId="0" fontId="128" fillId="34" borderId="50" xfId="41" applyFont="1" applyFill="1" applyBorder="1" applyAlignment="1" applyProtection="1">
      <alignment vertical="top" wrapText="1"/>
      <protection hidden="1"/>
    </xf>
    <xf numFmtId="0" fontId="15" fillId="34" borderId="44" xfId="41" applyFont="1" applyFill="1" applyBorder="1" applyAlignment="1" applyProtection="1">
      <alignment vertical="top"/>
      <protection locked="0" hidden="1"/>
    </xf>
    <xf numFmtId="0" fontId="15" fillId="34" borderId="44" xfId="41" applyFont="1" applyFill="1" applyBorder="1" applyAlignment="1" applyProtection="1">
      <alignment vertical="top"/>
      <protection hidden="1"/>
    </xf>
    <xf numFmtId="0" fontId="15" fillId="34" borderId="14" xfId="41" applyFont="1" applyFill="1" applyBorder="1" applyAlignment="1" applyProtection="1">
      <alignment vertical="top"/>
      <protection hidden="1"/>
    </xf>
    <xf numFmtId="0" fontId="18" fillId="23" borderId="0" xfId="41" applyFont="1" applyFill="1" applyBorder="1" applyAlignment="1" applyProtection="1">
      <alignment horizontal="center" vertical="center" wrapText="1"/>
      <protection hidden="1"/>
    </xf>
    <xf numFmtId="0" fontId="9" fillId="20" borderId="53" xfId="41" applyFont="1" applyFill="1" applyBorder="1" applyAlignment="1" applyProtection="1">
      <alignment vertical="top" wrapText="1"/>
      <protection locked="0" hidden="1"/>
    </xf>
    <xf numFmtId="0" fontId="68" fillId="23" borderId="0" xfId="41" applyFont="1" applyFill="1" applyBorder="1" applyAlignment="1" applyProtection="1">
      <alignment vertical="top" wrapText="1"/>
      <protection hidden="1"/>
    </xf>
    <xf numFmtId="0" fontId="7" fillId="23" borderId="0" xfId="41" applyFont="1" applyFill="1" applyBorder="1" applyAlignment="1" applyProtection="1">
      <alignment vertical="top"/>
      <protection hidden="1"/>
    </xf>
    <xf numFmtId="0" fontId="67" fillId="23" borderId="0" xfId="41" applyFont="1" applyFill="1" applyBorder="1" applyAlignment="1" applyProtection="1">
      <alignment vertical="top"/>
      <protection hidden="1"/>
    </xf>
    <xf numFmtId="1" fontId="51" fillId="23" borderId="0" xfId="41" applyNumberFormat="1" applyFont="1" applyFill="1" applyBorder="1" applyAlignment="1" applyProtection="1">
      <alignment horizontal="left" vertical="center"/>
      <protection hidden="1"/>
    </xf>
    <xf numFmtId="3" fontId="16" fillId="23" borderId="0" xfId="41" applyNumberFormat="1" applyFont="1" applyFill="1" applyBorder="1" applyAlignment="1" applyProtection="1">
      <alignment horizontal="center" vertical="center"/>
      <protection hidden="1"/>
    </xf>
    <xf numFmtId="0" fontId="134" fillId="23" borderId="0" xfId="41" applyFont="1" applyFill="1" applyBorder="1" applyAlignment="1" applyProtection="1">
      <alignment horizontal="center" vertical="top"/>
      <protection hidden="1"/>
    </xf>
    <xf numFmtId="0" fontId="109" fillId="23" borderId="0" xfId="41" applyFont="1" applyFill="1" applyBorder="1" applyAlignment="1" applyProtection="1">
      <alignment horizontal="center" vertical="top"/>
      <protection hidden="1"/>
    </xf>
    <xf numFmtId="0" fontId="60" fillId="23" borderId="0" xfId="0" applyFont="1" applyFill="1" applyAlignment="1">
      <alignment wrapText="1"/>
    </xf>
    <xf numFmtId="0" fontId="18" fillId="17" borderId="0" xfId="0" applyNumberFormat="1" applyFont="1" applyFill="1" applyBorder="1" applyAlignment="1" applyProtection="1">
      <alignment horizontal="justify"/>
      <protection hidden="1"/>
    </xf>
    <xf numFmtId="0" fontId="13" fillId="0" borderId="0" xfId="0" applyFont="1"/>
    <xf numFmtId="0" fontId="7" fillId="39" borderId="0" xfId="43" applyFont="1" applyFill="1" applyAlignment="1" applyProtection="1">
      <alignment vertical="top" wrapText="1"/>
      <protection hidden="1"/>
    </xf>
    <xf numFmtId="0" fontId="104" fillId="17" borderId="0" xfId="43" applyFont="1" applyFill="1" applyAlignment="1" applyProtection="1">
      <alignment vertical="top"/>
      <protection hidden="1"/>
    </xf>
    <xf numFmtId="0" fontId="18" fillId="26" borderId="0" xfId="0" applyNumberFormat="1" applyFont="1" applyFill="1" applyBorder="1" applyAlignment="1" applyProtection="1">
      <alignment horizontal="justify"/>
      <protection hidden="1"/>
    </xf>
    <xf numFmtId="0" fontId="104" fillId="17" borderId="80" xfId="0" applyFont="1" applyFill="1" applyBorder="1" applyAlignment="1" applyProtection="1">
      <alignment vertical="top" wrapText="1"/>
      <protection hidden="1"/>
    </xf>
    <xf numFmtId="0" fontId="0" fillId="23" borderId="0" xfId="0" applyFill="1" applyBorder="1" applyAlignment="1" applyProtection="1">
      <alignment horizontal="center"/>
      <protection locked="0" hidden="1"/>
    </xf>
    <xf numFmtId="0" fontId="51" fillId="23" borderId="53" xfId="43" applyFont="1" applyFill="1" applyBorder="1" applyAlignment="1" applyProtection="1">
      <alignment horizontal="center" vertical="center" wrapText="1"/>
      <protection hidden="1"/>
    </xf>
    <xf numFmtId="0" fontId="51" fillId="23" borderId="76" xfId="0" applyFont="1" applyFill="1" applyBorder="1" applyAlignment="1" applyProtection="1">
      <alignment horizontal="justify" vertical="center"/>
      <protection hidden="1"/>
    </xf>
    <xf numFmtId="178" fontId="104" fillId="17" borderId="115" xfId="43" applyNumberFormat="1" applyFont="1" applyFill="1" applyBorder="1" applyAlignment="1" applyProtection="1">
      <alignment horizontal="center" vertical="top" wrapText="1"/>
      <protection hidden="1"/>
    </xf>
    <xf numFmtId="178" fontId="104" fillId="17" borderId="11" xfId="43" applyNumberFormat="1" applyFont="1" applyFill="1" applyBorder="1" applyAlignment="1" applyProtection="1">
      <alignment horizontal="center" vertical="top" wrapText="1"/>
      <protection hidden="1"/>
    </xf>
    <xf numFmtId="178" fontId="104" fillId="17" borderId="12" xfId="43" applyNumberFormat="1" applyFont="1" applyFill="1" applyBorder="1" applyAlignment="1" applyProtection="1">
      <alignment horizontal="center" vertical="top" wrapText="1"/>
      <protection hidden="1"/>
    </xf>
    <xf numFmtId="0" fontId="104" fillId="17" borderId="80" xfId="0" applyFont="1" applyFill="1" applyBorder="1" applyAlignment="1" applyProtection="1">
      <alignment horizontal="justify" wrapText="1"/>
      <protection hidden="1"/>
    </xf>
    <xf numFmtId="0" fontId="185" fillId="24" borderId="40" xfId="40" applyFont="1" applyFill="1" applyBorder="1" applyAlignment="1" applyProtection="1">
      <alignment horizontal="center" vertical="center" wrapText="1"/>
      <protection hidden="1"/>
    </xf>
    <xf numFmtId="0" fontId="0" fillId="40" borderId="0" xfId="0" applyFill="1" applyBorder="1" applyProtection="1">
      <protection locked="0" hidden="1"/>
    </xf>
    <xf numFmtId="0" fontId="186" fillId="40" borderId="0" xfId="0" applyFont="1" applyFill="1" applyBorder="1" applyProtection="1">
      <protection locked="0" hidden="1"/>
    </xf>
    <xf numFmtId="0" fontId="186" fillId="40" borderId="0" xfId="0" applyFont="1" applyFill="1" applyBorder="1" applyAlignment="1" applyProtection="1">
      <alignment vertical="center"/>
      <protection locked="0" hidden="1"/>
    </xf>
    <xf numFmtId="0" fontId="36" fillId="40" borderId="0" xfId="40" applyFont="1" applyFill="1" applyAlignment="1" applyProtection="1">
      <alignment horizontal="left" vertical="top" wrapText="1"/>
      <protection locked="0" hidden="1"/>
    </xf>
    <xf numFmtId="0" fontId="188" fillId="40" borderId="0" xfId="42" applyFont="1" applyFill="1" applyProtection="1">
      <protection locked="0" hidden="1"/>
    </xf>
    <xf numFmtId="0" fontId="36" fillId="40" borderId="0" xfId="42" applyFont="1" applyFill="1" applyAlignment="1" applyProtection="1">
      <alignment horizontal="left"/>
      <protection locked="0" hidden="1"/>
    </xf>
    <xf numFmtId="0" fontId="36" fillId="40" borderId="0" xfId="40" applyFont="1" applyFill="1" applyAlignment="1" applyProtection="1">
      <alignment horizontal="left" vertical="top"/>
      <protection locked="0" hidden="1"/>
    </xf>
    <xf numFmtId="0" fontId="36" fillId="40" borderId="0" xfId="42" applyFont="1" applyFill="1" applyAlignment="1" applyProtection="1">
      <protection locked="0" hidden="1"/>
    </xf>
    <xf numFmtId="0" fontId="36" fillId="40" borderId="0" xfId="42" applyFont="1" applyFill="1" applyProtection="1">
      <protection locked="0" hidden="1"/>
    </xf>
    <xf numFmtId="0" fontId="188" fillId="40" borderId="0" xfId="40" applyFont="1" applyFill="1" applyAlignment="1" applyProtection="1">
      <alignment horizontal="left" vertical="top"/>
      <protection locked="0" hidden="1"/>
    </xf>
    <xf numFmtId="0" fontId="165" fillId="40" borderId="0" xfId="40" applyFont="1" applyFill="1" applyAlignment="1" applyProtection="1">
      <alignment horizontal="left" vertical="top"/>
      <protection locked="0" hidden="1"/>
    </xf>
    <xf numFmtId="0" fontId="37" fillId="40" borderId="0" xfId="40" applyFont="1" applyFill="1" applyAlignment="1" applyProtection="1">
      <alignment horizontal="left" vertical="top"/>
      <protection locked="0" hidden="1"/>
    </xf>
    <xf numFmtId="0" fontId="36" fillId="40" borderId="0" xfId="40" applyFont="1" applyFill="1" applyAlignment="1" applyProtection="1">
      <alignment horizontal="right" vertical="top"/>
      <protection locked="0" hidden="1"/>
    </xf>
    <xf numFmtId="3" fontId="36" fillId="40" borderId="53" xfId="40" applyNumberFormat="1" applyFont="1" applyFill="1" applyBorder="1" applyAlignment="1" applyProtection="1">
      <alignment horizontal="left" vertical="top" wrapText="1"/>
      <protection locked="0" hidden="1"/>
    </xf>
    <xf numFmtId="0" fontId="36" fillId="40" borderId="53" xfId="40" applyFont="1" applyFill="1" applyBorder="1" applyAlignment="1" applyProtection="1">
      <alignment horizontal="left" vertical="top"/>
      <protection locked="0" hidden="1"/>
    </xf>
    <xf numFmtId="0" fontId="36" fillId="40" borderId="53" xfId="40" applyFont="1" applyFill="1" applyBorder="1" applyAlignment="1" applyProtection="1">
      <alignment horizontal="left" vertical="top" wrapText="1"/>
      <protection locked="0" hidden="1"/>
    </xf>
    <xf numFmtId="3" fontId="34" fillId="26" borderId="53" xfId="41" applyNumberFormat="1" applyFont="1" applyFill="1" applyBorder="1" applyAlignment="1" applyProtection="1">
      <alignment horizontal="center" vertical="center"/>
      <protection hidden="1"/>
    </xf>
    <xf numFmtId="0" fontId="134" fillId="23" borderId="0" xfId="39" applyFont="1" applyFill="1" applyAlignment="1"/>
    <xf numFmtId="0" fontId="101" fillId="23" borderId="0" xfId="0" applyFont="1" applyFill="1" applyBorder="1" applyAlignment="1" applyProtection="1">
      <alignment horizontal="left" vertical="top"/>
    </xf>
    <xf numFmtId="0" fontId="189" fillId="23" borderId="0" xfId="39" applyFont="1" applyFill="1" applyAlignment="1"/>
    <xf numFmtId="0" fontId="36" fillId="40" borderId="0" xfId="40" applyFont="1" applyFill="1" applyBorder="1" applyAlignment="1" applyProtection="1">
      <alignment horizontal="left" vertical="top" wrapText="1"/>
      <protection locked="0" hidden="1"/>
    </xf>
    <xf numFmtId="0" fontId="51" fillId="40" borderId="0" xfId="40" applyFont="1" applyFill="1" applyBorder="1" applyAlignment="1" applyProtection="1">
      <alignment horizontal="left" vertical="top"/>
      <protection locked="0" hidden="1"/>
    </xf>
    <xf numFmtId="0" fontId="51" fillId="40" borderId="0" xfId="40" applyFont="1" applyFill="1" applyBorder="1" applyAlignment="1" applyProtection="1">
      <alignment horizontal="left" vertical="top" wrapText="1"/>
      <protection locked="0" hidden="1"/>
    </xf>
    <xf numFmtId="0" fontId="36" fillId="40" borderId="0" xfId="40" applyFont="1" applyFill="1" applyBorder="1" applyAlignment="1" applyProtection="1">
      <alignment horizontal="left" vertical="top"/>
      <protection locked="0" hidden="1"/>
    </xf>
    <xf numFmtId="0" fontId="51" fillId="40" borderId="15" xfId="40" applyFont="1" applyFill="1" applyBorder="1" applyAlignment="1" applyProtection="1">
      <alignment horizontal="left" vertical="top"/>
      <protection locked="0" hidden="1"/>
    </xf>
    <xf numFmtId="0" fontId="36" fillId="40" borderId="17" xfId="40" applyFont="1" applyFill="1" applyBorder="1" applyAlignment="1" applyProtection="1">
      <alignment horizontal="left" vertical="top" wrapText="1"/>
      <protection locked="0" hidden="1"/>
    </xf>
    <xf numFmtId="0" fontId="51" fillId="40" borderId="20" xfId="40" applyFont="1" applyFill="1" applyBorder="1" applyAlignment="1" applyProtection="1">
      <alignment horizontal="left" vertical="top"/>
      <protection locked="0" hidden="1"/>
    </xf>
    <xf numFmtId="0" fontId="36" fillId="40" borderId="21" xfId="40" applyFont="1" applyFill="1" applyBorder="1" applyAlignment="1" applyProtection="1">
      <alignment horizontal="left" vertical="top" wrapText="1"/>
      <protection locked="0" hidden="1"/>
    </xf>
    <xf numFmtId="0" fontId="51" fillId="40" borderId="23" xfId="40" applyFont="1" applyFill="1" applyBorder="1" applyAlignment="1" applyProtection="1">
      <alignment horizontal="left" vertical="top"/>
      <protection locked="0" hidden="1"/>
    </xf>
    <xf numFmtId="0" fontId="36" fillId="40" borderId="25" xfId="40" applyFont="1" applyFill="1" applyBorder="1" applyAlignment="1" applyProtection="1">
      <alignment horizontal="left" vertical="top" wrapText="1"/>
      <protection locked="0" hidden="1"/>
    </xf>
    <xf numFmtId="0" fontId="60" fillId="23" borderId="20" xfId="0" applyFont="1" applyFill="1" applyBorder="1" applyAlignment="1">
      <alignment wrapText="1"/>
    </xf>
    <xf numFmtId="0" fontId="53" fillId="26" borderId="62" xfId="39" applyFont="1" applyFill="1" applyBorder="1" applyAlignment="1">
      <alignment vertical="center"/>
    </xf>
    <xf numFmtId="0" fontId="53" fillId="26" borderId="54" xfId="39" applyFont="1" applyFill="1" applyBorder="1" applyAlignment="1">
      <alignment vertical="center"/>
    </xf>
    <xf numFmtId="0" fontId="53" fillId="26" borderId="123" xfId="39" applyFont="1" applyFill="1" applyBorder="1" applyAlignment="1">
      <alignment vertical="center"/>
    </xf>
    <xf numFmtId="0" fontId="53" fillId="26" borderId="56" xfId="39" applyFont="1" applyFill="1" applyBorder="1" applyAlignment="1">
      <alignment vertical="center"/>
    </xf>
    <xf numFmtId="0" fontId="53" fillId="26" borderId="57" xfId="39" applyFont="1" applyFill="1" applyBorder="1" applyAlignment="1">
      <alignment vertical="center"/>
    </xf>
    <xf numFmtId="0" fontId="53" fillId="26" borderId="124" xfId="39" applyFont="1" applyFill="1" applyBorder="1" applyAlignment="1">
      <alignment vertical="center"/>
    </xf>
    <xf numFmtId="0" fontId="53" fillId="26" borderId="79" xfId="39" applyFont="1" applyFill="1" applyBorder="1" applyAlignment="1">
      <alignment vertical="center"/>
    </xf>
    <xf numFmtId="0" fontId="53" fillId="26" borderId="80" xfId="39" applyFont="1" applyFill="1" applyBorder="1" applyAlignment="1">
      <alignment vertical="center"/>
    </xf>
    <xf numFmtId="0" fontId="53" fillId="26" borderId="81" xfId="39" applyFont="1" applyFill="1" applyBorder="1" applyAlignment="1">
      <alignment vertical="center"/>
    </xf>
    <xf numFmtId="172" fontId="24" fillId="0" borderId="19" xfId="28" applyNumberFormat="1" applyFont="1" applyFill="1" applyBorder="1" applyAlignment="1" applyProtection="1">
      <alignment horizontal="right" vertical="center" wrapText="1"/>
      <protection locked="0"/>
    </xf>
    <xf numFmtId="172" fontId="24" fillId="26" borderId="19" xfId="28" applyNumberFormat="1" applyFont="1" applyFill="1" applyBorder="1" applyAlignment="1" applyProtection="1">
      <alignment horizontal="right" vertical="center" wrapText="1"/>
    </xf>
    <xf numFmtId="172" fontId="24" fillId="0" borderId="19" xfId="28" applyNumberFormat="1" applyFont="1" applyFill="1" applyBorder="1" applyAlignment="1" applyProtection="1">
      <alignment horizontal="right" vertical="center"/>
      <protection locked="0"/>
    </xf>
    <xf numFmtId="0" fontId="68" fillId="26" borderId="49" xfId="0" applyFont="1" applyFill="1" applyBorder="1" applyAlignment="1" applyProtection="1">
      <alignment horizontal="left" vertical="center"/>
    </xf>
    <xf numFmtId="0" fontId="68" fillId="26" borderId="75" xfId="0" applyFont="1" applyFill="1" applyBorder="1" applyAlignment="1" applyProtection="1">
      <alignment vertical="center"/>
    </xf>
    <xf numFmtId="172" fontId="24" fillId="17" borderId="43" xfId="28" applyNumberFormat="1" applyFont="1" applyFill="1" applyBorder="1" applyAlignment="1" applyProtection="1">
      <alignment horizontal="right" vertical="center" wrapText="1"/>
      <protection locked="0"/>
    </xf>
    <xf numFmtId="172" fontId="24" fillId="0" borderId="48" xfId="28" applyNumberFormat="1" applyFont="1" applyFill="1" applyBorder="1" applyAlignment="1" applyProtection="1">
      <alignment horizontal="right" vertical="center" wrapText="1"/>
      <protection locked="0"/>
    </xf>
    <xf numFmtId="0" fontId="99" fillId="26" borderId="125" xfId="0" applyFont="1" applyFill="1" applyBorder="1" applyAlignment="1" applyProtection="1">
      <alignment horizontal="center" vertical="center" wrapText="1"/>
    </xf>
    <xf numFmtId="0" fontId="7" fillId="26" borderId="57" xfId="39" applyFill="1" applyBorder="1" applyAlignment="1">
      <alignment vertical="center"/>
    </xf>
    <xf numFmtId="0" fontId="7" fillId="26" borderId="124" xfId="39" applyFill="1" applyBorder="1" applyAlignment="1">
      <alignment vertical="center"/>
    </xf>
    <xf numFmtId="0" fontId="53" fillId="26" borderId="74" xfId="39" applyFont="1" applyFill="1" applyBorder="1" applyAlignment="1">
      <alignment horizontal="right" vertical="center"/>
    </xf>
    <xf numFmtId="0" fontId="36" fillId="26" borderId="74" xfId="39" applyFont="1" applyFill="1" applyBorder="1" applyAlignment="1" applyProtection="1">
      <alignment vertical="center"/>
    </xf>
    <xf numFmtId="0" fontId="36" fillId="26" borderId="46" xfId="39" applyFont="1" applyFill="1" applyBorder="1" applyAlignment="1" applyProtection="1">
      <alignment vertical="center"/>
    </xf>
    <xf numFmtId="0" fontId="36" fillId="26" borderId="22" xfId="39" applyFont="1" applyFill="1" applyBorder="1" applyAlignment="1" applyProtection="1">
      <alignment vertical="center"/>
    </xf>
    <xf numFmtId="172" fontId="57" fillId="0" borderId="46" xfId="28" applyNumberFormat="1" applyFont="1" applyFill="1" applyBorder="1" applyAlignment="1" applyProtection="1">
      <alignment horizontal="right"/>
      <protection locked="0"/>
    </xf>
    <xf numFmtId="0" fontId="0" fillId="26" borderId="114" xfId="0" applyFill="1" applyBorder="1" applyProtection="1"/>
    <xf numFmtId="3" fontId="37" fillId="26" borderId="48" xfId="0" applyNumberFormat="1" applyFont="1" applyFill="1" applyBorder="1" applyAlignment="1" applyProtection="1">
      <alignment horizontal="right" wrapText="1"/>
    </xf>
    <xf numFmtId="0" fontId="53" fillId="26" borderId="75" xfId="0" applyFont="1" applyFill="1" applyBorder="1" applyAlignment="1" applyProtection="1">
      <alignment vertical="center"/>
    </xf>
    <xf numFmtId="0" fontId="7" fillId="26" borderId="75" xfId="39" applyFill="1" applyBorder="1" applyAlignment="1">
      <alignment vertical="center"/>
    </xf>
    <xf numFmtId="0" fontId="53" fillId="26" borderId="76" xfId="0" applyFont="1" applyFill="1" applyBorder="1" applyAlignment="1" applyProtection="1">
      <alignment horizontal="right" vertical="center"/>
    </xf>
    <xf numFmtId="0" fontId="53" fillId="26" borderId="75" xfId="0" applyFont="1" applyFill="1" applyBorder="1" applyAlignment="1" applyProtection="1">
      <alignment horizontal="right" vertical="center"/>
    </xf>
    <xf numFmtId="1" fontId="53" fillId="26" borderId="76" xfId="0" applyNumberFormat="1" applyFont="1" applyFill="1" applyBorder="1" applyAlignment="1" applyProtection="1">
      <alignment horizontal="center" vertical="center"/>
    </xf>
    <xf numFmtId="0" fontId="68" fillId="26" borderId="56" xfId="0" applyFont="1" applyFill="1" applyBorder="1" applyAlignment="1" applyProtection="1">
      <alignment horizontal="left" indent="1"/>
    </xf>
    <xf numFmtId="0" fontId="36" fillId="26" borderId="19" xfId="0" applyFont="1" applyFill="1" applyBorder="1" applyProtection="1"/>
    <xf numFmtId="0" fontId="51" fillId="26" borderId="23" xfId="0" applyFont="1" applyFill="1" applyBorder="1" applyAlignment="1" applyProtection="1">
      <alignment horizontal="left" vertical="center"/>
    </xf>
    <xf numFmtId="0" fontId="53" fillId="26" borderId="24" xfId="0" applyFont="1" applyFill="1" applyBorder="1" applyAlignment="1" applyProtection="1">
      <alignment vertical="center"/>
    </xf>
    <xf numFmtId="0" fontId="53" fillId="26" borderId="24" xfId="0" applyFont="1" applyFill="1" applyBorder="1" applyAlignment="1" applyProtection="1">
      <alignment horizontal="right" vertical="center"/>
    </xf>
    <xf numFmtId="0" fontId="36" fillId="26" borderId="22" xfId="0" applyFont="1" applyFill="1" applyBorder="1" applyAlignment="1" applyProtection="1">
      <alignment vertical="center"/>
    </xf>
    <xf numFmtId="0" fontId="68" fillId="26" borderId="114" xfId="0" applyFont="1" applyFill="1" applyBorder="1" applyAlignment="1" applyProtection="1">
      <alignment horizontal="left" indent="1"/>
    </xf>
    <xf numFmtId="0" fontId="36" fillId="26" borderId="32" xfId="0" applyFont="1" applyFill="1" applyBorder="1" applyAlignment="1" applyProtection="1">
      <alignment vertical="center"/>
    </xf>
    <xf numFmtId="0" fontId="36" fillId="26" borderId="48" xfId="0" applyFont="1" applyFill="1" applyBorder="1" applyProtection="1"/>
    <xf numFmtId="0" fontId="0" fillId="26" borderId="75" xfId="0" applyFill="1" applyBorder="1" applyAlignment="1" applyProtection="1">
      <alignment vertical="center"/>
    </xf>
    <xf numFmtId="0" fontId="0" fillId="26" borderId="76" xfId="0" applyFill="1" applyBorder="1" applyAlignment="1" applyProtection="1">
      <alignment vertical="center"/>
    </xf>
    <xf numFmtId="0" fontId="7" fillId="24" borderId="0" xfId="0" applyFont="1" applyFill="1" applyProtection="1">
      <protection locked="0" hidden="1"/>
    </xf>
    <xf numFmtId="0" fontId="7" fillId="24" borderId="0" xfId="39" applyFont="1" applyFill="1" applyBorder="1" applyProtection="1">
      <protection locked="0" hidden="1"/>
    </xf>
    <xf numFmtId="0" fontId="7" fillId="24" borderId="0" xfId="0" applyFont="1" applyFill="1" applyBorder="1" applyAlignment="1" applyProtection="1">
      <alignment horizontal="center" wrapText="1"/>
      <protection locked="0" hidden="1"/>
    </xf>
    <xf numFmtId="0" fontId="7" fillId="24" borderId="0" xfId="39" applyFont="1" applyFill="1" applyProtection="1">
      <protection locked="0" hidden="1"/>
    </xf>
    <xf numFmtId="0" fontId="134" fillId="23" borderId="0" xfId="39" applyFont="1" applyFill="1" applyProtection="1">
      <protection locked="0" hidden="1"/>
    </xf>
    <xf numFmtId="0" fontId="7" fillId="23" borderId="0" xfId="39" applyFill="1" applyProtection="1">
      <protection locked="0" hidden="1"/>
    </xf>
    <xf numFmtId="0" fontId="7" fillId="24" borderId="0" xfId="0" applyFont="1" applyFill="1" applyAlignment="1" applyProtection="1">
      <alignment vertical="center"/>
      <protection locked="0" hidden="1"/>
    </xf>
    <xf numFmtId="0" fontId="7" fillId="24" borderId="0" xfId="39" applyFont="1" applyFill="1" applyBorder="1" applyAlignment="1" applyProtection="1">
      <alignment vertical="center"/>
      <protection locked="0" hidden="1"/>
    </xf>
    <xf numFmtId="0" fontId="7" fillId="24" borderId="0" xfId="0" applyFont="1" applyFill="1" applyBorder="1" applyAlignment="1" applyProtection="1">
      <alignment horizontal="center" vertical="center" wrapText="1"/>
      <protection locked="0" hidden="1"/>
    </xf>
    <xf numFmtId="0" fontId="7" fillId="24" borderId="0" xfId="39" applyFont="1" applyFill="1" applyAlignment="1" applyProtection="1">
      <alignment vertical="center"/>
      <protection locked="0" hidden="1"/>
    </xf>
    <xf numFmtId="0" fontId="134" fillId="23" borderId="0" xfId="39" applyFont="1" applyFill="1" applyAlignment="1" applyProtection="1">
      <alignment vertical="center"/>
      <protection locked="0" hidden="1"/>
    </xf>
    <xf numFmtId="0" fontId="7" fillId="23" borderId="0" xfId="39" applyFill="1" applyAlignment="1" applyProtection="1">
      <alignment vertical="center"/>
      <protection locked="0" hidden="1"/>
    </xf>
    <xf numFmtId="0" fontId="7" fillId="24" borderId="0" xfId="0" applyFont="1" applyFill="1" applyBorder="1" applyProtection="1">
      <protection locked="0" hidden="1"/>
    </xf>
    <xf numFmtId="0" fontId="7" fillId="24" borderId="0" xfId="39" applyFont="1" applyFill="1" applyBorder="1" applyAlignment="1" applyProtection="1">
      <alignment horizontal="right"/>
      <protection locked="0" hidden="1"/>
    </xf>
    <xf numFmtId="0" fontId="7" fillId="24" borderId="53" xfId="39" applyFont="1" applyFill="1" applyBorder="1" applyProtection="1">
      <protection locked="0" hidden="1"/>
    </xf>
    <xf numFmtId="0" fontId="16" fillId="24" borderId="10" xfId="39" applyFont="1" applyFill="1" applyBorder="1" applyProtection="1">
      <protection locked="0" hidden="1"/>
    </xf>
    <xf numFmtId="0" fontId="104" fillId="29" borderId="10" xfId="0" applyFont="1" applyFill="1" applyBorder="1" applyProtection="1">
      <protection locked="0" hidden="1"/>
    </xf>
    <xf numFmtId="166" fontId="104" fillId="29" borderId="10" xfId="0" applyNumberFormat="1" applyFont="1" applyFill="1" applyBorder="1" applyProtection="1">
      <protection locked="0" hidden="1"/>
    </xf>
    <xf numFmtId="0" fontId="104" fillId="24" borderId="10" xfId="39" applyFont="1" applyFill="1" applyBorder="1" applyProtection="1">
      <protection locked="0" hidden="1"/>
    </xf>
    <xf numFmtId="0" fontId="134" fillId="23" borderId="0" xfId="39" applyFont="1" applyFill="1" applyBorder="1" applyProtection="1">
      <protection locked="0" hidden="1"/>
    </xf>
    <xf numFmtId="0" fontId="7" fillId="23" borderId="0" xfId="39" applyFill="1" applyBorder="1" applyProtection="1">
      <protection locked="0" hidden="1"/>
    </xf>
    <xf numFmtId="0" fontId="0" fillId="23" borderId="0" xfId="0" applyFill="1" applyBorder="1" applyProtection="1">
      <protection locked="0" hidden="1"/>
    </xf>
    <xf numFmtId="3" fontId="7" fillId="24" borderId="0" xfId="0" applyNumberFormat="1" applyFont="1" applyFill="1" applyBorder="1" applyAlignment="1" applyProtection="1">
      <alignment horizontal="right" indent="1"/>
      <protection locked="0" hidden="1"/>
    </xf>
    <xf numFmtId="3" fontId="7" fillId="24" borderId="0" xfId="0" applyNumberFormat="1" applyFont="1" applyFill="1" applyBorder="1" applyAlignment="1" applyProtection="1">
      <alignment horizontal="right" vertical="center"/>
      <protection locked="0" hidden="1"/>
    </xf>
    <xf numFmtId="0" fontId="7" fillId="24" borderId="0" xfId="0" applyFont="1" applyFill="1" applyBorder="1" applyAlignment="1" applyProtection="1">
      <alignment horizontal="left" vertical="center"/>
      <protection locked="0" hidden="1"/>
    </xf>
    <xf numFmtId="0" fontId="7" fillId="24" borderId="0" xfId="0" applyFont="1" applyFill="1" applyBorder="1" applyAlignment="1" applyProtection="1">
      <alignment vertical="center"/>
      <protection locked="0" hidden="1"/>
    </xf>
    <xf numFmtId="0" fontId="134" fillId="23" borderId="0" xfId="39" applyFont="1" applyFill="1" applyBorder="1" applyAlignment="1" applyProtection="1">
      <alignment vertical="center"/>
      <protection locked="0" hidden="1"/>
    </xf>
    <xf numFmtId="0" fontId="0" fillId="23" borderId="0" xfId="0" applyFill="1" applyBorder="1" applyAlignment="1" applyProtection="1">
      <alignment vertical="center"/>
      <protection locked="0" hidden="1"/>
    </xf>
    <xf numFmtId="0" fontId="0" fillId="23" borderId="0" xfId="0" applyFill="1" applyBorder="1" applyAlignment="1" applyProtection="1">
      <alignment horizontal="center" vertical="center"/>
      <protection locked="0" hidden="1"/>
    </xf>
    <xf numFmtId="0" fontId="7" fillId="23" borderId="0" xfId="39" applyFill="1" applyBorder="1" applyAlignment="1" applyProtection="1">
      <alignment vertical="center"/>
      <protection locked="0" hidden="1"/>
    </xf>
    <xf numFmtId="3" fontId="7" fillId="24" borderId="0" xfId="0" applyNumberFormat="1" applyFont="1" applyFill="1" applyBorder="1" applyAlignment="1" applyProtection="1">
      <alignment horizontal="right" vertical="center" indent="1"/>
      <protection locked="0" hidden="1"/>
    </xf>
    <xf numFmtId="0" fontId="7" fillId="24" borderId="0" xfId="0" applyFont="1" applyFill="1" applyBorder="1" applyAlignment="1" applyProtection="1">
      <alignment horizontal="right"/>
      <protection locked="0" hidden="1"/>
    </xf>
    <xf numFmtId="0" fontId="7" fillId="24" borderId="0" xfId="0" applyFont="1" applyFill="1" applyBorder="1" applyAlignment="1" applyProtection="1">
      <alignment horizontal="left"/>
      <protection locked="0" hidden="1"/>
    </xf>
    <xf numFmtId="0" fontId="98" fillId="24" borderId="0" xfId="0" applyFont="1" applyFill="1" applyProtection="1">
      <protection locked="0" hidden="1"/>
    </xf>
    <xf numFmtId="3" fontId="7" fillId="24" borderId="0" xfId="0" applyNumberFormat="1" applyFont="1" applyFill="1" applyBorder="1" applyProtection="1">
      <protection locked="0" hidden="1"/>
    </xf>
    <xf numFmtId="9" fontId="7" fillId="24" borderId="0" xfId="0" applyNumberFormat="1" applyFont="1" applyFill="1" applyBorder="1" applyProtection="1">
      <protection locked="0" hidden="1"/>
    </xf>
    <xf numFmtId="173" fontId="7" fillId="24" borderId="0" xfId="28" applyNumberFormat="1" applyFont="1" applyFill="1" applyBorder="1" applyProtection="1">
      <protection locked="0" hidden="1"/>
    </xf>
    <xf numFmtId="174" fontId="98" fillId="24" borderId="0" xfId="0" applyNumberFormat="1" applyFont="1" applyFill="1" applyProtection="1">
      <protection locked="0" hidden="1"/>
    </xf>
    <xf numFmtId="172" fontId="7" fillId="24" borderId="0" xfId="0" applyNumberFormat="1" applyFont="1" applyFill="1" applyBorder="1" applyProtection="1">
      <protection locked="0" hidden="1"/>
    </xf>
    <xf numFmtId="0" fontId="110" fillId="24" borderId="0" xfId="0" applyFont="1" applyFill="1" applyProtection="1">
      <protection locked="0" hidden="1"/>
    </xf>
    <xf numFmtId="0" fontId="110" fillId="24" borderId="0" xfId="0" applyFont="1" applyFill="1" applyBorder="1" applyProtection="1">
      <protection locked="0" hidden="1"/>
    </xf>
    <xf numFmtId="172" fontId="110" fillId="24" borderId="0" xfId="0" applyNumberFormat="1" applyFont="1" applyFill="1" applyBorder="1" applyProtection="1">
      <protection locked="0" hidden="1"/>
    </xf>
    <xf numFmtId="0" fontId="16" fillId="24" borderId="0" xfId="0" applyFont="1" applyFill="1" applyProtection="1">
      <protection locked="0" hidden="1"/>
    </xf>
    <xf numFmtId="0" fontId="39" fillId="24" borderId="0" xfId="39" applyFont="1" applyFill="1" applyProtection="1">
      <protection locked="0" hidden="1"/>
    </xf>
    <xf numFmtId="0" fontId="110" fillId="24" borderId="0" xfId="0" applyFont="1" applyFill="1" applyAlignment="1" applyProtection="1">
      <alignment vertical="center"/>
      <protection locked="0" hidden="1"/>
    </xf>
    <xf numFmtId="0" fontId="110" fillId="24" borderId="0" xfId="0" applyFont="1" applyFill="1" applyBorder="1" applyAlignment="1" applyProtection="1">
      <alignment vertical="center"/>
      <protection locked="0" hidden="1"/>
    </xf>
    <xf numFmtId="0" fontId="16" fillId="24" borderId="0" xfId="0" applyFont="1" applyFill="1" applyAlignment="1" applyProtection="1">
      <alignment vertical="center"/>
      <protection locked="0" hidden="1"/>
    </xf>
    <xf numFmtId="0" fontId="39" fillId="24" borderId="0" xfId="39" applyFont="1" applyFill="1" applyAlignment="1" applyProtection="1">
      <alignment vertical="center"/>
      <protection locked="0" hidden="1"/>
    </xf>
    <xf numFmtId="0" fontId="5" fillId="24" borderId="0" xfId="0" applyFont="1" applyFill="1" applyProtection="1">
      <protection locked="0" hidden="1"/>
    </xf>
    <xf numFmtId="0" fontId="6" fillId="24" borderId="0" xfId="0" applyFont="1" applyFill="1" applyBorder="1" applyProtection="1">
      <protection locked="0" hidden="1"/>
    </xf>
    <xf numFmtId="0" fontId="16" fillId="40" borderId="0" xfId="0" applyFont="1" applyFill="1" applyProtection="1">
      <protection locked="0" hidden="1"/>
    </xf>
    <xf numFmtId="0" fontId="7" fillId="40" borderId="0" xfId="39" applyFill="1" applyProtection="1">
      <protection locked="0" hidden="1"/>
    </xf>
    <xf numFmtId="0" fontId="98" fillId="24" borderId="0" xfId="0" applyFont="1" applyFill="1" applyBorder="1" applyProtection="1">
      <protection locked="0" hidden="1"/>
    </xf>
    <xf numFmtId="0" fontId="16" fillId="40" borderId="0" xfId="0" applyFont="1" applyFill="1" applyAlignment="1" applyProtection="1">
      <alignment vertical="center"/>
      <protection locked="0" hidden="1"/>
    </xf>
    <xf numFmtId="0" fontId="7" fillId="40" borderId="0" xfId="39" applyFill="1" applyAlignment="1" applyProtection="1">
      <alignment vertical="center"/>
      <protection locked="0" hidden="1"/>
    </xf>
    <xf numFmtId="0" fontId="186" fillId="40" borderId="53" xfId="0" applyFont="1" applyFill="1" applyBorder="1" applyAlignment="1" applyProtection="1">
      <alignment horizontal="left"/>
      <protection locked="0" hidden="1"/>
    </xf>
    <xf numFmtId="0" fontId="104" fillId="40" borderId="0" xfId="0" applyFont="1" applyFill="1" applyProtection="1">
      <protection locked="0" hidden="1"/>
    </xf>
    <xf numFmtId="0" fontId="36" fillId="40" borderId="0" xfId="39" applyFont="1" applyFill="1" applyBorder="1" applyProtection="1">
      <protection locked="0" hidden="1"/>
    </xf>
    <xf numFmtId="0" fontId="186" fillId="40" borderId="0" xfId="0" applyFont="1" applyFill="1" applyBorder="1" applyAlignment="1" applyProtection="1">
      <alignment horizontal="center"/>
      <protection locked="0" hidden="1"/>
    </xf>
    <xf numFmtId="0" fontId="36" fillId="40" borderId="0" xfId="39" applyFont="1" applyFill="1" applyAlignment="1" applyProtection="1">
      <alignment horizontal="center"/>
      <protection locked="0" hidden="1"/>
    </xf>
    <xf numFmtId="0" fontId="36" fillId="40" borderId="0" xfId="0" applyFont="1" applyFill="1" applyAlignment="1" applyProtection="1">
      <alignment horizontal="center"/>
      <protection locked="0" hidden="1"/>
    </xf>
    <xf numFmtId="0" fontId="186" fillId="40" borderId="0" xfId="0" applyFont="1" applyFill="1" applyAlignment="1" applyProtection="1">
      <alignment horizontal="center"/>
      <protection locked="0" hidden="1"/>
    </xf>
    <xf numFmtId="0" fontId="7" fillId="40" borderId="0" xfId="39" applyFill="1" applyBorder="1" applyProtection="1">
      <protection locked="0" hidden="1"/>
    </xf>
    <xf numFmtId="0" fontId="36" fillId="40" borderId="0" xfId="39" applyFont="1" applyFill="1" applyProtection="1">
      <protection locked="0" hidden="1"/>
    </xf>
    <xf numFmtId="0" fontId="16" fillId="23" borderId="20" xfId="39" applyFont="1" applyFill="1" applyBorder="1" applyProtection="1">
      <protection locked="0" hidden="1"/>
    </xf>
    <xf numFmtId="0" fontId="24" fillId="24" borderId="48" xfId="40" applyFont="1" applyFill="1" applyBorder="1" applyAlignment="1" applyProtection="1">
      <alignment horizontal="left" vertical="top" wrapText="1"/>
      <protection hidden="1"/>
    </xf>
    <xf numFmtId="3" fontId="108" fillId="26" borderId="51" xfId="40" applyNumberFormat="1" applyFont="1" applyFill="1" applyBorder="1" applyAlignment="1" applyProtection="1">
      <alignment horizontal="center" vertical="center" wrapText="1"/>
      <protection hidden="1"/>
    </xf>
    <xf numFmtId="0" fontId="192" fillId="17" borderId="39" xfId="0" applyFont="1" applyFill="1" applyBorder="1" applyAlignment="1" applyProtection="1">
      <alignment horizontal="center" vertical="center"/>
      <protection hidden="1"/>
    </xf>
    <xf numFmtId="0" fontId="36" fillId="23" borderId="0" xfId="40" applyFont="1" applyFill="1" applyAlignment="1" applyProtection="1">
      <alignment horizontal="left" vertical="top" wrapText="1"/>
      <protection locked="0"/>
    </xf>
    <xf numFmtId="0" fontId="104" fillId="17" borderId="0" xfId="0" applyNumberFormat="1" applyFont="1" applyFill="1" applyBorder="1" applyAlignment="1" applyProtection="1">
      <alignment horizontal="justify"/>
      <protection hidden="1"/>
    </xf>
    <xf numFmtId="0" fontId="191" fillId="24" borderId="53" xfId="0" applyFont="1" applyFill="1" applyBorder="1" applyAlignment="1" applyProtection="1">
      <alignment horizontal="center" vertical="center" wrapText="1"/>
      <protection hidden="1"/>
    </xf>
    <xf numFmtId="3" fontId="36" fillId="24" borderId="16" xfId="39" applyNumberFormat="1" applyFont="1" applyFill="1" applyBorder="1" applyAlignment="1" applyProtection="1">
      <alignment vertical="center"/>
      <protection hidden="1"/>
    </xf>
    <xf numFmtId="0" fontId="36" fillId="24" borderId="17" xfId="39" applyFont="1" applyFill="1" applyBorder="1" applyAlignment="1" applyProtection="1">
      <alignment vertical="center"/>
      <protection hidden="1"/>
    </xf>
    <xf numFmtId="3" fontId="36" fillId="24" borderId="60" xfId="39" applyNumberFormat="1" applyFont="1" applyFill="1" applyBorder="1" applyAlignment="1" applyProtection="1">
      <alignment vertical="center"/>
      <protection hidden="1"/>
    </xf>
    <xf numFmtId="0" fontId="36" fillId="24" borderId="87" xfId="39" applyFont="1" applyFill="1" applyBorder="1" applyAlignment="1" applyProtection="1">
      <alignment vertical="center"/>
      <protection hidden="1"/>
    </xf>
    <xf numFmtId="3" fontId="36" fillId="24" borderId="124" xfId="39" applyNumberFormat="1" applyFont="1" applyFill="1" applyBorder="1" applyAlignment="1" applyProtection="1">
      <alignment vertical="center"/>
      <protection hidden="1"/>
    </xf>
    <xf numFmtId="0" fontId="36" fillId="24" borderId="81" xfId="39" applyFont="1" applyFill="1" applyBorder="1" applyAlignment="1" applyProtection="1">
      <alignment vertical="center"/>
      <protection hidden="1"/>
    </xf>
    <xf numFmtId="172" fontId="24" fillId="26" borderId="83" xfId="28" applyNumberFormat="1" applyFont="1" applyFill="1" applyBorder="1" applyAlignment="1" applyProtection="1">
      <alignment horizontal="right" vertical="center" wrapText="1"/>
      <protection hidden="1"/>
    </xf>
    <xf numFmtId="166" fontId="53" fillId="26" borderId="46" xfId="39" applyNumberFormat="1" applyFont="1" applyFill="1" applyBorder="1" applyProtection="1">
      <protection hidden="1"/>
    </xf>
    <xf numFmtId="166" fontId="53" fillId="26" borderId="46" xfId="0" applyNumberFormat="1" applyFont="1" applyFill="1" applyBorder="1" applyAlignment="1" applyProtection="1">
      <alignment horizontal="right" indent="1"/>
      <protection hidden="1"/>
    </xf>
    <xf numFmtId="166" fontId="53" fillId="26" borderId="22" xfId="0" applyNumberFormat="1" applyFont="1" applyFill="1" applyBorder="1" applyAlignment="1" applyProtection="1">
      <alignment horizontal="right" indent="1"/>
      <protection hidden="1"/>
    </xf>
    <xf numFmtId="0" fontId="7" fillId="26" borderId="10" xfId="39" applyFill="1" applyBorder="1" applyProtection="1">
      <protection hidden="1"/>
    </xf>
    <xf numFmtId="2" fontId="53" fillId="26" borderId="10" xfId="39" applyNumberFormat="1" applyFont="1" applyFill="1" applyBorder="1" applyProtection="1">
      <protection hidden="1"/>
    </xf>
    <xf numFmtId="2" fontId="53" fillId="26" borderId="10" xfId="0" applyNumberFormat="1" applyFont="1" applyFill="1" applyBorder="1" applyAlignment="1" applyProtection="1">
      <alignment horizontal="center" vertical="center" wrapText="1"/>
      <protection hidden="1"/>
    </xf>
    <xf numFmtId="2" fontId="53" fillId="26" borderId="19" xfId="0" applyNumberFormat="1" applyFont="1" applyFill="1" applyBorder="1" applyAlignment="1" applyProtection="1">
      <alignment horizontal="center" vertical="center" wrapText="1"/>
      <protection hidden="1"/>
    </xf>
    <xf numFmtId="2" fontId="7" fillId="26" borderId="46" xfId="39" applyNumberFormat="1" applyFill="1" applyBorder="1" applyProtection="1">
      <protection hidden="1"/>
    </xf>
    <xf numFmtId="166" fontId="51" fillId="26" borderId="43" xfId="0" applyNumberFormat="1" applyFont="1" applyFill="1" applyBorder="1" applyProtection="1">
      <protection hidden="1"/>
    </xf>
    <xf numFmtId="166" fontId="51" fillId="26" borderId="10" xfId="0" applyNumberFormat="1" applyFont="1" applyFill="1" applyBorder="1" applyProtection="1">
      <protection hidden="1"/>
    </xf>
    <xf numFmtId="9" fontId="51" fillId="26" borderId="46" xfId="48" applyFont="1" applyFill="1" applyBorder="1" applyAlignment="1" applyProtection="1">
      <alignment vertical="center"/>
      <protection hidden="1"/>
    </xf>
    <xf numFmtId="0" fontId="9" fillId="0" borderId="20" xfId="41" applyFont="1" applyFill="1" applyBorder="1" applyAlignment="1" applyProtection="1">
      <alignment vertical="top" wrapText="1"/>
      <protection hidden="1"/>
    </xf>
    <xf numFmtId="0" fontId="7" fillId="23" borderId="0" xfId="39" applyFill="1" applyProtection="1">
      <protection hidden="1"/>
    </xf>
    <xf numFmtId="0" fontId="134" fillId="23" borderId="0" xfId="39" applyFont="1" applyFill="1" applyProtection="1">
      <protection hidden="1"/>
    </xf>
    <xf numFmtId="0" fontId="68" fillId="23" borderId="0" xfId="0" applyFont="1" applyFill="1" applyBorder="1" applyAlignment="1" applyProtection="1">
      <alignment horizontal="left" indent="1"/>
      <protection hidden="1"/>
    </xf>
    <xf numFmtId="0" fontId="53" fillId="23" borderId="0" xfId="0" applyFont="1" applyFill="1" applyBorder="1" applyAlignment="1" applyProtection="1">
      <protection hidden="1"/>
    </xf>
    <xf numFmtId="0" fontId="53" fillId="23" borderId="0" xfId="0" applyFont="1" applyFill="1" applyBorder="1" applyAlignment="1" applyProtection="1">
      <alignment horizontal="right" indent="1"/>
      <protection hidden="1"/>
    </xf>
    <xf numFmtId="3" fontId="53" fillId="23" borderId="0" xfId="0" applyNumberFormat="1" applyFont="1" applyFill="1" applyBorder="1" applyAlignment="1" applyProtection="1">
      <alignment horizontal="right" indent="1"/>
      <protection hidden="1"/>
    </xf>
    <xf numFmtId="0" fontId="7" fillId="23" borderId="0" xfId="39" applyFill="1" applyProtection="1"/>
    <xf numFmtId="0" fontId="36" fillId="23" borderId="0" xfId="39" applyFont="1" applyFill="1" applyProtection="1"/>
    <xf numFmtId="0" fontId="36" fillId="23" borderId="0" xfId="39" applyFont="1" applyFill="1" applyAlignment="1" applyProtection="1">
      <alignment vertical="top"/>
    </xf>
    <xf numFmtId="0" fontId="53" fillId="23" borderId="0" xfId="39" applyFont="1" applyFill="1" applyProtection="1">
      <protection hidden="1"/>
    </xf>
    <xf numFmtId="0" fontId="0" fillId="23" borderId="0" xfId="0" applyFill="1" applyBorder="1" applyProtection="1">
      <protection hidden="1"/>
    </xf>
    <xf numFmtId="0" fontId="7" fillId="23" borderId="0" xfId="39" applyFill="1" applyBorder="1" applyProtection="1">
      <protection hidden="1"/>
    </xf>
    <xf numFmtId="0" fontId="53" fillId="23" borderId="0" xfId="0" applyFont="1" applyFill="1" applyBorder="1" applyAlignment="1" applyProtection="1">
      <alignment wrapText="1"/>
      <protection hidden="1"/>
    </xf>
    <xf numFmtId="3" fontId="53" fillId="23" borderId="0" xfId="0" applyNumberFormat="1" applyFont="1" applyFill="1" applyBorder="1" applyAlignment="1" applyProtection="1">
      <alignment wrapText="1"/>
      <protection hidden="1"/>
    </xf>
    <xf numFmtId="3" fontId="36" fillId="23" borderId="0" xfId="0" applyNumberFormat="1" applyFont="1" applyFill="1" applyBorder="1" applyAlignment="1" applyProtection="1"/>
    <xf numFmtId="172" fontId="53" fillId="23" borderId="0" xfId="28" applyNumberFormat="1" applyFont="1" applyFill="1" applyBorder="1" applyAlignment="1" applyProtection="1"/>
    <xf numFmtId="172" fontId="36" fillId="26" borderId="10" xfId="28" applyNumberFormat="1" applyFont="1" applyFill="1" applyBorder="1" applyAlignment="1" applyProtection="1">
      <alignment horizontal="right" vertical="center"/>
    </xf>
    <xf numFmtId="172" fontId="36" fillId="26" borderId="61" xfId="28" applyNumberFormat="1" applyFont="1" applyFill="1" applyBorder="1" applyAlignment="1" applyProtection="1">
      <alignment horizontal="right" vertical="center"/>
    </xf>
    <xf numFmtId="172" fontId="36" fillId="26" borderId="71" xfId="28" applyNumberFormat="1" applyFont="1" applyFill="1" applyBorder="1" applyAlignment="1" applyProtection="1">
      <alignment horizontal="right" vertical="center"/>
    </xf>
    <xf numFmtId="172" fontId="36" fillId="26" borderId="10" xfId="28" applyNumberFormat="1" applyFont="1" applyFill="1" applyBorder="1" applyAlignment="1" applyProtection="1">
      <alignment horizontal="right" vertical="center" wrapText="1"/>
    </xf>
    <xf numFmtId="172" fontId="36" fillId="26" borderId="71" xfId="28" applyNumberFormat="1" applyFont="1" applyFill="1" applyBorder="1" applyAlignment="1" applyProtection="1">
      <alignment horizontal="right" vertical="center" wrapText="1"/>
    </xf>
    <xf numFmtId="172" fontId="53" fillId="26" borderId="51" xfId="28" applyNumberFormat="1" applyFont="1" applyFill="1" applyBorder="1" applyAlignment="1" applyProtection="1">
      <alignment vertical="center"/>
    </xf>
    <xf numFmtId="172" fontId="53" fillId="26" borderId="52" xfId="28" applyNumberFormat="1" applyFont="1" applyFill="1" applyBorder="1" applyAlignment="1" applyProtection="1">
      <alignment vertical="center"/>
    </xf>
    <xf numFmtId="172" fontId="24" fillId="0" borderId="43" xfId="28" applyNumberFormat="1" applyFont="1" applyFill="1" applyBorder="1" applyAlignment="1" applyProtection="1">
      <alignment horizontal="right" vertical="center"/>
      <protection locked="0"/>
    </xf>
    <xf numFmtId="172" fontId="24" fillId="0" borderId="10" xfId="28" applyNumberFormat="1" applyFont="1" applyFill="1" applyBorder="1" applyAlignment="1" applyProtection="1">
      <alignment horizontal="right" vertical="center"/>
      <protection locked="0"/>
    </xf>
    <xf numFmtId="172" fontId="57" fillId="0" borderId="32" xfId="28" applyNumberFormat="1" applyFont="1" applyFill="1" applyBorder="1" applyAlignment="1" applyProtection="1">
      <alignment horizontal="right" vertical="center"/>
      <protection locked="0"/>
    </xf>
    <xf numFmtId="0" fontId="7" fillId="24" borderId="0" xfId="39" applyFont="1" applyFill="1" applyAlignment="1" applyProtection="1">
      <protection locked="0" hidden="1"/>
    </xf>
    <xf numFmtId="175" fontId="9" fillId="17" borderId="10" xfId="41" applyNumberFormat="1" applyFont="1" applyFill="1" applyBorder="1" applyAlignment="1" applyProtection="1">
      <alignment horizontal="center" wrapText="1"/>
      <protection locked="0"/>
    </xf>
    <xf numFmtId="175" fontId="39" fillId="17" borderId="10" xfId="41" applyNumberFormat="1" applyFont="1" applyFill="1" applyBorder="1" applyAlignment="1" applyProtection="1">
      <alignment horizontal="center"/>
      <protection locked="0"/>
    </xf>
    <xf numFmtId="0" fontId="6" fillId="24" borderId="0" xfId="0" applyFont="1" applyFill="1" applyProtection="1">
      <protection locked="0" hidden="1"/>
    </xf>
    <xf numFmtId="0" fontId="36" fillId="23" borderId="0" xfId="0" applyFont="1" applyFill="1" applyBorder="1" applyAlignment="1" applyProtection="1">
      <protection hidden="1"/>
    </xf>
    <xf numFmtId="0" fontId="36" fillId="23" borderId="0" xfId="0" applyFont="1" applyFill="1" applyBorder="1" applyAlignment="1" applyProtection="1">
      <alignment horizontal="right" indent="1"/>
      <protection hidden="1"/>
    </xf>
    <xf numFmtId="3" fontId="36" fillId="23" borderId="0" xfId="0" applyNumberFormat="1" applyFont="1" applyFill="1" applyBorder="1" applyAlignment="1" applyProtection="1">
      <alignment horizontal="right" indent="1"/>
      <protection hidden="1"/>
    </xf>
    <xf numFmtId="165" fontId="36" fillId="23" borderId="0" xfId="0" applyNumberFormat="1" applyFont="1" applyFill="1" applyBorder="1" applyAlignment="1" applyProtection="1">
      <protection hidden="1"/>
    </xf>
    <xf numFmtId="0" fontId="68" fillId="23" borderId="0" xfId="0" applyFont="1" applyFill="1" applyBorder="1" applyAlignment="1" applyProtection="1">
      <alignment horizontal="left" indent="1"/>
      <protection locked="0" hidden="1"/>
    </xf>
    <xf numFmtId="0" fontId="36" fillId="23" borderId="0" xfId="0" applyFont="1" applyFill="1" applyBorder="1" applyAlignment="1" applyProtection="1">
      <protection locked="0" hidden="1"/>
    </xf>
    <xf numFmtId="0" fontId="36" fillId="23" borderId="0" xfId="0" applyFont="1" applyFill="1" applyBorder="1" applyAlignment="1" applyProtection="1">
      <alignment horizontal="right" indent="1"/>
      <protection locked="0" hidden="1"/>
    </xf>
    <xf numFmtId="3" fontId="36" fillId="23" borderId="0" xfId="0" applyNumberFormat="1" applyFont="1" applyFill="1" applyBorder="1" applyAlignment="1" applyProtection="1">
      <alignment horizontal="right" indent="1"/>
      <protection locked="0" hidden="1"/>
    </xf>
    <xf numFmtId="172" fontId="36" fillId="23" borderId="0" xfId="28" applyNumberFormat="1" applyFont="1" applyFill="1" applyBorder="1" applyAlignment="1" applyProtection="1">
      <protection locked="0" hidden="1"/>
    </xf>
    <xf numFmtId="0" fontId="36" fillId="23" borderId="0" xfId="39" applyFont="1" applyFill="1" applyProtection="1">
      <protection hidden="1"/>
    </xf>
    <xf numFmtId="172" fontId="36" fillId="23" borderId="0" xfId="28" applyNumberFormat="1" applyFont="1" applyFill="1" applyBorder="1" applyAlignment="1" applyProtection="1"/>
    <xf numFmtId="0" fontId="36" fillId="23" borderId="0" xfId="0" applyFont="1" applyFill="1" applyBorder="1" applyAlignment="1" applyProtection="1">
      <alignment wrapText="1"/>
      <protection hidden="1"/>
    </xf>
    <xf numFmtId="3" fontId="36" fillId="23" borderId="0" xfId="0" applyNumberFormat="1" applyFont="1" applyFill="1" applyBorder="1" applyAlignment="1" applyProtection="1">
      <alignment wrapText="1"/>
      <protection hidden="1"/>
    </xf>
    <xf numFmtId="0" fontId="24" fillId="17" borderId="48" xfId="40" applyNumberFormat="1" applyFont="1" applyFill="1" applyBorder="1" applyAlignment="1" applyProtection="1">
      <alignment horizontal="left" vertical="top" wrapText="1"/>
      <protection locked="0"/>
    </xf>
    <xf numFmtId="0" fontId="24" fillId="17" borderId="19" xfId="40" applyNumberFormat="1" applyFont="1" applyFill="1" applyBorder="1" applyAlignment="1" applyProtection="1">
      <alignment horizontal="left" vertical="top" wrapText="1"/>
      <protection locked="0"/>
    </xf>
    <xf numFmtId="0" fontId="24" fillId="0" borderId="19" xfId="40" applyNumberFormat="1" applyFont="1" applyFill="1" applyBorder="1" applyAlignment="1" applyProtection="1">
      <alignment horizontal="left" vertical="top" wrapText="1"/>
      <protection locked="0"/>
    </xf>
    <xf numFmtId="0" fontId="24" fillId="0" borderId="83" xfId="40" applyNumberFormat="1" applyFont="1" applyFill="1" applyBorder="1" applyAlignment="1" applyProtection="1">
      <alignment horizontal="left" vertical="top" wrapText="1"/>
      <protection locked="0"/>
    </xf>
    <xf numFmtId="0" fontId="24" fillId="17" borderId="83" xfId="40" applyNumberFormat="1" applyFont="1" applyFill="1" applyBorder="1" applyAlignment="1" applyProtection="1">
      <alignment horizontal="left" vertical="top" wrapText="1"/>
      <protection locked="0"/>
    </xf>
    <xf numFmtId="0" fontId="24" fillId="17" borderId="14" xfId="40" applyNumberFormat="1" applyFont="1" applyFill="1" applyBorder="1" applyAlignment="1" applyProtection="1">
      <alignment horizontal="left" vertical="top" wrapText="1"/>
      <protection locked="0"/>
    </xf>
    <xf numFmtId="0" fontId="25" fillId="17" borderId="10" xfId="40" applyFont="1" applyFill="1" applyBorder="1" applyAlignment="1" applyProtection="1">
      <alignment horizontal="center" vertical="center" wrapText="1"/>
      <protection locked="0"/>
    </xf>
    <xf numFmtId="0" fontId="7" fillId="17" borderId="80" xfId="0" applyFont="1" applyFill="1" applyBorder="1" applyAlignment="1" applyProtection="1">
      <alignment vertical="top" wrapText="1"/>
      <protection hidden="1"/>
    </xf>
    <xf numFmtId="172" fontId="24" fillId="0" borderId="10" xfId="28" applyNumberFormat="1" applyFont="1" applyFill="1" applyBorder="1" applyAlignment="1" applyProtection="1">
      <alignment horizontal="right"/>
      <protection locked="0"/>
    </xf>
    <xf numFmtId="3" fontId="36" fillId="26" borderId="10" xfId="0" applyNumberFormat="1" applyFont="1" applyFill="1" applyBorder="1" applyAlignment="1" applyProtection="1">
      <alignment horizontal="right" indent="1"/>
      <protection hidden="1"/>
    </xf>
    <xf numFmtId="3" fontId="36" fillId="26" borderId="19" xfId="0" applyNumberFormat="1" applyFont="1" applyFill="1" applyBorder="1" applyAlignment="1" applyProtection="1">
      <alignment horizontal="right" indent="1"/>
      <protection hidden="1"/>
    </xf>
    <xf numFmtId="1" fontId="36" fillId="26" borderId="10" xfId="28" applyNumberFormat="1" applyFont="1" applyFill="1" applyBorder="1" applyAlignment="1" applyProtection="1">
      <alignment horizontal="right"/>
      <protection hidden="1"/>
    </xf>
    <xf numFmtId="167" fontId="24" fillId="0" borderId="10" xfId="28" applyNumberFormat="1" applyFont="1" applyFill="1" applyBorder="1" applyAlignment="1" applyProtection="1">
      <alignment horizontal="right"/>
      <protection locked="0"/>
    </xf>
    <xf numFmtId="1" fontId="36" fillId="26" borderId="46" xfId="28" applyNumberFormat="1" applyFont="1" applyFill="1" applyBorder="1" applyAlignment="1" applyProtection="1">
      <alignment horizontal="right"/>
      <protection hidden="1"/>
    </xf>
    <xf numFmtId="2" fontId="36" fillId="26" borderId="46" xfId="28" applyNumberFormat="1" applyFont="1" applyFill="1" applyBorder="1" applyAlignment="1" applyProtection="1">
      <alignment horizontal="right"/>
      <protection hidden="1"/>
    </xf>
    <xf numFmtId="2" fontId="36" fillId="26" borderId="22" xfId="0" applyNumberFormat="1" applyFont="1" applyFill="1" applyBorder="1" applyAlignment="1" applyProtection="1">
      <alignment horizontal="right" indent="1"/>
      <protection hidden="1"/>
    </xf>
    <xf numFmtId="0" fontId="36" fillId="26" borderId="41" xfId="0" applyFont="1" applyFill="1" applyBorder="1" applyAlignment="1" applyProtection="1">
      <alignment vertical="center"/>
    </xf>
    <xf numFmtId="0" fontId="36" fillId="26" borderId="62" xfId="0" applyFont="1" applyFill="1" applyBorder="1" applyAlignment="1" applyProtection="1">
      <alignment vertical="center"/>
    </xf>
    <xf numFmtId="0" fontId="36" fillId="26" borderId="64" xfId="0" applyFont="1" applyFill="1" applyBorder="1" applyAlignment="1" applyProtection="1">
      <alignment vertical="center"/>
    </xf>
    <xf numFmtId="0" fontId="36" fillId="26" borderId="62" xfId="0" applyFont="1" applyFill="1" applyBorder="1" applyAlignment="1" applyProtection="1"/>
    <xf numFmtId="0" fontId="36" fillId="26" borderId="64" xfId="0" applyFont="1" applyFill="1" applyBorder="1" applyAlignment="1" applyProtection="1">
      <alignment horizontal="right" indent="1"/>
    </xf>
    <xf numFmtId="0" fontId="33" fillId="17" borderId="0" xfId="42" applyFont="1" applyFill="1" applyProtection="1">
      <protection hidden="1"/>
    </xf>
    <xf numFmtId="0" fontId="7" fillId="17" borderId="116" xfId="0" applyFont="1" applyFill="1" applyBorder="1" applyAlignment="1" applyProtection="1">
      <alignment horizontal="justify" wrapText="1"/>
      <protection hidden="1"/>
    </xf>
    <xf numFmtId="0" fontId="104" fillId="0" borderId="0" xfId="43" applyFont="1" applyFill="1" applyBorder="1" applyAlignment="1" applyProtection="1">
      <alignment vertical="top" wrapText="1"/>
      <protection hidden="1"/>
    </xf>
    <xf numFmtId="0" fontId="104" fillId="0" borderId="0" xfId="43" applyFont="1" applyFill="1" applyBorder="1" applyAlignment="1" applyProtection="1">
      <alignment vertical="top"/>
      <protection hidden="1"/>
    </xf>
    <xf numFmtId="178" fontId="104" fillId="0" borderId="0" xfId="43" applyNumberFormat="1" applyFont="1" applyFill="1" applyBorder="1" applyAlignment="1" applyProtection="1">
      <alignment horizontal="center" vertical="top" wrapText="1"/>
      <protection hidden="1"/>
    </xf>
    <xf numFmtId="0" fontId="104" fillId="0" borderId="0" xfId="0" applyFont="1" applyFill="1" applyBorder="1" applyAlignment="1" applyProtection="1">
      <alignment vertical="top" wrapText="1"/>
      <protection hidden="1"/>
    </xf>
    <xf numFmtId="0" fontId="9" fillId="17" borderId="0" xfId="43" quotePrefix="1" applyFont="1" applyFill="1" applyBorder="1" applyAlignment="1" applyProtection="1">
      <alignment horizontal="right" vertical="top" wrapText="1"/>
      <protection hidden="1"/>
    </xf>
    <xf numFmtId="0" fontId="7" fillId="17" borderId="0" xfId="43" applyFill="1" applyBorder="1" applyAlignment="1" applyProtection="1">
      <alignment vertical="top" wrapText="1"/>
      <protection hidden="1"/>
    </xf>
    <xf numFmtId="0" fontId="9" fillId="17" borderId="0" xfId="43" applyFont="1" applyFill="1" applyBorder="1" applyAlignment="1" applyProtection="1">
      <alignment vertical="top" wrapText="1"/>
      <protection hidden="1"/>
    </xf>
    <xf numFmtId="0" fontId="120" fillId="23" borderId="0" xfId="42" applyFont="1" applyFill="1" applyAlignment="1" applyProtection="1">
      <alignment vertical="center" shrinkToFit="1"/>
      <protection hidden="1"/>
    </xf>
    <xf numFmtId="0" fontId="196" fillId="17" borderId="0" xfId="43" applyFont="1" applyFill="1" applyAlignment="1" applyProtection="1">
      <alignment vertical="top" shrinkToFit="1"/>
      <protection hidden="1"/>
    </xf>
    <xf numFmtId="0" fontId="104" fillId="0" borderId="0" xfId="43" applyFont="1" applyFill="1" applyAlignment="1" applyProtection="1">
      <alignment vertical="top" wrapText="1"/>
      <protection hidden="1"/>
    </xf>
    <xf numFmtId="0" fontId="204" fillId="17" borderId="0" xfId="43" applyFont="1" applyFill="1" applyAlignment="1" applyProtection="1">
      <alignment vertical="top" wrapText="1"/>
      <protection hidden="1"/>
    </xf>
    <xf numFmtId="0" fontId="4" fillId="42" borderId="0" xfId="52" applyFill="1" applyProtection="1">
      <protection hidden="1"/>
    </xf>
    <xf numFmtId="0" fontId="198" fillId="42" borderId="0" xfId="52" applyFont="1" applyFill="1" applyAlignment="1" applyProtection="1">
      <alignment horizontal="center" wrapText="1"/>
      <protection hidden="1"/>
    </xf>
    <xf numFmtId="0" fontId="4" fillId="43" borderId="127" xfId="52" applyFill="1" applyBorder="1" applyAlignment="1" applyProtection="1">
      <alignment horizontal="center" vertical="center"/>
      <protection hidden="1"/>
    </xf>
    <xf numFmtId="0" fontId="197" fillId="43" borderId="127" xfId="52" applyFont="1" applyFill="1" applyBorder="1" applyAlignment="1" applyProtection="1">
      <alignment horizontal="left" vertical="top" wrapText="1"/>
      <protection hidden="1"/>
    </xf>
    <xf numFmtId="0" fontId="4" fillId="43" borderId="127" xfId="52" applyFill="1" applyBorder="1" applyAlignment="1" applyProtection="1">
      <alignment wrapText="1"/>
      <protection hidden="1"/>
    </xf>
    <xf numFmtId="0" fontId="197" fillId="43" borderId="128" xfId="52" applyFont="1" applyFill="1" applyBorder="1" applyAlignment="1" applyProtection="1">
      <alignment horizontal="left" vertical="top" wrapText="1"/>
      <protection hidden="1"/>
    </xf>
    <xf numFmtId="0" fontId="4" fillId="43" borderId="128" xfId="52" applyFill="1" applyBorder="1" applyAlignment="1" applyProtection="1">
      <alignment wrapText="1"/>
      <protection hidden="1"/>
    </xf>
    <xf numFmtId="0" fontId="4" fillId="43" borderId="0" xfId="52" applyFill="1" applyAlignment="1" applyProtection="1">
      <alignment horizontal="center" vertical="center"/>
      <protection hidden="1"/>
    </xf>
    <xf numFmtId="0" fontId="4" fillId="43" borderId="0" xfId="52" applyFill="1" applyAlignment="1" applyProtection="1">
      <alignment wrapText="1"/>
      <protection hidden="1"/>
    </xf>
    <xf numFmtId="0" fontId="4" fillId="42" borderId="0" xfId="52" applyFill="1" applyAlignment="1" applyProtection="1">
      <alignment horizontal="center" vertical="center"/>
      <protection hidden="1"/>
    </xf>
    <xf numFmtId="0" fontId="4" fillId="42" borderId="0" xfId="52" applyFill="1" applyAlignment="1" applyProtection="1">
      <alignment vertical="center"/>
      <protection hidden="1"/>
    </xf>
    <xf numFmtId="0" fontId="4" fillId="43" borderId="128" xfId="52" applyFill="1" applyBorder="1" applyAlignment="1" applyProtection="1">
      <alignment horizontal="center" vertical="center"/>
      <protection hidden="1"/>
    </xf>
    <xf numFmtId="0" fontId="197" fillId="43" borderId="127" xfId="52" applyFont="1" applyFill="1" applyBorder="1" applyAlignment="1" applyProtection="1">
      <alignment horizontal="left" vertical="top"/>
      <protection hidden="1"/>
    </xf>
    <xf numFmtId="0" fontId="200" fillId="43" borderId="128" xfId="52" applyFont="1" applyFill="1" applyBorder="1" applyAlignment="1" applyProtection="1">
      <alignment horizontal="left" vertical="top"/>
      <protection hidden="1"/>
    </xf>
    <xf numFmtId="0" fontId="197" fillId="43" borderId="128" xfId="52" applyFont="1" applyFill="1" applyBorder="1" applyAlignment="1" applyProtection="1">
      <alignment horizontal="left" vertical="top"/>
      <protection hidden="1"/>
    </xf>
    <xf numFmtId="0" fontId="4" fillId="43" borderId="127" xfId="52" applyFill="1" applyBorder="1" applyProtection="1">
      <protection hidden="1"/>
    </xf>
    <xf numFmtId="0" fontId="200" fillId="43" borderId="128" xfId="52" applyFont="1" applyFill="1" applyBorder="1" applyAlignment="1" applyProtection="1">
      <alignment horizontal="left" vertical="top" wrapText="1"/>
      <protection hidden="1"/>
    </xf>
    <xf numFmtId="0" fontId="198" fillId="42" borderId="0" xfId="52" applyFont="1" applyFill="1" applyAlignment="1" applyProtection="1">
      <alignment horizontal="center"/>
      <protection hidden="1"/>
    </xf>
    <xf numFmtId="0" fontId="4" fillId="43" borderId="0" xfId="52" applyFill="1" applyProtection="1">
      <protection hidden="1"/>
    </xf>
    <xf numFmtId="0" fontId="199" fillId="0" borderId="127" xfId="53" applyFont="1" applyFill="1" applyBorder="1" applyAlignment="1" applyProtection="1">
      <alignment horizontal="center" vertical="center"/>
      <protection locked="0" hidden="1"/>
    </xf>
    <xf numFmtId="0" fontId="199" fillId="0" borderId="128" xfId="52" applyFont="1" applyFill="1" applyBorder="1" applyAlignment="1" applyProtection="1">
      <alignment horizontal="center" vertical="center"/>
      <protection locked="0" hidden="1"/>
    </xf>
    <xf numFmtId="0" fontId="199" fillId="0" borderId="127" xfId="52" applyFont="1" applyFill="1" applyBorder="1" applyAlignment="1" applyProtection="1">
      <alignment horizontal="center" vertical="center"/>
      <protection locked="0" hidden="1"/>
    </xf>
    <xf numFmtId="0" fontId="199" fillId="44" borderId="127" xfId="52" applyFont="1" applyFill="1" applyBorder="1" applyAlignment="1" applyProtection="1">
      <alignment horizontal="center" vertical="center"/>
      <protection locked="0" hidden="1"/>
    </xf>
    <xf numFmtId="0" fontId="3" fillId="42" borderId="0" xfId="53" applyFill="1" applyProtection="1">
      <protection hidden="1"/>
    </xf>
    <xf numFmtId="0" fontId="198" fillId="42" borderId="0" xfId="53" applyFont="1" applyFill="1" applyAlignment="1" applyProtection="1">
      <alignment horizontal="center" wrapText="1"/>
      <protection hidden="1"/>
    </xf>
    <xf numFmtId="0" fontId="203" fillId="42" borderId="0" xfId="53" applyFont="1" applyFill="1" applyAlignment="1" applyProtection="1">
      <alignment horizontal="center" wrapText="1"/>
      <protection hidden="1"/>
    </xf>
    <xf numFmtId="0" fontId="3" fillId="43" borderId="127" xfId="53" applyFill="1" applyBorder="1" applyAlignment="1" applyProtection="1">
      <alignment horizontal="center" vertical="center"/>
      <protection hidden="1"/>
    </xf>
    <xf numFmtId="0" fontId="197" fillId="43" borderId="127" xfId="53" applyFont="1" applyFill="1" applyBorder="1" applyAlignment="1" applyProtection="1">
      <alignment horizontal="left" vertical="top" wrapText="1"/>
      <protection hidden="1"/>
    </xf>
    <xf numFmtId="0" fontId="3" fillId="43" borderId="127" xfId="53" applyFill="1" applyBorder="1" applyProtection="1">
      <protection hidden="1"/>
    </xf>
    <xf numFmtId="0" fontId="3" fillId="43" borderId="0" xfId="53" applyFill="1" applyAlignment="1" applyProtection="1">
      <alignment horizontal="center" vertical="center"/>
      <protection hidden="1"/>
    </xf>
    <xf numFmtId="0" fontId="3" fillId="43" borderId="0" xfId="53" applyFill="1" applyAlignment="1" applyProtection="1">
      <alignment wrapText="1"/>
      <protection hidden="1"/>
    </xf>
    <xf numFmtId="0" fontId="3" fillId="43" borderId="0" xfId="53" applyFill="1" applyProtection="1">
      <protection hidden="1"/>
    </xf>
    <xf numFmtId="0" fontId="3" fillId="42" borderId="0" xfId="53" applyFill="1" applyAlignment="1" applyProtection="1">
      <alignment horizontal="center" vertical="center"/>
      <protection hidden="1"/>
    </xf>
    <xf numFmtId="0" fontId="197" fillId="43" borderId="127" xfId="53" applyFont="1" applyFill="1" applyBorder="1" applyAlignment="1" applyProtection="1">
      <alignment wrapText="1"/>
      <protection hidden="1"/>
    </xf>
    <xf numFmtId="0" fontId="199" fillId="43" borderId="0" xfId="53" applyFont="1" applyFill="1" applyAlignment="1" applyProtection="1">
      <alignment horizontal="center" vertical="center"/>
      <protection hidden="1"/>
    </xf>
    <xf numFmtId="0" fontId="197" fillId="43" borderId="127" xfId="53" applyFont="1" applyFill="1" applyBorder="1" applyProtection="1">
      <protection hidden="1"/>
    </xf>
    <xf numFmtId="0" fontId="3" fillId="43" borderId="128" xfId="53" applyFill="1" applyBorder="1" applyAlignment="1" applyProtection="1">
      <alignment horizontal="center" vertical="center"/>
      <protection hidden="1"/>
    </xf>
    <xf numFmtId="0" fontId="200" fillId="43" borderId="128" xfId="53" applyFont="1" applyFill="1" applyBorder="1" applyProtection="1">
      <protection hidden="1"/>
    </xf>
    <xf numFmtId="0" fontId="197" fillId="43" borderId="128" xfId="53" applyFont="1" applyFill="1" applyBorder="1" applyAlignment="1" applyProtection="1">
      <alignment wrapText="1"/>
      <protection hidden="1"/>
    </xf>
    <xf numFmtId="0" fontId="197" fillId="43" borderId="128" xfId="53" applyFont="1" applyFill="1" applyBorder="1" applyProtection="1">
      <protection hidden="1"/>
    </xf>
    <xf numFmtId="0" fontId="197" fillId="43" borderId="128" xfId="53" applyFont="1" applyFill="1" applyBorder="1" applyAlignment="1" applyProtection="1">
      <alignment vertical="top" wrapText="1"/>
      <protection hidden="1"/>
    </xf>
    <xf numFmtId="0" fontId="200" fillId="43" borderId="128" xfId="53" applyFont="1" applyFill="1" applyBorder="1" applyAlignment="1" applyProtection="1">
      <alignment vertical="top" wrapText="1"/>
      <protection hidden="1"/>
    </xf>
    <xf numFmtId="0" fontId="3" fillId="43" borderId="128" xfId="53" applyFill="1" applyBorder="1" applyProtection="1">
      <protection hidden="1"/>
    </xf>
    <xf numFmtId="0" fontId="198" fillId="42" borderId="0" xfId="53" applyFont="1" applyFill="1" applyAlignment="1" applyProtection="1">
      <alignment horizontal="center"/>
      <protection hidden="1"/>
    </xf>
    <xf numFmtId="0" fontId="199" fillId="0" borderId="127" xfId="53" applyFont="1" applyFill="1" applyBorder="1" applyAlignment="1" applyProtection="1">
      <alignment horizontal="center" vertical="center"/>
      <protection locked="0"/>
    </xf>
    <xf numFmtId="0" fontId="104" fillId="17" borderId="0" xfId="43" applyFont="1" applyFill="1" applyAlignment="1" applyProtection="1">
      <alignment vertical="top" wrapText="1"/>
      <protection hidden="1"/>
    </xf>
    <xf numFmtId="0" fontId="7" fillId="0" borderId="10" xfId="40" applyFont="1" applyFill="1" applyBorder="1" applyAlignment="1" applyProtection="1">
      <alignment horizontal="left" vertical="top" wrapText="1"/>
      <protection hidden="1"/>
    </xf>
    <xf numFmtId="0" fontId="7" fillId="17" borderId="10" xfId="40" applyFont="1" applyFill="1" applyBorder="1" applyAlignment="1" applyProtection="1">
      <alignment horizontal="left" vertical="top" wrapText="1"/>
      <protection hidden="1"/>
    </xf>
    <xf numFmtId="0" fontId="36" fillId="26" borderId="129" xfId="45" applyFont="1" applyFill="1" applyBorder="1" applyAlignment="1" applyProtection="1">
      <alignment vertical="center"/>
      <protection hidden="1"/>
    </xf>
    <xf numFmtId="15" fontId="24" fillId="17" borderId="130" xfId="45" applyNumberFormat="1" applyFont="1" applyFill="1" applyBorder="1" applyAlignment="1" applyProtection="1">
      <alignment horizontal="left" vertical="center" wrapText="1"/>
      <protection locked="0" hidden="1"/>
    </xf>
    <xf numFmtId="0" fontId="36" fillId="26" borderId="131" xfId="45" applyFont="1" applyFill="1" applyBorder="1" applyAlignment="1" applyProtection="1">
      <alignment vertical="center"/>
      <protection hidden="1"/>
    </xf>
    <xf numFmtId="15" fontId="24" fillId="17" borderId="132" xfId="45" applyNumberFormat="1" applyFont="1" applyFill="1" applyBorder="1" applyAlignment="1" applyProtection="1">
      <alignment horizontal="left" vertical="center" wrapText="1"/>
      <protection locked="0" hidden="1"/>
    </xf>
    <xf numFmtId="0" fontId="36" fillId="26" borderId="133" xfId="45" applyFont="1" applyFill="1" applyBorder="1" applyAlignment="1" applyProtection="1">
      <alignment vertical="center"/>
      <protection hidden="1"/>
    </xf>
    <xf numFmtId="15" fontId="24" fillId="17" borderId="134" xfId="45" applyNumberFormat="1" applyFont="1" applyFill="1" applyBorder="1" applyAlignment="1" applyProtection="1">
      <alignment horizontal="left" vertical="center" wrapText="1"/>
      <protection locked="0" hidden="1"/>
    </xf>
    <xf numFmtId="0" fontId="13" fillId="26" borderId="54" xfId="41" applyFont="1" applyFill="1" applyBorder="1" applyAlignment="1" applyProtection="1">
      <alignment horizontal="center"/>
      <protection hidden="1"/>
    </xf>
    <xf numFmtId="0" fontId="13" fillId="26" borderId="123" xfId="41" applyFont="1" applyFill="1" applyBorder="1" applyAlignment="1" applyProtection="1">
      <alignment horizontal="center"/>
      <protection hidden="1"/>
    </xf>
    <xf numFmtId="0" fontId="13" fillId="26" borderId="79" xfId="41" applyFont="1" applyFill="1" applyBorder="1" applyAlignment="1" applyProtection="1">
      <alignment horizontal="center"/>
      <protection hidden="1"/>
    </xf>
    <xf numFmtId="0" fontId="51" fillId="46" borderId="38" xfId="41" applyFont="1" applyFill="1" applyBorder="1" applyAlignment="1" applyProtection="1">
      <alignment horizontal="left" vertical="center" wrapText="1"/>
      <protection hidden="1"/>
    </xf>
    <xf numFmtId="0" fontId="51" fillId="46" borderId="0" xfId="41" applyFont="1" applyFill="1" applyBorder="1" applyAlignment="1" applyProtection="1">
      <alignment horizontal="left" vertical="center" wrapText="1"/>
      <protection hidden="1"/>
    </xf>
    <xf numFmtId="0" fontId="51" fillId="46" borderId="0" xfId="41" applyFont="1" applyFill="1" applyBorder="1" applyAlignment="1" applyProtection="1">
      <alignment horizontal="left" vertical="center"/>
      <protection hidden="1"/>
    </xf>
    <xf numFmtId="0" fontId="51" fillId="46" borderId="39" xfId="41" applyFont="1" applyFill="1" applyBorder="1" applyAlignment="1" applyProtection="1">
      <alignment horizontal="left" vertical="center" wrapText="1"/>
      <protection hidden="1"/>
    </xf>
    <xf numFmtId="0" fontId="51" fillId="46" borderId="40" xfId="41" applyFont="1" applyFill="1" applyBorder="1" applyAlignment="1" applyProtection="1">
      <alignment horizontal="left" vertical="center" wrapText="1"/>
      <protection hidden="1"/>
    </xf>
    <xf numFmtId="0" fontId="51" fillId="46" borderId="32" xfId="41" applyFont="1" applyFill="1" applyBorder="1" applyAlignment="1" applyProtection="1">
      <alignment horizontal="left" vertical="center"/>
      <protection hidden="1"/>
    </xf>
    <xf numFmtId="0" fontId="51" fillId="46" borderId="32" xfId="41" applyFont="1" applyFill="1" applyBorder="1" applyAlignment="1" applyProtection="1">
      <alignment horizontal="left" vertical="center" wrapText="1"/>
      <protection hidden="1"/>
    </xf>
    <xf numFmtId="165" fontId="7" fillId="46" borderId="41" xfId="41" applyNumberFormat="1" applyFont="1" applyFill="1" applyBorder="1" applyAlignment="1" applyProtection="1">
      <alignment horizontal="center" vertical="center" wrapText="1"/>
      <protection locked="0" hidden="1"/>
    </xf>
    <xf numFmtId="0" fontId="134" fillId="46" borderId="0" xfId="41" applyFont="1" applyFill="1" applyBorder="1" applyAlignment="1" applyProtection="1">
      <alignment vertical="center"/>
      <protection hidden="1"/>
    </xf>
    <xf numFmtId="0" fontId="7" fillId="46" borderId="10" xfId="41" applyFont="1" applyFill="1" applyBorder="1" applyAlignment="1" applyProtection="1">
      <alignment horizontal="center" vertical="top" wrapText="1"/>
      <protection hidden="1"/>
    </xf>
    <xf numFmtId="20" fontId="208" fillId="47" borderId="0" xfId="117" applyNumberFormat="1" applyFont="1" applyFill="1" applyBorder="1" applyAlignment="1">
      <alignment horizontal="center" wrapText="1"/>
    </xf>
    <xf numFmtId="9" fontId="209" fillId="44" borderId="135" xfId="118" applyNumberFormat="1" applyFont="1" applyFill="1" applyBorder="1" applyAlignment="1" applyProtection="1">
      <alignment horizontal="center"/>
      <protection locked="0"/>
    </xf>
    <xf numFmtId="3" fontId="210" fillId="45" borderId="135" xfId="118" applyNumberFormat="1" applyFont="1" applyFill="1" applyBorder="1" applyAlignment="1">
      <alignment horizontal="center" wrapText="1"/>
    </xf>
    <xf numFmtId="0" fontId="9" fillId="42" borderId="13" xfId="41" applyFont="1" applyFill="1" applyBorder="1" applyAlignment="1" applyProtection="1">
      <alignment vertical="top" wrapText="1"/>
      <protection hidden="1"/>
    </xf>
    <xf numFmtId="0" fontId="206" fillId="46" borderId="38" xfId="41" applyFont="1" applyFill="1" applyBorder="1" applyAlignment="1" applyProtection="1">
      <alignment vertical="center" wrapText="1"/>
      <protection hidden="1"/>
    </xf>
    <xf numFmtId="0" fontId="206" fillId="46" borderId="0" xfId="41" applyFont="1" applyFill="1" applyBorder="1" applyAlignment="1" applyProtection="1">
      <alignment vertical="center" wrapText="1"/>
      <protection hidden="1"/>
    </xf>
    <xf numFmtId="0" fontId="206" fillId="46" borderId="39" xfId="41" applyFont="1" applyFill="1" applyBorder="1" applyAlignment="1" applyProtection="1">
      <alignment vertical="center" wrapText="1"/>
      <protection hidden="1"/>
    </xf>
    <xf numFmtId="0" fontId="206" fillId="46" borderId="40" xfId="41" applyFont="1" applyFill="1" applyBorder="1" applyAlignment="1" applyProtection="1">
      <alignment vertical="center" wrapText="1"/>
      <protection hidden="1"/>
    </xf>
    <xf numFmtId="0" fontId="206" fillId="46" borderId="32" xfId="41" applyFont="1" applyFill="1" applyBorder="1" applyAlignment="1" applyProtection="1">
      <alignment vertical="center" wrapText="1"/>
      <protection hidden="1"/>
    </xf>
    <xf numFmtId="0" fontId="206" fillId="46" borderId="41" xfId="41" applyFont="1" applyFill="1" applyBorder="1" applyAlignment="1" applyProtection="1">
      <alignment vertical="center" wrapText="1"/>
      <protection hidden="1"/>
    </xf>
    <xf numFmtId="165" fontId="128" fillId="44" borderId="53" xfId="41" applyNumberFormat="1" applyFont="1" applyFill="1" applyBorder="1" applyAlignment="1" applyProtection="1">
      <alignment horizontal="center" vertical="center" wrapText="1"/>
      <protection locked="0" hidden="1"/>
    </xf>
    <xf numFmtId="0" fontId="9" fillId="44" borderId="0" xfId="41" applyFont="1" applyFill="1" applyAlignment="1" applyProtection="1">
      <alignment horizontal="left" vertical="top"/>
      <protection hidden="1"/>
    </xf>
    <xf numFmtId="0" fontId="104" fillId="0" borderId="0" xfId="0" applyFont="1" applyAlignment="1">
      <alignment horizontal="left" wrapText="1"/>
    </xf>
    <xf numFmtId="0" fontId="7" fillId="0" borderId="0" xfId="43" applyFont="1" applyFill="1" applyBorder="1" applyAlignment="1" applyProtection="1">
      <alignment vertical="top" shrinkToFit="1"/>
      <protection hidden="1"/>
    </xf>
    <xf numFmtId="0" fontId="0" fillId="0" borderId="0" xfId="0" applyAlignment="1" applyProtection="1">
      <alignment vertical="top" shrinkToFit="1"/>
      <protection hidden="1"/>
    </xf>
    <xf numFmtId="0" fontId="201" fillId="17" borderId="0" xfId="43" applyFont="1" applyFill="1" applyAlignment="1" applyProtection="1">
      <alignment vertical="top" shrinkToFit="1"/>
      <protection hidden="1"/>
    </xf>
    <xf numFmtId="0" fontId="202" fillId="0" borderId="0" xfId="0" applyFont="1" applyAlignment="1" applyProtection="1">
      <alignment vertical="top" shrinkToFit="1"/>
      <protection hidden="1"/>
    </xf>
    <xf numFmtId="0" fontId="104" fillId="17" borderId="0" xfId="43" applyFont="1" applyFill="1" applyAlignment="1" applyProtection="1">
      <alignment vertical="top" wrapText="1"/>
      <protection hidden="1"/>
    </xf>
    <xf numFmtId="0" fontId="0" fillId="0" borderId="0" xfId="0" applyAlignment="1">
      <alignment vertical="top" wrapText="1"/>
    </xf>
    <xf numFmtId="0" fontId="7" fillId="17" borderId="0" xfId="43" applyFont="1" applyFill="1" applyAlignment="1" applyProtection="1">
      <alignment vertical="top" wrapText="1"/>
      <protection hidden="1"/>
    </xf>
    <xf numFmtId="0" fontId="7" fillId="17" borderId="0" xfId="43" applyFont="1" applyFill="1" applyAlignment="1" applyProtection="1">
      <alignment vertical="top" shrinkToFit="1"/>
      <protection hidden="1"/>
    </xf>
    <xf numFmtId="0" fontId="7" fillId="17" borderId="0" xfId="43" applyFont="1" applyFill="1" applyBorder="1" applyAlignment="1" applyProtection="1">
      <alignment horizontal="justify" vertical="top" wrapText="1"/>
      <protection hidden="1"/>
    </xf>
    <xf numFmtId="0" fontId="7" fillId="17" borderId="0" xfId="43" applyFont="1" applyFill="1" applyBorder="1" applyAlignment="1" applyProtection="1">
      <alignment horizontal="justify" vertical="top"/>
      <protection hidden="1"/>
    </xf>
    <xf numFmtId="0" fontId="36" fillId="26" borderId="100" xfId="45" applyFont="1" applyFill="1" applyBorder="1" applyAlignment="1" applyProtection="1">
      <alignment horizontal="left" vertical="center"/>
      <protection hidden="1"/>
    </xf>
    <xf numFmtId="0" fontId="36" fillId="26" borderId="105" xfId="45" applyFont="1" applyFill="1" applyBorder="1" applyAlignment="1" applyProtection="1">
      <alignment horizontal="left" vertical="center"/>
      <protection hidden="1"/>
    </xf>
    <xf numFmtId="0" fontId="36" fillId="26" borderId="101" xfId="45" applyFont="1" applyFill="1" applyBorder="1" applyAlignment="1" applyProtection="1">
      <alignment horizontal="left" vertical="center"/>
      <protection hidden="1"/>
    </xf>
    <xf numFmtId="0" fontId="51" fillId="26" borderId="126" xfId="45" applyNumberFormat="1" applyFont="1" applyFill="1" applyBorder="1" applyAlignment="1" applyProtection="1">
      <alignment horizontal="left" vertical="center" wrapText="1"/>
      <protection hidden="1"/>
    </xf>
    <xf numFmtId="0" fontId="51" fillId="26" borderId="109" xfId="45" applyNumberFormat="1" applyFont="1" applyFill="1" applyBorder="1" applyAlignment="1" applyProtection="1">
      <alignment horizontal="left" vertical="center" wrapText="1"/>
      <protection hidden="1"/>
    </xf>
    <xf numFmtId="0" fontId="16" fillId="17" borderId="72" xfId="0" applyFont="1" applyFill="1" applyBorder="1" applyAlignment="1" applyProtection="1">
      <alignment horizontal="left" vertical="top" wrapText="1"/>
      <protection hidden="1"/>
    </xf>
    <xf numFmtId="0" fontId="16" fillId="17" borderId="47" xfId="0" applyFont="1" applyFill="1" applyBorder="1" applyAlignment="1" applyProtection="1">
      <alignment horizontal="left" vertical="top" wrapText="1"/>
      <protection hidden="1"/>
    </xf>
    <xf numFmtId="0" fontId="104" fillId="17" borderId="71" xfId="0" applyFont="1" applyFill="1" applyBorder="1" applyAlignment="1" applyProtection="1">
      <alignment horizontal="left" vertical="top" wrapText="1"/>
      <protection hidden="1"/>
    </xf>
    <xf numFmtId="0" fontId="104" fillId="17" borderId="43" xfId="0" applyFont="1" applyFill="1" applyBorder="1" applyAlignment="1" applyProtection="1">
      <alignment horizontal="left" vertical="top" wrapText="1"/>
      <protection hidden="1"/>
    </xf>
    <xf numFmtId="0" fontId="24" fillId="17" borderId="83" xfId="40" applyNumberFormat="1" applyFont="1" applyFill="1" applyBorder="1" applyAlignment="1" applyProtection="1">
      <alignment horizontal="center" vertical="top" wrapText="1"/>
      <protection locked="0"/>
    </xf>
    <xf numFmtId="0" fontId="24" fillId="17" borderId="48" xfId="40" applyNumberFormat="1" applyFont="1" applyFill="1" applyBorder="1" applyAlignment="1" applyProtection="1">
      <alignment horizontal="center" vertical="top" wrapText="1"/>
      <protection locked="0"/>
    </xf>
    <xf numFmtId="0" fontId="16" fillId="17" borderId="71" xfId="0" applyFont="1" applyFill="1" applyBorder="1" applyAlignment="1" applyProtection="1">
      <alignment vertical="top" wrapText="1"/>
      <protection hidden="1"/>
    </xf>
    <xf numFmtId="0" fontId="16" fillId="17" borderId="43" xfId="0" applyFont="1" applyFill="1" applyBorder="1" applyAlignment="1" applyProtection="1">
      <alignment vertical="top" wrapText="1"/>
      <protection hidden="1"/>
    </xf>
    <xf numFmtId="0" fontId="24" fillId="17" borderId="19" xfId="40" applyNumberFormat="1" applyFont="1" applyFill="1" applyBorder="1" applyAlignment="1" applyProtection="1">
      <alignment horizontal="left" vertical="top" wrapText="1"/>
      <protection locked="0"/>
    </xf>
    <xf numFmtId="0" fontId="16" fillId="17" borderId="18" xfId="0" applyFont="1" applyFill="1" applyBorder="1" applyAlignment="1" applyProtection="1">
      <alignment horizontal="left" vertical="top" wrapText="1"/>
      <protection hidden="1"/>
    </xf>
    <xf numFmtId="0" fontId="104" fillId="17" borderId="10" xfId="0" applyFont="1" applyFill="1" applyBorder="1" applyAlignment="1" applyProtection="1">
      <alignment horizontal="left" vertical="top" wrapText="1"/>
      <protection hidden="1"/>
    </xf>
    <xf numFmtId="0" fontId="25" fillId="17" borderId="71" xfId="40" applyFont="1" applyFill="1" applyBorder="1" applyAlignment="1" applyProtection="1">
      <alignment horizontal="center" vertical="center" wrapText="1"/>
      <protection locked="0" hidden="1"/>
    </xf>
    <xf numFmtId="0" fontId="25" fillId="17" borderId="43" xfId="40" applyFont="1" applyFill="1" applyBorder="1" applyAlignment="1" applyProtection="1">
      <alignment horizontal="center" vertical="center" wrapText="1"/>
      <protection locked="0" hidden="1"/>
    </xf>
    <xf numFmtId="0" fontId="0" fillId="0" borderId="43" xfId="0" applyBorder="1" applyAlignment="1" applyProtection="1">
      <alignment wrapText="1"/>
      <protection locked="0" hidden="1"/>
    </xf>
    <xf numFmtId="0" fontId="24" fillId="17" borderId="83" xfId="40" applyNumberFormat="1" applyFont="1" applyFill="1" applyBorder="1" applyAlignment="1" applyProtection="1">
      <alignment horizontal="left" vertical="top" wrapText="1"/>
      <protection locked="0"/>
    </xf>
    <xf numFmtId="0" fontId="24" fillId="17" borderId="48" xfId="40" applyNumberFormat="1" applyFont="1" applyFill="1" applyBorder="1" applyAlignment="1" applyProtection="1">
      <alignment horizontal="left" vertical="top" wrapText="1"/>
      <protection locked="0"/>
    </xf>
    <xf numFmtId="0" fontId="58" fillId="23" borderId="20" xfId="40" applyFont="1" applyFill="1" applyBorder="1" applyAlignment="1" applyProtection="1">
      <alignment horizontal="left" vertical="center" wrapText="1"/>
      <protection hidden="1"/>
    </xf>
    <xf numFmtId="0" fontId="0" fillId="0" borderId="48" xfId="0" applyNumberFormat="1" applyBorder="1" applyAlignment="1" applyProtection="1">
      <alignment horizontal="left" vertical="top" wrapText="1"/>
      <protection locked="0"/>
    </xf>
    <xf numFmtId="0" fontId="58" fillId="23" borderId="20" xfId="40" applyFont="1" applyFill="1" applyBorder="1" applyAlignment="1" applyProtection="1">
      <alignment horizontal="center" vertical="center" wrapText="1"/>
      <protection hidden="1"/>
    </xf>
    <xf numFmtId="0" fontId="25" fillId="17" borderId="72" xfId="40" applyFont="1" applyFill="1" applyBorder="1" applyAlignment="1" applyProtection="1">
      <alignment vertical="top" wrapText="1"/>
      <protection hidden="1"/>
    </xf>
    <xf numFmtId="0" fontId="0" fillId="0" borderId="47" xfId="0" applyBorder="1" applyAlignment="1" applyProtection="1">
      <alignment wrapText="1"/>
      <protection hidden="1"/>
    </xf>
    <xf numFmtId="0" fontId="20" fillId="17" borderId="71" xfId="0" applyFont="1" applyFill="1" applyBorder="1" applyAlignment="1" applyProtection="1">
      <alignment horizontal="center" vertical="center" wrapText="1"/>
      <protection hidden="1"/>
    </xf>
    <xf numFmtId="0" fontId="20" fillId="17" borderId="43" xfId="0" applyFont="1" applyFill="1" applyBorder="1" applyAlignment="1" applyProtection="1">
      <alignment horizontal="center" vertical="center" wrapText="1"/>
      <protection hidden="1"/>
    </xf>
    <xf numFmtId="0" fontId="25" fillId="17" borderId="88" xfId="40" applyFont="1" applyFill="1" applyBorder="1" applyAlignment="1" applyProtection="1">
      <alignment vertical="top" wrapText="1"/>
      <protection hidden="1"/>
    </xf>
    <xf numFmtId="0" fontId="25" fillId="17" borderId="47" xfId="40" applyFont="1" applyFill="1" applyBorder="1" applyAlignment="1" applyProtection="1">
      <alignment vertical="top" wrapText="1"/>
      <protection hidden="1"/>
    </xf>
    <xf numFmtId="0" fontId="24" fillId="17" borderId="71" xfId="40" applyFont="1" applyFill="1" applyBorder="1" applyAlignment="1" applyProtection="1">
      <alignment vertical="top" wrapText="1"/>
      <protection hidden="1"/>
    </xf>
    <xf numFmtId="0" fontId="24" fillId="17" borderId="73" xfId="40" applyFont="1" applyFill="1" applyBorder="1" applyAlignment="1" applyProtection="1">
      <alignment vertical="top" wrapText="1"/>
      <protection hidden="1"/>
    </xf>
    <xf numFmtId="0" fontId="24" fillId="17" borderId="43" xfId="40" applyFont="1" applyFill="1" applyBorder="1" applyAlignment="1" applyProtection="1">
      <alignment vertical="top" wrapText="1"/>
      <protection hidden="1"/>
    </xf>
    <xf numFmtId="0" fontId="0" fillId="0" borderId="43" xfId="0" applyBorder="1" applyAlignment="1" applyProtection="1">
      <alignment wrapText="1"/>
      <protection hidden="1"/>
    </xf>
    <xf numFmtId="0" fontId="0" fillId="0" borderId="43" xfId="0" applyBorder="1" applyAlignment="1" applyProtection="1">
      <alignment horizontal="center" vertical="center" wrapText="1"/>
      <protection hidden="1"/>
    </xf>
    <xf numFmtId="0" fontId="24" fillId="17" borderId="10" xfId="40" applyFont="1" applyFill="1" applyBorder="1" applyAlignment="1" applyProtection="1">
      <alignment horizontal="left" vertical="top" wrapText="1"/>
      <protection hidden="1"/>
    </xf>
    <xf numFmtId="0" fontId="0" fillId="17" borderId="18" xfId="0" applyFill="1" applyBorder="1" applyAlignment="1" applyProtection="1">
      <alignment horizontal="left" vertical="top" wrapText="1"/>
      <protection hidden="1"/>
    </xf>
    <xf numFmtId="0" fontId="24" fillId="0" borderId="10" xfId="40" applyFont="1" applyFill="1" applyBorder="1" applyAlignment="1" applyProtection="1">
      <alignment horizontal="left" vertical="top" wrapText="1"/>
      <protection hidden="1"/>
    </xf>
    <xf numFmtId="0" fontId="25" fillId="24" borderId="118" xfId="40" applyFont="1" applyFill="1" applyBorder="1" applyAlignment="1" applyProtection="1">
      <alignment horizontal="center" vertical="center" wrapText="1"/>
      <protection hidden="1"/>
    </xf>
    <xf numFmtId="0" fontId="25" fillId="24" borderId="125" xfId="40" applyFont="1" applyFill="1" applyBorder="1" applyAlignment="1" applyProtection="1">
      <alignment horizontal="center" vertical="center" wrapText="1"/>
      <protection hidden="1"/>
    </xf>
    <xf numFmtId="3" fontId="25" fillId="24" borderId="71" xfId="40" applyNumberFormat="1" applyFont="1" applyFill="1" applyBorder="1" applyAlignment="1" applyProtection="1">
      <alignment horizontal="center" vertical="center" wrapText="1"/>
      <protection hidden="1"/>
    </xf>
    <xf numFmtId="3" fontId="25" fillId="24" borderId="43" xfId="40" applyNumberFormat="1" applyFont="1" applyFill="1" applyBorder="1" applyAlignment="1" applyProtection="1">
      <alignment horizontal="center" vertical="center" wrapText="1"/>
      <protection hidden="1"/>
    </xf>
    <xf numFmtId="0" fontId="25" fillId="17" borderId="71" xfId="40" applyFont="1" applyFill="1" applyBorder="1" applyAlignment="1" applyProtection="1">
      <alignment horizontal="center" vertical="center" wrapText="1"/>
      <protection hidden="1"/>
    </xf>
    <xf numFmtId="0" fontId="25" fillId="17" borderId="43" xfId="40" applyFont="1" applyFill="1" applyBorder="1" applyAlignment="1" applyProtection="1">
      <alignment horizontal="center" vertical="center" wrapText="1"/>
      <protection hidden="1"/>
    </xf>
    <xf numFmtId="0" fontId="24" fillId="0" borderId="71" xfId="40" applyFont="1" applyFill="1" applyBorder="1" applyAlignment="1" applyProtection="1">
      <alignment horizontal="center" vertical="center" wrapText="1"/>
      <protection hidden="1"/>
    </xf>
    <xf numFmtId="0" fontId="24" fillId="0" borderId="43" xfId="40" applyFont="1" applyFill="1" applyBorder="1" applyAlignment="1" applyProtection="1">
      <alignment horizontal="center" vertical="center" wrapText="1"/>
      <protection hidden="1"/>
    </xf>
    <xf numFmtId="0" fontId="7" fillId="17" borderId="10" xfId="0" applyFont="1" applyFill="1" applyBorder="1" applyAlignment="1" applyProtection="1">
      <alignment horizontal="left" vertical="top" wrapText="1"/>
      <protection hidden="1"/>
    </xf>
    <xf numFmtId="0" fontId="0" fillId="17" borderId="10" xfId="0" applyFill="1" applyBorder="1" applyAlignment="1" applyProtection="1">
      <alignment horizontal="left" vertical="top" wrapText="1"/>
      <protection hidden="1"/>
    </xf>
    <xf numFmtId="0" fontId="36" fillId="41" borderId="56" xfId="0" applyFont="1" applyFill="1" applyBorder="1" applyAlignment="1">
      <alignment vertical="center"/>
    </xf>
    <xf numFmtId="0" fontId="0" fillId="26" borderId="62" xfId="0" applyFill="1" applyBorder="1" applyAlignment="1">
      <alignment vertical="center"/>
    </xf>
    <xf numFmtId="0" fontId="0" fillId="26" borderId="64" xfId="0" applyFill="1" applyBorder="1" applyAlignment="1">
      <alignment vertical="center"/>
    </xf>
    <xf numFmtId="0" fontId="36" fillId="41" borderId="18" xfId="0" applyFont="1" applyFill="1" applyBorder="1" applyAlignment="1">
      <alignment vertical="center"/>
    </xf>
    <xf numFmtId="0" fontId="0" fillId="26" borderId="10" xfId="0" applyFill="1" applyBorder="1" applyAlignment="1">
      <alignment vertical="center"/>
    </xf>
    <xf numFmtId="0" fontId="63" fillId="26" borderId="49" xfId="41" applyFont="1" applyFill="1" applyBorder="1" applyAlignment="1" applyProtection="1">
      <alignment horizontal="center" vertical="center"/>
      <protection hidden="1"/>
    </xf>
    <xf numFmtId="0" fontId="63" fillId="26" borderId="76" xfId="41" applyFont="1" applyFill="1" applyBorder="1" applyAlignment="1" applyProtection="1">
      <alignment horizontal="center" vertical="center"/>
      <protection hidden="1"/>
    </xf>
    <xf numFmtId="0" fontId="63" fillId="26" borderId="49" xfId="41" applyFont="1" applyFill="1" applyBorder="1" applyAlignment="1" applyProtection="1">
      <alignment horizontal="center" vertical="center" wrapText="1"/>
      <protection hidden="1"/>
    </xf>
    <xf numFmtId="0" fontId="63" fillId="26" borderId="76" xfId="41" applyFont="1" applyFill="1" applyBorder="1" applyAlignment="1" applyProtection="1">
      <alignment horizontal="center" vertical="center" wrapText="1"/>
      <protection hidden="1"/>
    </xf>
    <xf numFmtId="0" fontId="103" fillId="26" borderId="15" xfId="0" applyFont="1" applyFill="1" applyBorder="1" applyAlignment="1" applyProtection="1">
      <alignment horizontal="center" vertical="center"/>
    </xf>
    <xf numFmtId="0" fontId="103" fillId="26" borderId="16" xfId="0" applyFont="1" applyFill="1" applyBorder="1" applyAlignment="1" applyProtection="1">
      <alignment horizontal="center" vertical="center"/>
    </xf>
    <xf numFmtId="0" fontId="103" fillId="26" borderId="17" xfId="0" applyFont="1" applyFill="1" applyBorder="1" applyAlignment="1" applyProtection="1">
      <alignment horizontal="center" vertical="center"/>
    </xf>
    <xf numFmtId="0" fontId="103" fillId="26" borderId="20" xfId="0" applyFont="1" applyFill="1" applyBorder="1" applyAlignment="1" applyProtection="1">
      <alignment horizontal="center" vertical="center"/>
    </xf>
    <xf numFmtId="0" fontId="103" fillId="26" borderId="0" xfId="0" applyFont="1" applyFill="1" applyBorder="1" applyAlignment="1" applyProtection="1">
      <alignment horizontal="center" vertical="center"/>
    </xf>
    <xf numFmtId="0" fontId="103" fillId="26" borderId="21" xfId="0" applyFont="1" applyFill="1" applyBorder="1" applyAlignment="1" applyProtection="1">
      <alignment horizontal="center" vertical="center"/>
    </xf>
    <xf numFmtId="0" fontId="103" fillId="26" borderId="23" xfId="0" applyFont="1" applyFill="1" applyBorder="1" applyAlignment="1" applyProtection="1">
      <alignment horizontal="center" vertical="center"/>
    </xf>
    <xf numFmtId="0" fontId="103" fillId="26" borderId="24" xfId="0" applyFont="1" applyFill="1" applyBorder="1" applyAlignment="1" applyProtection="1">
      <alignment horizontal="center" vertical="center"/>
    </xf>
    <xf numFmtId="0" fontId="103" fillId="26" borderId="25" xfId="0" applyFont="1" applyFill="1" applyBorder="1" applyAlignment="1" applyProtection="1">
      <alignment horizontal="center" vertical="center"/>
    </xf>
    <xf numFmtId="0" fontId="77" fillId="26" borderId="15" xfId="0" applyFont="1" applyFill="1" applyBorder="1" applyAlignment="1" applyProtection="1">
      <alignment horizontal="left" indent="1"/>
    </xf>
    <xf numFmtId="0" fontId="77" fillId="26" borderId="16" xfId="0" applyFont="1" applyFill="1" applyBorder="1" applyAlignment="1" applyProtection="1">
      <alignment horizontal="left" indent="1"/>
    </xf>
    <xf numFmtId="0" fontId="77" fillId="26" borderId="121" xfId="0" applyFont="1" applyFill="1" applyBorder="1" applyAlignment="1" applyProtection="1">
      <alignment horizontal="left" indent="1"/>
    </xf>
    <xf numFmtId="0" fontId="68" fillId="26" borderId="75" xfId="0" applyFont="1" applyFill="1" applyBorder="1" applyAlignment="1" applyProtection="1">
      <alignment horizontal="left" vertical="center" wrapText="1"/>
    </xf>
    <xf numFmtId="0" fontId="68" fillId="26" borderId="76" xfId="0" applyFont="1" applyFill="1" applyBorder="1" applyAlignment="1" applyProtection="1">
      <alignment horizontal="left" vertical="center" wrapText="1"/>
    </xf>
    <xf numFmtId="0" fontId="80" fillId="23" borderId="0" xfId="0" applyFont="1" applyFill="1" applyBorder="1" applyAlignment="1" applyProtection="1">
      <alignment horizontal="left" vertical="top"/>
    </xf>
    <xf numFmtId="0" fontId="75" fillId="23" borderId="0" xfId="0" applyFont="1" applyFill="1" applyBorder="1" applyAlignment="1" applyProtection="1">
      <alignment horizontal="left" vertical="top"/>
    </xf>
    <xf numFmtId="0" fontId="0" fillId="23" borderId="0" xfId="0" applyFill="1" applyAlignment="1"/>
    <xf numFmtId="0" fontId="68" fillId="26" borderId="15" xfId="0" applyFont="1" applyFill="1" applyBorder="1" applyAlignment="1" applyProtection="1">
      <alignment horizontal="left" vertical="center" wrapText="1"/>
    </xf>
    <xf numFmtId="0" fontId="82" fillId="26" borderId="16" xfId="0" applyFont="1" applyFill="1" applyBorder="1" applyAlignment="1" applyProtection="1">
      <alignment horizontal="left" vertical="center" wrapText="1"/>
    </xf>
    <xf numFmtId="0" fontId="82" fillId="26" borderId="17" xfId="0" applyFont="1" applyFill="1" applyBorder="1" applyAlignment="1" applyProtection="1">
      <alignment horizontal="left" vertical="center" wrapText="1"/>
    </xf>
    <xf numFmtId="0" fontId="82" fillId="26" borderId="20" xfId="0" applyFont="1" applyFill="1" applyBorder="1" applyAlignment="1" applyProtection="1">
      <alignment horizontal="left" vertical="center" wrapText="1"/>
    </xf>
    <xf numFmtId="0" fontId="82" fillId="26" borderId="0" xfId="0" applyFont="1" applyFill="1" applyBorder="1" applyAlignment="1" applyProtection="1">
      <alignment horizontal="left" vertical="center" wrapText="1"/>
    </xf>
    <xf numFmtId="0" fontId="82" fillId="26" borderId="21" xfId="0" applyFont="1" applyFill="1" applyBorder="1" applyAlignment="1" applyProtection="1">
      <alignment horizontal="left" vertical="center" wrapText="1"/>
    </xf>
    <xf numFmtId="0" fontId="82" fillId="26" borderId="23" xfId="0" applyFont="1" applyFill="1" applyBorder="1" applyAlignment="1" applyProtection="1">
      <alignment horizontal="left" vertical="center" wrapText="1"/>
    </xf>
    <xf numFmtId="0" fontId="82" fillId="26" borderId="24" xfId="0" applyFont="1" applyFill="1" applyBorder="1" applyAlignment="1" applyProtection="1">
      <alignment horizontal="left" vertical="center" wrapText="1"/>
    </xf>
    <xf numFmtId="0" fontId="82" fillId="26" borderId="25" xfId="0" applyFont="1" applyFill="1" applyBorder="1" applyAlignment="1" applyProtection="1">
      <alignment horizontal="left" vertical="center" wrapText="1"/>
    </xf>
    <xf numFmtId="0" fontId="99" fillId="26" borderId="118" xfId="0" applyFont="1" applyFill="1" applyBorder="1" applyAlignment="1" applyProtection="1">
      <alignment horizontal="center" wrapText="1"/>
    </xf>
    <xf numFmtId="0" fontId="99" fillId="26" borderId="79" xfId="0" applyFont="1" applyFill="1" applyBorder="1" applyAlignment="1" applyProtection="1">
      <alignment horizontal="center" wrapText="1"/>
    </xf>
    <xf numFmtId="0" fontId="68" fillId="26" borderId="49" xfId="0" applyFont="1" applyFill="1" applyBorder="1" applyAlignment="1" applyProtection="1">
      <alignment horizontal="left" vertical="center"/>
    </xf>
    <xf numFmtId="0" fontId="0" fillId="26" borderId="75" xfId="0" applyFill="1" applyBorder="1" applyAlignment="1">
      <alignment vertical="center"/>
    </xf>
    <xf numFmtId="0" fontId="16" fillId="23" borderId="0" xfId="0" applyFont="1" applyFill="1" applyBorder="1" applyAlignment="1" applyProtection="1">
      <alignment horizontal="center"/>
      <protection locked="0" hidden="1"/>
    </xf>
    <xf numFmtId="0" fontId="0" fillId="23" borderId="0" xfId="0" applyFill="1" applyBorder="1" applyAlignment="1" applyProtection="1">
      <alignment horizontal="center"/>
      <protection locked="0" hidden="1"/>
    </xf>
    <xf numFmtId="0" fontId="16" fillId="0" borderId="55"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0" fontId="16" fillId="24" borderId="33" xfId="39" applyFont="1" applyFill="1" applyBorder="1" applyAlignment="1" applyProtection="1">
      <alignment horizontal="center" vertical="center" wrapText="1"/>
      <protection hidden="1"/>
    </xf>
    <xf numFmtId="0" fontId="16" fillId="24" borderId="34" xfId="39" applyFont="1" applyFill="1" applyBorder="1" applyAlignment="1" applyProtection="1">
      <alignment horizontal="center" vertical="center" wrapText="1"/>
      <protection hidden="1"/>
    </xf>
    <xf numFmtId="0" fontId="16" fillId="24" borderId="35" xfId="39" applyFont="1" applyFill="1" applyBorder="1" applyAlignment="1" applyProtection="1">
      <alignment horizontal="center" vertical="center" wrapText="1"/>
      <protection hidden="1"/>
    </xf>
    <xf numFmtId="0" fontId="190" fillId="23" borderId="0" xfId="39" applyFont="1" applyFill="1" applyBorder="1" applyAlignment="1">
      <alignment horizontal="left" wrapText="1"/>
    </xf>
    <xf numFmtId="0" fontId="36" fillId="23" borderId="0" xfId="0" applyFont="1" applyFill="1" applyBorder="1" applyAlignment="1" applyProtection="1">
      <alignment horizontal="center" vertical="center" wrapText="1"/>
    </xf>
    <xf numFmtId="0" fontId="37" fillId="26" borderId="19" xfId="0" applyFont="1" applyFill="1" applyBorder="1" applyAlignment="1" applyProtection="1">
      <alignment horizontal="right" vertical="center" wrapText="1"/>
    </xf>
    <xf numFmtId="0" fontId="36" fillId="41" borderId="47" xfId="0" applyFont="1" applyFill="1" applyBorder="1" applyAlignment="1">
      <alignment vertical="center"/>
    </xf>
    <xf numFmtId="0" fontId="0" fillId="26" borderId="43" xfId="0" applyFill="1" applyBorder="1" applyAlignment="1">
      <alignment vertical="center"/>
    </xf>
    <xf numFmtId="0" fontId="37" fillId="26" borderId="10" xfId="0" applyFont="1" applyFill="1" applyBorder="1" applyAlignment="1" applyProtection="1">
      <alignment horizontal="right" vertical="center" wrapText="1"/>
    </xf>
    <xf numFmtId="0" fontId="37" fillId="26" borderId="64" xfId="0" applyFont="1" applyFill="1" applyBorder="1" applyAlignment="1" applyProtection="1">
      <alignment horizontal="right" vertical="center" wrapText="1"/>
    </xf>
    <xf numFmtId="0" fontId="68" fillId="26" borderId="20" xfId="0" applyFont="1" applyFill="1" applyBorder="1" applyAlignment="1" applyProtection="1">
      <alignment horizontal="center"/>
    </xf>
    <xf numFmtId="0" fontId="68" fillId="26" borderId="0" xfId="0" applyFont="1" applyFill="1" applyBorder="1" applyAlignment="1" applyProtection="1">
      <alignment horizontal="center"/>
    </xf>
    <xf numFmtId="0" fontId="68" fillId="26" borderId="39" xfId="0" applyFont="1" applyFill="1" applyBorder="1" applyAlignment="1" applyProtection="1">
      <alignment horizontal="center"/>
    </xf>
    <xf numFmtId="0" fontId="36" fillId="26" borderId="89" xfId="0" applyFont="1" applyFill="1" applyBorder="1" applyAlignment="1">
      <alignment horizontal="left" vertical="center" wrapText="1"/>
    </xf>
    <xf numFmtId="0" fontId="0" fillId="26" borderId="112" xfId="0" applyFill="1" applyBorder="1"/>
    <xf numFmtId="0" fontId="36" fillId="23" borderId="0" xfId="0" applyFont="1" applyFill="1" applyBorder="1" applyAlignment="1" applyProtection="1">
      <alignment vertical="top" wrapText="1"/>
      <protection hidden="1"/>
    </xf>
    <xf numFmtId="0" fontId="0" fillId="0" borderId="0" xfId="0" applyAlignment="1" applyProtection="1">
      <alignment vertical="top" wrapText="1"/>
    </xf>
    <xf numFmtId="0" fontId="0" fillId="0" borderId="0" xfId="0" applyAlignment="1" applyProtection="1">
      <alignment wrapText="1"/>
    </xf>
    <xf numFmtId="172" fontId="36" fillId="23" borderId="0" xfId="28" applyNumberFormat="1" applyFont="1" applyFill="1" applyBorder="1" applyAlignment="1" applyProtection="1">
      <alignment horizontal="left" vertical="center" shrinkToFit="1"/>
    </xf>
    <xf numFmtId="0" fontId="36" fillId="41" borderId="72" xfId="0" applyFont="1" applyFill="1" applyBorder="1" applyAlignment="1">
      <alignment vertical="center"/>
    </xf>
    <xf numFmtId="0" fontId="0" fillId="26" borderId="71" xfId="0" applyFill="1" applyBorder="1" applyAlignment="1">
      <alignment vertical="center"/>
    </xf>
    <xf numFmtId="0" fontId="36" fillId="41" borderId="50" xfId="0" applyFont="1" applyFill="1" applyBorder="1" applyAlignment="1">
      <alignment vertical="center"/>
    </xf>
    <xf numFmtId="0" fontId="0" fillId="26" borderId="51" xfId="0" applyFill="1" applyBorder="1" applyAlignment="1">
      <alignment vertical="center"/>
    </xf>
    <xf numFmtId="0" fontId="36" fillId="26" borderId="56" xfId="0" applyFont="1" applyFill="1" applyBorder="1" applyAlignment="1">
      <alignment horizontal="left" vertical="center" wrapText="1"/>
    </xf>
    <xf numFmtId="0" fontId="36" fillId="26" borderId="62" xfId="0" applyFont="1" applyFill="1" applyBorder="1" applyAlignment="1">
      <alignment horizontal="left" vertical="center" wrapText="1"/>
    </xf>
    <xf numFmtId="0" fontId="36" fillId="26" borderId="64" xfId="0" applyFont="1" applyFill="1" applyBorder="1" applyAlignment="1">
      <alignment horizontal="left" vertical="center" wrapText="1"/>
    </xf>
    <xf numFmtId="0" fontId="36" fillId="23" borderId="0" xfId="0" applyFont="1" applyFill="1" applyBorder="1" applyAlignment="1" applyProtection="1">
      <alignment wrapText="1"/>
      <protection locked="0" hidden="1"/>
    </xf>
    <xf numFmtId="0" fontId="0" fillId="23" borderId="0" xfId="0" applyFill="1" applyAlignment="1" applyProtection="1">
      <alignment wrapText="1"/>
      <protection locked="0" hidden="1"/>
    </xf>
    <xf numFmtId="0" fontId="36" fillId="26" borderId="47" xfId="0" applyFont="1" applyFill="1" applyBorder="1" applyAlignment="1">
      <alignment horizontal="left" vertical="center" wrapText="1"/>
    </xf>
    <xf numFmtId="0" fontId="0" fillId="26" borderId="43" xfId="0" applyFill="1" applyBorder="1" applyAlignment="1">
      <alignment wrapText="1"/>
    </xf>
    <xf numFmtId="0" fontId="36" fillId="26" borderId="18" xfId="0" applyFont="1" applyFill="1" applyBorder="1" applyAlignment="1">
      <alignment horizontal="left" vertical="center" wrapText="1"/>
    </xf>
    <xf numFmtId="0" fontId="0" fillId="26" borderId="10" xfId="0" applyFill="1" applyBorder="1" applyAlignment="1">
      <alignment vertical="center" wrapText="1"/>
    </xf>
    <xf numFmtId="0" fontId="7" fillId="24" borderId="0" xfId="0" applyFont="1" applyFill="1" applyBorder="1" applyAlignment="1" applyProtection="1">
      <alignment wrapText="1"/>
      <protection locked="0" hidden="1"/>
    </xf>
    <xf numFmtId="0" fontId="98" fillId="24" borderId="0" xfId="0" applyFont="1" applyFill="1" applyAlignment="1" applyProtection="1">
      <alignment wrapText="1"/>
      <protection locked="0" hidden="1"/>
    </xf>
    <xf numFmtId="3" fontId="102" fillId="24" borderId="55" xfId="0" applyNumberFormat="1" applyFont="1" applyFill="1" applyBorder="1" applyAlignment="1" applyProtection="1">
      <alignment horizontal="center" vertical="center" wrapText="1"/>
      <protection hidden="1"/>
    </xf>
    <xf numFmtId="3" fontId="102" fillId="24" borderId="11" xfId="0" applyNumberFormat="1" applyFont="1" applyFill="1" applyBorder="1" applyAlignment="1" applyProtection="1">
      <alignment horizontal="center" vertical="center" wrapText="1"/>
      <protection hidden="1"/>
    </xf>
    <xf numFmtId="3" fontId="102" fillId="24" borderId="12" xfId="0" applyNumberFormat="1" applyFont="1" applyFill="1" applyBorder="1" applyAlignment="1" applyProtection="1">
      <alignment horizontal="center" vertical="center" wrapText="1"/>
      <protection hidden="1"/>
    </xf>
    <xf numFmtId="0" fontId="36" fillId="26" borderId="45" xfId="0" applyFont="1" applyFill="1" applyBorder="1" applyAlignment="1">
      <alignment horizontal="left" vertical="center" wrapText="1"/>
    </xf>
    <xf numFmtId="0" fontId="0" fillId="26" borderId="46" xfId="0" applyFill="1" applyBorder="1" applyAlignment="1">
      <alignment wrapText="1"/>
    </xf>
    <xf numFmtId="0" fontId="103" fillId="26" borderId="15" xfId="0" applyFont="1" applyFill="1" applyBorder="1" applyAlignment="1" applyProtection="1">
      <alignment horizontal="right" vertical="center" wrapText="1"/>
    </xf>
    <xf numFmtId="0" fontId="103" fillId="26" borderId="16" xfId="0" applyFont="1" applyFill="1" applyBorder="1" applyAlignment="1" applyProtection="1">
      <alignment horizontal="right" vertical="center" wrapText="1"/>
    </xf>
    <xf numFmtId="0" fontId="103" fillId="26" borderId="17" xfId="0" applyFont="1" applyFill="1" applyBorder="1" applyAlignment="1" applyProtection="1">
      <alignment horizontal="right" vertical="center" wrapText="1"/>
    </xf>
    <xf numFmtId="0" fontId="103" fillId="26" borderId="20" xfId="0" applyFont="1" applyFill="1" applyBorder="1" applyAlignment="1" applyProtection="1">
      <alignment horizontal="right" vertical="center" wrapText="1"/>
    </xf>
    <xf numFmtId="0" fontId="103" fillId="26" borderId="0" xfId="0" applyFont="1" applyFill="1" applyBorder="1" applyAlignment="1" applyProtection="1">
      <alignment horizontal="right" vertical="center" wrapText="1"/>
    </xf>
    <xf numFmtId="0" fontId="103" fillId="26" borderId="21" xfId="0" applyFont="1" applyFill="1" applyBorder="1" applyAlignment="1" applyProtection="1">
      <alignment horizontal="right" vertical="center" wrapText="1"/>
    </xf>
    <xf numFmtId="0" fontId="103" fillId="26" borderId="23" xfId="0" applyFont="1" applyFill="1" applyBorder="1" applyAlignment="1" applyProtection="1">
      <alignment horizontal="right" vertical="center" wrapText="1"/>
    </xf>
    <xf numFmtId="0" fontId="103" fillId="26" borderId="24" xfId="0" applyFont="1" applyFill="1" applyBorder="1" applyAlignment="1" applyProtection="1">
      <alignment horizontal="right" vertical="center" wrapText="1"/>
    </xf>
    <xf numFmtId="0" fontId="103" fillId="26" borderId="25" xfId="0" applyFont="1" applyFill="1" applyBorder="1" applyAlignment="1" applyProtection="1">
      <alignment horizontal="right" vertical="center" wrapText="1"/>
    </xf>
    <xf numFmtId="0" fontId="7" fillId="24" borderId="0" xfId="39" applyFont="1" applyFill="1" applyAlignment="1" applyProtection="1">
      <protection locked="0" hidden="1"/>
    </xf>
    <xf numFmtId="0" fontId="24" fillId="17" borderId="83" xfId="40" applyFont="1" applyFill="1" applyBorder="1" applyAlignment="1" applyProtection="1">
      <alignment horizontal="left" vertical="top" wrapText="1"/>
      <protection locked="0"/>
    </xf>
    <xf numFmtId="0" fontId="24" fillId="17" borderId="48" xfId="40" applyFont="1" applyFill="1" applyBorder="1" applyAlignment="1" applyProtection="1">
      <alignment horizontal="left" vertical="top" wrapText="1"/>
      <protection locked="0"/>
    </xf>
    <xf numFmtId="0" fontId="25" fillId="17" borderId="18" xfId="40" applyFont="1" applyFill="1" applyBorder="1" applyAlignment="1" applyProtection="1">
      <alignment horizontal="center" vertical="top" wrapText="1"/>
      <protection hidden="1"/>
    </xf>
    <xf numFmtId="0" fontId="0" fillId="17" borderId="18" xfId="0" applyFill="1" applyBorder="1" applyProtection="1">
      <protection hidden="1"/>
    </xf>
    <xf numFmtId="0" fontId="24" fillId="17" borderId="10" xfId="40" applyFont="1" applyFill="1" applyBorder="1" applyAlignment="1" applyProtection="1">
      <alignment vertical="top" wrapText="1"/>
      <protection hidden="1"/>
    </xf>
    <xf numFmtId="0" fontId="0" fillId="17" borderId="10" xfId="0" applyFill="1" applyBorder="1" applyProtection="1">
      <protection hidden="1"/>
    </xf>
    <xf numFmtId="0" fontId="0" fillId="17" borderId="10" xfId="0" applyFill="1" applyBorder="1" applyAlignment="1" applyProtection="1">
      <alignment horizontal="left"/>
      <protection hidden="1"/>
    </xf>
    <xf numFmtId="0" fontId="67" fillId="24" borderId="0" xfId="42" applyFont="1" applyFill="1" applyBorder="1" applyAlignment="1" applyProtection="1">
      <alignment horizontal="center"/>
    </xf>
    <xf numFmtId="0" fontId="36" fillId="24" borderId="15" xfId="42" applyFont="1" applyFill="1" applyBorder="1" applyAlignment="1" applyProtection="1">
      <alignment horizontal="left" vertical="center" wrapText="1"/>
    </xf>
    <xf numFmtId="0" fontId="36" fillId="24" borderId="16" xfId="42" applyFont="1" applyFill="1" applyBorder="1" applyAlignment="1" applyProtection="1">
      <alignment horizontal="left" vertical="center" wrapText="1"/>
    </xf>
    <xf numFmtId="0" fontId="36" fillId="24" borderId="17" xfId="42" applyFont="1" applyFill="1" applyBorder="1" applyAlignment="1" applyProtection="1">
      <alignment horizontal="left" vertical="center" wrapText="1"/>
    </xf>
    <xf numFmtId="0" fontId="36" fillId="24" borderId="23" xfId="42" applyFont="1" applyFill="1" applyBorder="1" applyAlignment="1" applyProtection="1">
      <alignment horizontal="left" vertical="center" wrapText="1"/>
    </xf>
    <xf numFmtId="0" fontId="36" fillId="24" borderId="24" xfId="42" applyFont="1" applyFill="1" applyBorder="1" applyAlignment="1" applyProtection="1">
      <alignment horizontal="left" vertical="center" wrapText="1"/>
    </xf>
    <xf numFmtId="0" fontId="36" fillId="24" borderId="25" xfId="42" applyFont="1" applyFill="1" applyBorder="1" applyAlignment="1" applyProtection="1">
      <alignment horizontal="left" vertical="center" wrapText="1"/>
    </xf>
    <xf numFmtId="0" fontId="68" fillId="26" borderId="49" xfId="42" applyFont="1" applyFill="1" applyBorder="1" applyAlignment="1" applyProtection="1"/>
    <xf numFmtId="0" fontId="0" fillId="26" borderId="75" xfId="0" applyFill="1" applyBorder="1" applyAlignment="1"/>
    <xf numFmtId="0" fontId="0" fillId="26" borderId="76" xfId="0" applyFill="1" applyBorder="1" applyAlignment="1"/>
    <xf numFmtId="0" fontId="36" fillId="24" borderId="20" xfId="42" applyFont="1" applyFill="1" applyBorder="1" applyAlignment="1" applyProtection="1">
      <alignment horizontal="left" vertical="center" wrapText="1"/>
    </xf>
    <xf numFmtId="0" fontId="36" fillId="24" borderId="0" xfId="42" applyFont="1" applyFill="1" applyBorder="1" applyAlignment="1" applyProtection="1">
      <alignment horizontal="left" vertical="center" wrapText="1"/>
    </xf>
    <xf numFmtId="0" fontId="36" fillId="24" borderId="21" xfId="42" applyFont="1" applyFill="1" applyBorder="1" applyAlignment="1" applyProtection="1">
      <alignment horizontal="left" vertical="center" wrapText="1"/>
    </xf>
    <xf numFmtId="0" fontId="51" fillId="24" borderId="20" xfId="42" applyFont="1" applyFill="1" applyBorder="1" applyAlignment="1" applyProtection="1">
      <alignment horizontal="center" vertical="center"/>
    </xf>
    <xf numFmtId="0" fontId="51" fillId="24" borderId="0" xfId="42" applyFont="1" applyFill="1" applyBorder="1" applyAlignment="1" applyProtection="1">
      <alignment horizontal="center" vertical="center"/>
    </xf>
    <xf numFmtId="0" fontId="68" fillId="26" borderId="49" xfId="42" applyFont="1" applyFill="1" applyBorder="1" applyAlignment="1" applyProtection="1">
      <alignment horizontal="center"/>
    </xf>
    <xf numFmtId="0" fontId="68" fillId="26" borderId="76" xfId="42" applyFont="1" applyFill="1" applyBorder="1" applyAlignment="1" applyProtection="1">
      <alignment horizontal="center"/>
    </xf>
    <xf numFmtId="0" fontId="51" fillId="24" borderId="15" xfId="42" applyFont="1" applyFill="1" applyBorder="1" applyAlignment="1" applyProtection="1">
      <alignment horizontal="left" vertical="center" wrapText="1"/>
    </xf>
    <xf numFmtId="0" fontId="51" fillId="24" borderId="16" xfId="42" applyFont="1" applyFill="1" applyBorder="1" applyAlignment="1" applyProtection="1">
      <alignment horizontal="left" vertical="center" wrapText="1"/>
    </xf>
    <xf numFmtId="0" fontId="51" fillId="24" borderId="17" xfId="42" applyFont="1" applyFill="1" applyBorder="1" applyAlignment="1" applyProtection="1">
      <alignment horizontal="left" vertical="center" wrapText="1"/>
    </xf>
    <xf numFmtId="0" fontId="51" fillId="24" borderId="20" xfId="42" applyFont="1" applyFill="1" applyBorder="1" applyAlignment="1" applyProtection="1">
      <alignment horizontal="left" vertical="center" wrapText="1"/>
    </xf>
    <xf numFmtId="0" fontId="51" fillId="24" borderId="0" xfId="42" applyFont="1" applyFill="1" applyBorder="1" applyAlignment="1" applyProtection="1">
      <alignment horizontal="left" vertical="center" wrapText="1"/>
    </xf>
    <xf numFmtId="0" fontId="51" fillId="24" borderId="21" xfId="42" applyFont="1" applyFill="1" applyBorder="1" applyAlignment="1" applyProtection="1">
      <alignment horizontal="left" vertical="center" wrapText="1"/>
    </xf>
    <xf numFmtId="0" fontId="51" fillId="26" borderId="54" xfId="42" applyFont="1" applyFill="1" applyBorder="1" applyAlignment="1" applyProtection="1">
      <alignment horizontal="center" vertical="center" wrapText="1"/>
    </xf>
    <xf numFmtId="0" fontId="51" fillId="26" borderId="79" xfId="42" applyFont="1" applyFill="1" applyBorder="1" applyAlignment="1" applyProtection="1">
      <alignment horizontal="center" vertical="center" wrapText="1"/>
    </xf>
    <xf numFmtId="0" fontId="51" fillId="26" borderId="33" xfId="42" applyFont="1" applyFill="1" applyBorder="1" applyAlignment="1" applyProtection="1">
      <alignment vertical="center" wrapText="1"/>
    </xf>
    <xf numFmtId="0" fontId="51" fillId="26" borderId="115" xfId="42" applyFont="1" applyFill="1" applyBorder="1" applyAlignment="1" applyProtection="1">
      <alignment vertical="center" wrapText="1"/>
    </xf>
    <xf numFmtId="0" fontId="51" fillId="23" borderId="0" xfId="42" applyFont="1" applyFill="1" applyBorder="1" applyAlignment="1" applyProtection="1">
      <alignment vertical="top" wrapText="1"/>
    </xf>
    <xf numFmtId="0" fontId="36" fillId="23" borderId="0" xfId="42" applyFont="1" applyFill="1" applyBorder="1" applyAlignment="1" applyProtection="1">
      <alignment vertical="top" wrapText="1"/>
    </xf>
    <xf numFmtId="0" fontId="51" fillId="23" borderId="0" xfId="42" applyFont="1" applyFill="1" applyBorder="1" applyAlignment="1" applyProtection="1">
      <alignment horizontal="center" vertical="top" wrapText="1"/>
    </xf>
    <xf numFmtId="0" fontId="36" fillId="23" borderId="0" xfId="42" applyFont="1" applyFill="1" applyAlignment="1" applyProtection="1">
      <alignment horizontal="justify" vertical="top" wrapText="1"/>
    </xf>
    <xf numFmtId="0" fontId="36" fillId="23" borderId="0" xfId="42" applyFont="1" applyFill="1" applyAlignment="1">
      <alignment vertical="top" wrapText="1"/>
    </xf>
    <xf numFmtId="0" fontId="98" fillId="24" borderId="0" xfId="0" applyFont="1" applyFill="1" applyProtection="1"/>
    <xf numFmtId="0" fontId="98" fillId="24" borderId="21" xfId="0" applyFont="1" applyFill="1" applyBorder="1" applyProtection="1"/>
    <xf numFmtId="0" fontId="98" fillId="24" borderId="114" xfId="0" applyFont="1" applyFill="1" applyBorder="1" applyProtection="1"/>
    <xf numFmtId="0" fontId="98" fillId="24" borderId="32" xfId="0" applyFont="1" applyFill="1" applyBorder="1" applyProtection="1"/>
    <xf numFmtId="0" fontId="98" fillId="24" borderId="116" xfId="0" applyFont="1" applyFill="1" applyBorder="1" applyProtection="1"/>
    <xf numFmtId="0" fontId="51" fillId="24" borderId="0" xfId="42" applyFont="1" applyFill="1" applyBorder="1" applyAlignment="1" applyProtection="1">
      <alignment horizontal="left"/>
    </xf>
    <xf numFmtId="0" fontId="51" fillId="24" borderId="25" xfId="42" applyFont="1" applyFill="1" applyBorder="1" applyAlignment="1" applyProtection="1">
      <alignment horizontal="left" vertical="center" wrapText="1"/>
    </xf>
    <xf numFmtId="0" fontId="15" fillId="35" borderId="49" xfId="41" applyFont="1" applyFill="1" applyBorder="1" applyAlignment="1" applyProtection="1">
      <alignment horizontal="center" vertical="top"/>
      <protection locked="0" hidden="1"/>
    </xf>
    <xf numFmtId="0" fontId="15" fillId="35" borderId="75" xfId="41" applyFont="1" applyFill="1" applyBorder="1" applyAlignment="1" applyProtection="1">
      <alignment horizontal="center" vertical="top"/>
      <protection locked="0" hidden="1"/>
    </xf>
    <xf numFmtId="0" fontId="15" fillId="35" borderId="76" xfId="41" applyFont="1" applyFill="1" applyBorder="1" applyAlignment="1" applyProtection="1">
      <alignment horizontal="center" vertical="top"/>
      <protection locked="0" hidden="1"/>
    </xf>
    <xf numFmtId="0" fontId="128" fillId="0" borderId="72" xfId="41" applyFont="1" applyFill="1" applyBorder="1" applyAlignment="1" applyProtection="1">
      <alignment horizontal="center" vertical="top" wrapText="1"/>
      <protection locked="0" hidden="1"/>
    </xf>
    <xf numFmtId="0" fontId="128" fillId="0" borderId="47" xfId="41" applyFont="1" applyFill="1" applyBorder="1" applyAlignment="1" applyProtection="1">
      <alignment horizontal="center" vertical="top" wrapText="1"/>
      <protection locked="0" hidden="1"/>
    </xf>
    <xf numFmtId="0" fontId="15" fillId="35" borderId="49" xfId="41" applyFont="1" applyFill="1" applyBorder="1" applyAlignment="1" applyProtection="1">
      <alignment horizontal="center" vertical="center" wrapText="1"/>
      <protection locked="0"/>
    </xf>
    <xf numFmtId="0" fontId="15" fillId="35" borderId="75" xfId="41" applyFont="1" applyFill="1" applyBorder="1" applyAlignment="1" applyProtection="1">
      <alignment horizontal="center" vertical="center" wrapText="1"/>
      <protection locked="0"/>
    </xf>
    <xf numFmtId="0" fontId="15" fillId="35" borderId="76" xfId="41" applyFont="1" applyFill="1" applyBorder="1" applyAlignment="1" applyProtection="1">
      <alignment horizontal="center" vertical="center" wrapText="1"/>
      <protection locked="0"/>
    </xf>
    <xf numFmtId="0" fontId="51" fillId="26" borderId="71" xfId="41" applyFont="1" applyFill="1" applyBorder="1" applyAlignment="1" applyProtection="1">
      <alignment horizontal="center" vertical="center" wrapText="1"/>
      <protection hidden="1"/>
    </xf>
    <xf numFmtId="0" fontId="51" fillId="26" borderId="73" xfId="41" applyFont="1" applyFill="1" applyBorder="1" applyAlignment="1" applyProtection="1">
      <alignment horizontal="center" vertical="center" wrapText="1"/>
      <protection hidden="1"/>
    </xf>
    <xf numFmtId="0" fontId="51" fillId="26" borderId="43" xfId="41" applyFont="1" applyFill="1" applyBorder="1" applyAlignment="1" applyProtection="1">
      <alignment horizontal="center" vertical="center" wrapText="1"/>
      <protection hidden="1"/>
    </xf>
    <xf numFmtId="9" fontId="7" fillId="17" borderId="10" xfId="41" applyNumberFormat="1" applyFill="1" applyBorder="1" applyAlignment="1" applyProtection="1">
      <alignment horizontal="center" vertical="center"/>
      <protection locked="0" hidden="1"/>
    </xf>
    <xf numFmtId="9" fontId="7" fillId="17" borderId="19" xfId="41" applyNumberFormat="1" applyFill="1" applyBorder="1" applyAlignment="1" applyProtection="1">
      <alignment horizontal="center" vertical="center"/>
      <protection locked="0" hidden="1"/>
    </xf>
    <xf numFmtId="0" fontId="9" fillId="0" borderId="44" xfId="41" applyFont="1" applyFill="1" applyBorder="1" applyAlignment="1" applyProtection="1">
      <alignment horizontal="left" vertical="top"/>
      <protection locked="0" hidden="1"/>
    </xf>
    <xf numFmtId="0" fontId="9" fillId="0" borderId="14" xfId="41" applyFont="1" applyFill="1" applyBorder="1" applyAlignment="1" applyProtection="1">
      <alignment horizontal="left" vertical="top"/>
      <protection locked="0" hidden="1"/>
    </xf>
    <xf numFmtId="0" fontId="9" fillId="0" borderId="10" xfId="41" applyFont="1" applyFill="1" applyBorder="1" applyAlignment="1" applyProtection="1">
      <alignment horizontal="left" vertical="top"/>
      <protection locked="0" hidden="1"/>
    </xf>
    <xf numFmtId="0" fontId="9" fillId="0" borderId="19" xfId="41" applyFont="1" applyFill="1" applyBorder="1" applyAlignment="1" applyProtection="1">
      <alignment horizontal="left" vertical="top"/>
      <protection locked="0" hidden="1"/>
    </xf>
    <xf numFmtId="0" fontId="86" fillId="26" borderId="10" xfId="41" applyFont="1" applyFill="1" applyBorder="1" applyAlignment="1" applyProtection="1">
      <alignment horizontal="left" vertical="center"/>
      <protection hidden="1"/>
    </xf>
    <xf numFmtId="0" fontId="7" fillId="26" borderId="10" xfId="41" applyFill="1" applyBorder="1" applyAlignment="1" applyProtection="1">
      <alignment vertical="center"/>
      <protection hidden="1"/>
    </xf>
    <xf numFmtId="0" fontId="51" fillId="26" borderId="10" xfId="41" applyFont="1" applyFill="1" applyBorder="1" applyAlignment="1" applyProtection="1">
      <alignment horizontal="right" vertical="center" wrapText="1"/>
      <protection hidden="1"/>
    </xf>
    <xf numFmtId="0" fontId="7" fillId="26" borderId="10" xfId="41" applyFill="1" applyBorder="1" applyAlignment="1" applyProtection="1">
      <alignment horizontal="right"/>
      <protection hidden="1"/>
    </xf>
    <xf numFmtId="0" fontId="51" fillId="26" borderId="10" xfId="41" applyFont="1" applyFill="1" applyBorder="1" applyAlignment="1" applyProtection="1">
      <alignment horizontal="left" vertical="center" wrapText="1"/>
      <protection hidden="1"/>
    </xf>
    <xf numFmtId="2" fontId="7" fillId="24" borderId="10" xfId="41" applyNumberFormat="1" applyFont="1" applyFill="1" applyBorder="1" applyAlignment="1" applyProtection="1">
      <alignment horizontal="center" vertical="center" wrapText="1"/>
      <protection hidden="1"/>
    </xf>
    <xf numFmtId="2" fontId="31" fillId="24" borderId="10" xfId="41" applyNumberFormat="1" applyFont="1" applyFill="1" applyBorder="1" applyAlignment="1" applyProtection="1">
      <alignment horizontal="center" vertical="center" wrapText="1"/>
      <protection hidden="1"/>
    </xf>
    <xf numFmtId="0" fontId="7" fillId="17" borderId="10" xfId="41" applyFont="1" applyFill="1" applyBorder="1" applyAlignment="1" applyProtection="1">
      <alignment horizontal="center" vertical="center" wrapText="1"/>
      <protection locked="0" hidden="1"/>
    </xf>
    <xf numFmtId="0" fontId="7" fillId="17" borderId="10" xfId="41" applyFill="1" applyBorder="1" applyAlignment="1" applyProtection="1">
      <alignment horizontal="center" vertical="center"/>
      <protection locked="0" hidden="1"/>
    </xf>
    <xf numFmtId="0" fontId="104" fillId="17" borderId="72" xfId="41" applyFont="1" applyFill="1" applyBorder="1" applyAlignment="1" applyProtection="1">
      <alignment vertical="center" wrapText="1"/>
      <protection locked="0" hidden="1"/>
    </xf>
    <xf numFmtId="0" fontId="7" fillId="17" borderId="71" xfId="41" applyFont="1" applyFill="1" applyBorder="1" applyAlignment="1" applyProtection="1">
      <alignment vertical="center" wrapText="1"/>
      <protection locked="0" hidden="1"/>
    </xf>
    <xf numFmtId="0" fontId="6" fillId="17" borderId="71" xfId="0" applyFont="1" applyFill="1" applyBorder="1" applyAlignment="1" applyProtection="1">
      <alignment vertical="center" wrapText="1"/>
      <protection locked="0"/>
    </xf>
    <xf numFmtId="0" fontId="51" fillId="26" borderId="44" xfId="41" applyFont="1" applyFill="1" applyBorder="1" applyAlignment="1" applyProtection="1">
      <alignment horizontal="center" vertical="center" wrapText="1"/>
      <protection hidden="1"/>
    </xf>
    <xf numFmtId="9" fontId="51" fillId="26" borderId="44" xfId="48" applyFont="1" applyFill="1" applyBorder="1" applyAlignment="1" applyProtection="1">
      <alignment horizontal="center" vertical="center" wrapText="1"/>
      <protection hidden="1"/>
    </xf>
    <xf numFmtId="9" fontId="51" fillId="26" borderId="14" xfId="48" applyFont="1" applyFill="1" applyBorder="1" applyAlignment="1" applyProtection="1">
      <alignment horizontal="center" vertical="center" wrapText="1"/>
      <protection hidden="1"/>
    </xf>
    <xf numFmtId="9" fontId="7" fillId="24" borderId="71" xfId="41" applyNumberFormat="1" applyFill="1" applyBorder="1" applyAlignment="1" applyProtection="1">
      <alignment horizontal="center" vertical="center"/>
      <protection hidden="1"/>
    </xf>
    <xf numFmtId="9" fontId="7" fillId="24" borderId="83" xfId="41" applyNumberFormat="1" applyFill="1" applyBorder="1" applyAlignment="1" applyProtection="1">
      <alignment horizontal="center" vertical="center"/>
      <protection hidden="1"/>
    </xf>
    <xf numFmtId="0" fontId="9" fillId="0" borderId="46" xfId="41" applyFont="1" applyFill="1" applyBorder="1" applyAlignment="1" applyProtection="1">
      <alignment horizontal="left" vertical="top"/>
      <protection locked="0" hidden="1"/>
    </xf>
    <xf numFmtId="0" fontId="9" fillId="0" borderId="22" xfId="41" applyFont="1" applyFill="1" applyBorder="1" applyAlignment="1" applyProtection="1">
      <alignment horizontal="left" vertical="top"/>
      <protection locked="0" hidden="1"/>
    </xf>
    <xf numFmtId="0" fontId="51" fillId="26" borderId="15" xfId="41" applyFont="1" applyFill="1" applyBorder="1" applyAlignment="1" applyProtection="1">
      <alignment horizontal="left" vertical="center" wrapText="1"/>
      <protection hidden="1"/>
    </xf>
    <xf numFmtId="0" fontId="51" fillId="26" borderId="16" xfId="41" applyFont="1" applyFill="1" applyBorder="1" applyAlignment="1" applyProtection="1">
      <alignment horizontal="left" vertical="center" wrapText="1"/>
      <protection hidden="1"/>
    </xf>
    <xf numFmtId="0" fontId="51" fillId="26" borderId="17" xfId="41" applyFont="1" applyFill="1" applyBorder="1" applyAlignment="1" applyProtection="1">
      <alignment horizontal="left" vertical="center" wrapText="1"/>
      <protection hidden="1"/>
    </xf>
    <xf numFmtId="9" fontId="7" fillId="24" borderId="37" xfId="41" applyNumberFormat="1" applyFill="1" applyBorder="1" applyAlignment="1" applyProtection="1">
      <alignment horizontal="center" vertical="center"/>
      <protection hidden="1"/>
    </xf>
    <xf numFmtId="2" fontId="48" fillId="24" borderId="50" xfId="41" applyNumberFormat="1" applyFont="1" applyFill="1" applyBorder="1" applyAlignment="1" applyProtection="1">
      <alignment horizontal="center" vertical="center" wrapText="1"/>
      <protection hidden="1"/>
    </xf>
    <xf numFmtId="2" fontId="48" fillId="24" borderId="52" xfId="41" applyNumberFormat="1" applyFont="1" applyFill="1" applyBorder="1" applyAlignment="1" applyProtection="1">
      <alignment horizontal="center" vertical="center" wrapText="1"/>
      <protection hidden="1"/>
    </xf>
    <xf numFmtId="0" fontId="7" fillId="17" borderId="71" xfId="41" applyFont="1" applyFill="1" applyBorder="1" applyAlignment="1" applyProtection="1">
      <alignment horizontal="center" vertical="center" wrapText="1"/>
      <protection locked="0" hidden="1"/>
    </xf>
    <xf numFmtId="0" fontId="7" fillId="17" borderId="71" xfId="41" applyFill="1" applyBorder="1" applyAlignment="1" applyProtection="1">
      <alignment horizontal="center" vertical="center"/>
      <protection locked="0" hidden="1"/>
    </xf>
    <xf numFmtId="0" fontId="51" fillId="26" borderId="50" xfId="41" applyFont="1" applyFill="1" applyBorder="1" applyAlignment="1" applyProtection="1">
      <alignment horizontal="right" vertical="center" wrapText="1"/>
      <protection hidden="1"/>
    </xf>
    <xf numFmtId="0" fontId="51" fillId="26" borderId="51" xfId="41" applyFont="1" applyFill="1" applyBorder="1" applyAlignment="1" applyProtection="1">
      <alignment horizontal="right" vertical="center" wrapText="1"/>
      <protection hidden="1"/>
    </xf>
    <xf numFmtId="0" fontId="51" fillId="26" borderId="52" xfId="41" applyFont="1" applyFill="1" applyBorder="1" applyAlignment="1" applyProtection="1">
      <alignment horizontal="right" vertical="center" wrapText="1"/>
      <protection hidden="1"/>
    </xf>
    <xf numFmtId="0" fontId="128" fillId="0" borderId="83" xfId="41" applyFont="1" applyFill="1" applyBorder="1" applyAlignment="1" applyProtection="1">
      <alignment horizontal="center" vertical="top"/>
      <protection hidden="1"/>
    </xf>
    <xf numFmtId="0" fontId="128" fillId="0" borderId="48" xfId="41" applyFont="1" applyFill="1" applyBorder="1" applyAlignment="1" applyProtection="1">
      <alignment horizontal="center" vertical="top"/>
      <protection hidden="1"/>
    </xf>
    <xf numFmtId="0" fontId="128" fillId="0" borderId="71" xfId="41" applyFont="1" applyFill="1" applyBorder="1" applyAlignment="1" applyProtection="1">
      <alignment horizontal="center" vertical="top" wrapText="1"/>
      <protection locked="0" hidden="1"/>
    </xf>
    <xf numFmtId="0" fontId="128" fillId="0" borderId="43" xfId="41" applyFont="1" applyFill="1" applyBorder="1" applyAlignment="1" applyProtection="1">
      <alignment horizontal="center" vertical="top" wrapText="1"/>
      <protection locked="0" hidden="1"/>
    </xf>
    <xf numFmtId="0" fontId="128" fillId="0" borderId="71" xfId="41" applyFont="1" applyFill="1" applyBorder="1" applyAlignment="1" applyProtection="1">
      <alignment horizontal="center" vertical="top"/>
      <protection locked="0" hidden="1"/>
    </xf>
    <xf numFmtId="0" fontId="128" fillId="0" borderId="43" xfId="41" applyFont="1" applyFill="1" applyBorder="1" applyAlignment="1" applyProtection="1">
      <alignment horizontal="center" vertical="top"/>
      <protection locked="0" hidden="1"/>
    </xf>
    <xf numFmtId="0" fontId="128" fillId="0" borderId="71" xfId="41" applyFont="1" applyFill="1" applyBorder="1" applyAlignment="1" applyProtection="1">
      <alignment horizontal="center" vertical="top"/>
      <protection hidden="1"/>
    </xf>
    <xf numFmtId="0" fontId="128" fillId="0" borderId="43" xfId="41" applyFont="1" applyFill="1" applyBorder="1" applyAlignment="1" applyProtection="1">
      <alignment horizontal="center" vertical="top"/>
      <protection hidden="1"/>
    </xf>
    <xf numFmtId="0" fontId="104" fillId="17" borderId="56" xfId="41" applyFont="1" applyFill="1" applyBorder="1" applyAlignment="1" applyProtection="1">
      <alignment horizontal="left" vertical="center" wrapText="1"/>
      <protection locked="0" hidden="1"/>
    </xf>
    <xf numFmtId="0" fontId="104" fillId="17" borderId="62" xfId="41" applyFont="1" applyFill="1" applyBorder="1" applyAlignment="1" applyProtection="1">
      <alignment horizontal="left" vertical="center" wrapText="1"/>
      <protection locked="0" hidden="1"/>
    </xf>
    <xf numFmtId="0" fontId="104" fillId="17" borderId="64" xfId="41" applyFont="1" applyFill="1" applyBorder="1" applyAlignment="1" applyProtection="1">
      <alignment horizontal="left" vertical="center" wrapText="1"/>
      <protection locked="0" hidden="1"/>
    </xf>
    <xf numFmtId="0" fontId="135" fillId="23" borderId="0" xfId="48" applyNumberFormat="1" applyFont="1" applyFill="1" applyBorder="1" applyAlignment="1" applyProtection="1">
      <alignment horizontal="left" vertical="center" wrapText="1"/>
      <protection hidden="1"/>
    </xf>
    <xf numFmtId="0" fontId="134" fillId="23" borderId="0" xfId="48" applyNumberFormat="1" applyFont="1" applyFill="1" applyBorder="1" applyAlignment="1" applyProtection="1">
      <alignment horizontal="left" vertical="center" wrapText="1"/>
      <protection hidden="1"/>
    </xf>
    <xf numFmtId="0" fontId="51" fillId="26" borderId="54" xfId="41" applyFont="1" applyFill="1" applyBorder="1" applyAlignment="1" applyProtection="1">
      <alignment vertical="center" wrapText="1"/>
      <protection hidden="1"/>
    </xf>
    <xf numFmtId="0" fontId="0" fillId="26" borderId="123" xfId="0" applyFill="1" applyBorder="1" applyAlignment="1">
      <alignment wrapText="1"/>
    </xf>
    <xf numFmtId="0" fontId="0" fillId="26" borderId="125" xfId="0" applyFill="1" applyBorder="1" applyAlignment="1">
      <alignment wrapText="1"/>
    </xf>
    <xf numFmtId="0" fontId="16" fillId="26" borderId="44" xfId="41" applyFont="1" applyFill="1" applyBorder="1" applyProtection="1">
      <protection hidden="1"/>
    </xf>
    <xf numFmtId="0" fontId="7" fillId="17" borderId="61" xfId="41" applyFont="1" applyFill="1" applyBorder="1" applyAlignment="1" applyProtection="1">
      <alignment horizontal="center" vertical="center" wrapText="1"/>
      <protection locked="0" hidden="1"/>
    </xf>
    <xf numFmtId="0" fontId="0" fillId="0" borderId="64" xfId="0" applyBorder="1" applyAlignment="1" applyProtection="1">
      <alignment horizontal="center" vertical="center"/>
      <protection locked="0" hidden="1"/>
    </xf>
    <xf numFmtId="0" fontId="51" fillId="26" borderId="72" xfId="41" applyFont="1" applyFill="1" applyBorder="1" applyAlignment="1" applyProtection="1">
      <alignment horizontal="left" vertical="center" wrapText="1"/>
      <protection hidden="1"/>
    </xf>
    <xf numFmtId="0" fontId="51" fillId="26" borderId="71" xfId="41" applyFont="1" applyFill="1" applyBorder="1" applyAlignment="1" applyProtection="1">
      <alignment horizontal="left" vertical="center" wrapText="1"/>
      <protection hidden="1"/>
    </xf>
    <xf numFmtId="0" fontId="128" fillId="0" borderId="0" xfId="41" applyFont="1" applyFill="1" applyBorder="1" applyAlignment="1" applyProtection="1">
      <alignment horizontal="center" vertical="top"/>
      <protection hidden="1"/>
    </xf>
    <xf numFmtId="0" fontId="15" fillId="0" borderId="0" xfId="41" applyFont="1" applyFill="1" applyBorder="1" applyAlignment="1" applyProtection="1">
      <alignment horizontal="left" vertical="top" wrapText="1"/>
      <protection locked="0"/>
    </xf>
    <xf numFmtId="0" fontId="128" fillId="0" borderId="0" xfId="41" applyFont="1" applyFill="1" applyBorder="1" applyAlignment="1" applyProtection="1">
      <alignment horizontal="center" vertical="top" wrapText="1"/>
      <protection locked="0" hidden="1"/>
    </xf>
    <xf numFmtId="0" fontId="128" fillId="0" borderId="0" xfId="41" applyFont="1" applyFill="1" applyBorder="1" applyAlignment="1" applyProtection="1">
      <alignment horizontal="center" vertical="top"/>
      <protection locked="0" hidden="1"/>
    </xf>
    <xf numFmtId="0" fontId="7" fillId="24" borderId="10" xfId="41" applyFont="1" applyFill="1" applyBorder="1" applyAlignment="1" applyProtection="1">
      <alignment horizontal="center" vertical="center" wrapText="1"/>
      <protection hidden="1"/>
    </xf>
    <xf numFmtId="2" fontId="34" fillId="24" borderId="61" xfId="41" applyNumberFormat="1" applyFont="1" applyFill="1" applyBorder="1" applyAlignment="1" applyProtection="1">
      <alignment horizontal="center" vertical="center" wrapText="1"/>
      <protection hidden="1"/>
    </xf>
    <xf numFmtId="2" fontId="34" fillId="24" borderId="64" xfId="41" applyNumberFormat="1" applyFont="1" applyFill="1" applyBorder="1" applyAlignment="1" applyProtection="1">
      <alignment horizontal="center" vertical="center" wrapText="1"/>
      <protection hidden="1"/>
    </xf>
    <xf numFmtId="0" fontId="68" fillId="23" borderId="24" xfId="41" applyFont="1" applyFill="1" applyBorder="1" applyAlignment="1" applyProtection="1">
      <alignment horizontal="left" vertical="center" wrapText="1"/>
      <protection hidden="1"/>
    </xf>
    <xf numFmtId="0" fontId="16" fillId="26" borderId="56" xfId="41" applyFont="1" applyFill="1" applyBorder="1" applyAlignment="1" applyProtection="1">
      <alignment horizontal="center" vertical="center"/>
      <protection hidden="1"/>
    </xf>
    <xf numFmtId="0" fontId="16" fillId="26" borderId="62" xfId="41" applyFont="1" applyFill="1" applyBorder="1" applyAlignment="1" applyProtection="1">
      <alignment horizontal="center" vertical="center"/>
      <protection hidden="1"/>
    </xf>
    <xf numFmtId="0" fontId="16" fillId="26" borderId="80" xfId="41" applyFont="1" applyFill="1" applyBorder="1" applyAlignment="1" applyProtection="1">
      <alignment horizontal="center" vertical="center"/>
      <protection hidden="1"/>
    </xf>
    <xf numFmtId="2" fontId="7" fillId="24" borderId="61" xfId="41" applyNumberFormat="1" applyFont="1" applyFill="1" applyBorder="1" applyAlignment="1" applyProtection="1">
      <alignment horizontal="center" vertical="center" wrapText="1"/>
      <protection hidden="1"/>
    </xf>
    <xf numFmtId="2" fontId="7" fillId="24" borderId="64" xfId="41" applyNumberFormat="1" applyFont="1" applyFill="1" applyBorder="1" applyAlignment="1" applyProtection="1">
      <alignment horizontal="center" vertical="center" wrapText="1"/>
      <protection hidden="1"/>
    </xf>
    <xf numFmtId="0" fontId="51" fillId="26" borderId="61" xfId="41" applyFont="1" applyFill="1" applyBorder="1" applyAlignment="1" applyProtection="1">
      <alignment horizontal="left" vertical="center" wrapText="1"/>
      <protection hidden="1"/>
    </xf>
    <xf numFmtId="0" fontId="51" fillId="26" borderId="62" xfId="41" applyFont="1" applyFill="1" applyBorder="1" applyAlignment="1" applyProtection="1">
      <alignment horizontal="left" vertical="center" wrapText="1"/>
      <protection hidden="1"/>
    </xf>
    <xf numFmtId="0" fontId="51" fillId="26" borderId="64" xfId="41" applyFont="1" applyFill="1" applyBorder="1" applyAlignment="1" applyProtection="1">
      <alignment horizontal="left" vertical="center" wrapText="1"/>
      <protection hidden="1"/>
    </xf>
    <xf numFmtId="0" fontId="16" fillId="26" borderId="57" xfId="41" applyFont="1" applyFill="1" applyBorder="1" applyAlignment="1" applyProtection="1">
      <alignment horizontal="center" vertical="center"/>
      <protection hidden="1"/>
    </xf>
    <xf numFmtId="0" fontId="16" fillId="26" borderId="124" xfId="41" applyFont="1" applyFill="1" applyBorder="1" applyAlignment="1" applyProtection="1">
      <alignment horizontal="center" vertical="center"/>
      <protection hidden="1"/>
    </xf>
    <xf numFmtId="0" fontId="16" fillId="26" borderId="81" xfId="41" applyFont="1" applyFill="1" applyBorder="1" applyAlignment="1" applyProtection="1">
      <alignment horizontal="center" vertical="center"/>
      <protection hidden="1"/>
    </xf>
    <xf numFmtId="0" fontId="7" fillId="26" borderId="10" xfId="41" applyFont="1" applyFill="1" applyBorder="1" applyAlignment="1" applyProtection="1">
      <alignment horizontal="center" vertical="top" wrapText="1"/>
      <protection hidden="1"/>
    </xf>
    <xf numFmtId="0" fontId="104" fillId="17" borderId="10" xfId="41" applyFont="1" applyFill="1" applyBorder="1" applyAlignment="1" applyProtection="1">
      <alignment vertical="top" wrapText="1"/>
      <protection locked="0" hidden="1"/>
    </xf>
    <xf numFmtId="0" fontId="104" fillId="17" borderId="10" xfId="41" applyFont="1" applyFill="1" applyBorder="1" applyAlignment="1" applyProtection="1">
      <protection locked="0" hidden="1"/>
    </xf>
    <xf numFmtId="0" fontId="7" fillId="26" borderId="10" xfId="41" applyFill="1" applyBorder="1" applyAlignment="1" applyProtection="1">
      <alignment horizontal="left" vertical="center"/>
      <protection hidden="1"/>
    </xf>
    <xf numFmtId="0" fontId="7" fillId="26" borderId="10" xfId="41" applyFill="1" applyBorder="1" applyAlignment="1" applyProtection="1">
      <alignment horizontal="left"/>
      <protection hidden="1"/>
    </xf>
    <xf numFmtId="0" fontId="51" fillId="46" borderId="71" xfId="41" applyFont="1" applyFill="1" applyBorder="1" applyAlignment="1" applyProtection="1">
      <alignment horizontal="left" vertical="center" wrapText="1"/>
      <protection hidden="1"/>
    </xf>
    <xf numFmtId="0" fontId="16" fillId="46" borderId="71" xfId="41" applyFont="1" applyFill="1" applyBorder="1" applyAlignment="1" applyProtection="1">
      <protection hidden="1"/>
    </xf>
    <xf numFmtId="0" fontId="206" fillId="46" borderId="61" xfId="41" applyFont="1" applyFill="1" applyBorder="1" applyAlignment="1" applyProtection="1">
      <alignment horizontal="right" vertical="center" wrapText="1"/>
      <protection hidden="1"/>
    </xf>
    <xf numFmtId="0" fontId="206" fillId="46" borderId="62" xfId="41" applyFont="1" applyFill="1" applyBorder="1" applyAlignment="1" applyProtection="1">
      <alignment horizontal="right" vertical="center" wrapText="1"/>
      <protection hidden="1"/>
    </xf>
    <xf numFmtId="0" fontId="206" fillId="46" borderId="64" xfId="41" applyFont="1" applyFill="1" applyBorder="1" applyAlignment="1" applyProtection="1">
      <alignment horizontal="right" vertical="center" wrapText="1"/>
      <protection hidden="1"/>
    </xf>
    <xf numFmtId="0" fontId="38" fillId="46" borderId="61" xfId="41" applyFont="1" applyFill="1" applyBorder="1" applyAlignment="1" applyProtection="1">
      <alignment horizontal="left" vertical="top" wrapText="1"/>
      <protection locked="0" hidden="1"/>
    </xf>
    <xf numFmtId="0" fontId="38" fillId="46" borderId="62" xfId="41" applyFont="1" applyFill="1" applyBorder="1" applyAlignment="1" applyProtection="1">
      <alignment horizontal="left" vertical="top" wrapText="1"/>
      <protection locked="0" hidden="1"/>
    </xf>
    <xf numFmtId="0" fontId="38" fillId="46" borderId="64" xfId="41" applyFont="1" applyFill="1" applyBorder="1" applyAlignment="1" applyProtection="1">
      <alignment horizontal="left" vertical="top" wrapText="1"/>
      <protection locked="0" hidden="1"/>
    </xf>
    <xf numFmtId="0" fontId="7" fillId="46" borderId="61" xfId="41" applyFont="1" applyFill="1" applyBorder="1" applyAlignment="1" applyProtection="1">
      <alignment horizontal="center" vertical="center" wrapText="1"/>
      <protection locked="0" hidden="1"/>
    </xf>
    <xf numFmtId="0" fontId="7" fillId="46" borderId="64" xfId="41" applyFont="1" applyFill="1" applyBorder="1" applyAlignment="1" applyProtection="1">
      <alignment horizontal="center" vertical="center" wrapText="1"/>
      <protection locked="0" hidden="1"/>
    </xf>
    <xf numFmtId="0" fontId="38" fillId="46" borderId="10" xfId="41" applyFont="1" applyFill="1" applyBorder="1" applyAlignment="1" applyProtection="1">
      <alignment vertical="top" wrapText="1"/>
      <protection locked="0" hidden="1"/>
    </xf>
    <xf numFmtId="0" fontId="38" fillId="46" borderId="10" xfId="41" applyFont="1" applyFill="1" applyBorder="1" applyAlignment="1" applyProtection="1">
      <protection locked="0" hidden="1"/>
    </xf>
    <xf numFmtId="0" fontId="7" fillId="26" borderId="10" xfId="41" applyFill="1" applyBorder="1" applyAlignment="1" applyProtection="1">
      <protection hidden="1"/>
    </xf>
    <xf numFmtId="0" fontId="51" fillId="46" borderId="10" xfId="41" applyFont="1" applyFill="1" applyBorder="1" applyAlignment="1" applyProtection="1">
      <alignment horizontal="right" vertical="center" wrapText="1"/>
      <protection hidden="1"/>
    </xf>
    <xf numFmtId="9" fontId="51" fillId="26" borderId="10" xfId="48" applyFont="1" applyFill="1" applyBorder="1" applyAlignment="1" applyProtection="1">
      <alignment horizontal="center" vertical="center" wrapText="1"/>
      <protection hidden="1"/>
    </xf>
    <xf numFmtId="0" fontId="7" fillId="26" borderId="10" xfId="41" applyFill="1" applyBorder="1" applyProtection="1">
      <protection hidden="1"/>
    </xf>
    <xf numFmtId="0" fontId="7" fillId="44" borderId="10" xfId="41" applyFont="1" applyFill="1" applyBorder="1" applyAlignment="1" applyProtection="1">
      <alignment horizontal="center" vertical="center" wrapText="1"/>
      <protection locked="0" hidden="1"/>
    </xf>
    <xf numFmtId="0" fontId="7" fillId="44" borderId="10" xfId="41" applyFont="1" applyFill="1" applyBorder="1" applyAlignment="1" applyProtection="1">
      <alignment horizontal="center" vertical="center"/>
      <protection locked="0" hidden="1"/>
    </xf>
    <xf numFmtId="0" fontId="51" fillId="46" borderId="36" xfId="41" applyFont="1" applyFill="1" applyBorder="1" applyAlignment="1" applyProtection="1">
      <alignment horizontal="left" vertical="center" wrapText="1"/>
      <protection hidden="1"/>
    </xf>
    <xf numFmtId="0" fontId="16" fillId="46" borderId="60" xfId="41" applyFont="1" applyFill="1" applyBorder="1" applyAlignment="1" applyProtection="1">
      <protection hidden="1"/>
    </xf>
    <xf numFmtId="0" fontId="16" fillId="46" borderId="37" xfId="41" applyFont="1" applyFill="1" applyBorder="1" applyAlignment="1" applyProtection="1">
      <protection hidden="1"/>
    </xf>
    <xf numFmtId="0" fontId="104" fillId="17" borderId="56" xfId="41" applyFont="1" applyFill="1" applyBorder="1" applyAlignment="1" applyProtection="1">
      <alignment vertical="center" wrapText="1"/>
      <protection locked="0" hidden="1"/>
    </xf>
    <xf numFmtId="0" fontId="0" fillId="0" borderId="64" xfId="0" applyBorder="1" applyAlignment="1" applyProtection="1">
      <alignment vertical="center" wrapText="1"/>
      <protection locked="0" hidden="1"/>
    </xf>
    <xf numFmtId="2" fontId="48" fillId="24" borderId="51" xfId="41" applyNumberFormat="1" applyFont="1" applyFill="1" applyBorder="1" applyAlignment="1" applyProtection="1">
      <alignment horizontal="center" vertical="center"/>
      <protection hidden="1"/>
    </xf>
    <xf numFmtId="2" fontId="48" fillId="24" borderId="52" xfId="41" applyNumberFormat="1" applyFont="1" applyFill="1" applyBorder="1" applyAlignment="1" applyProtection="1">
      <alignment horizontal="center" vertical="center"/>
      <protection hidden="1"/>
    </xf>
    <xf numFmtId="2" fontId="16" fillId="24" borderId="10" xfId="41" applyNumberFormat="1" applyFont="1" applyFill="1" applyBorder="1" applyAlignment="1" applyProtection="1">
      <alignment horizontal="center" vertical="center" wrapText="1"/>
      <protection hidden="1"/>
    </xf>
    <xf numFmtId="0" fontId="175" fillId="26" borderId="84" xfId="41" applyFont="1" applyFill="1" applyBorder="1" applyAlignment="1" applyProtection="1">
      <alignment horizontal="left" vertical="center" wrapText="1"/>
      <protection hidden="1"/>
    </xf>
    <xf numFmtId="0" fontId="175" fillId="26" borderId="85" xfId="41" applyFont="1" applyFill="1" applyBorder="1" applyAlignment="1" applyProtection="1">
      <alignment horizontal="left" vertical="center" wrapText="1"/>
      <protection hidden="1"/>
    </xf>
    <xf numFmtId="0" fontId="175" fillId="26" borderId="86" xfId="41" applyFont="1" applyFill="1" applyBorder="1" applyAlignment="1" applyProtection="1">
      <alignment horizontal="left" vertical="center" wrapText="1"/>
      <protection hidden="1"/>
    </xf>
    <xf numFmtId="2" fontId="95" fillId="24" borderId="51" xfId="41" applyNumberFormat="1" applyFont="1" applyFill="1" applyBorder="1" applyAlignment="1" applyProtection="1">
      <alignment horizontal="center" vertical="center" wrapText="1"/>
      <protection hidden="1"/>
    </xf>
    <xf numFmtId="0" fontId="51" fillId="26" borderId="10" xfId="41" applyFont="1" applyFill="1" applyBorder="1" applyAlignment="1" applyProtection="1">
      <alignment horizontal="center" vertical="center"/>
      <protection hidden="1"/>
    </xf>
    <xf numFmtId="0" fontId="68" fillId="23" borderId="0" xfId="41" applyFont="1" applyFill="1" applyBorder="1" applyAlignment="1" applyProtection="1">
      <alignment horizontal="left" vertical="center" wrapText="1"/>
      <protection hidden="1"/>
    </xf>
    <xf numFmtId="1" fontId="7" fillId="17" borderId="10" xfId="41" applyNumberFormat="1" applyFont="1" applyFill="1" applyBorder="1" applyAlignment="1" applyProtection="1">
      <alignment horizontal="center" vertical="center" wrapText="1"/>
      <protection locked="0" hidden="1"/>
    </xf>
    <xf numFmtId="0" fontId="51" fillId="26" borderId="56" xfId="41" applyFont="1" applyFill="1" applyBorder="1" applyAlignment="1" applyProtection="1">
      <alignment horizontal="right" vertical="center" wrapText="1"/>
      <protection hidden="1"/>
    </xf>
    <xf numFmtId="0" fontId="51" fillId="26" borderId="62" xfId="41" applyFont="1" applyFill="1" applyBorder="1" applyAlignment="1" applyProtection="1">
      <alignment horizontal="right" vertical="center" wrapText="1"/>
      <protection hidden="1"/>
    </xf>
    <xf numFmtId="0" fontId="51" fillId="26" borderId="64" xfId="41" applyFont="1" applyFill="1" applyBorder="1" applyAlignment="1" applyProtection="1">
      <alignment horizontal="right" vertical="center" wrapText="1"/>
      <protection hidden="1"/>
    </xf>
    <xf numFmtId="0" fontId="51" fillId="26" borderId="57" xfId="41" applyFont="1" applyFill="1" applyBorder="1" applyAlignment="1" applyProtection="1">
      <alignment horizontal="right" vertical="center" wrapText="1"/>
      <protection hidden="1"/>
    </xf>
    <xf numFmtId="0" fontId="51" fillId="26" borderId="124" xfId="41" applyFont="1" applyFill="1" applyBorder="1" applyAlignment="1" applyProtection="1">
      <alignment horizontal="right" vertical="center" wrapText="1"/>
      <protection hidden="1"/>
    </xf>
    <xf numFmtId="0" fontId="51" fillId="26" borderId="74" xfId="41" applyFont="1" applyFill="1" applyBorder="1" applyAlignment="1" applyProtection="1">
      <alignment horizontal="right" vertical="center" wrapText="1"/>
      <protection hidden="1"/>
    </xf>
    <xf numFmtId="2" fontId="16" fillId="24" borderId="46" xfId="41" applyNumberFormat="1" applyFont="1" applyFill="1" applyBorder="1" applyAlignment="1" applyProtection="1">
      <alignment horizontal="center" vertical="center" wrapText="1"/>
      <protection hidden="1"/>
    </xf>
    <xf numFmtId="0" fontId="36" fillId="23" borderId="0" xfId="41" applyFont="1" applyFill="1" applyBorder="1" applyAlignment="1" applyProtection="1">
      <alignment horizontal="center" vertical="center" textRotation="90" wrapText="1"/>
      <protection hidden="1"/>
    </xf>
    <xf numFmtId="0" fontId="7" fillId="17" borderId="10" xfId="41" applyFont="1" applyFill="1" applyBorder="1" applyAlignment="1" applyProtection="1">
      <alignment horizontal="center" vertical="top" wrapText="1"/>
      <protection locked="0" hidden="1"/>
    </xf>
    <xf numFmtId="0" fontId="7" fillId="17" borderId="10" xfId="41" applyFill="1" applyBorder="1" applyProtection="1">
      <protection locked="0" hidden="1"/>
    </xf>
    <xf numFmtId="0" fontId="51" fillId="26" borderId="114" xfId="41" applyFont="1" applyFill="1" applyBorder="1" applyAlignment="1" applyProtection="1">
      <alignment vertical="center" wrapText="1"/>
      <protection hidden="1"/>
    </xf>
    <xf numFmtId="0" fontId="7" fillId="26" borderId="32" xfId="41" applyFill="1" applyBorder="1" applyAlignment="1" applyProtection="1">
      <alignment vertical="center"/>
      <protection hidden="1"/>
    </xf>
    <xf numFmtId="0" fontId="0" fillId="26" borderId="41" xfId="0" applyFill="1" applyBorder="1" applyAlignment="1"/>
    <xf numFmtId="0" fontId="51" fillId="26" borderId="13" xfId="41" applyFont="1" applyFill="1" applyBorder="1" applyAlignment="1" applyProtection="1">
      <alignment horizontal="center" vertical="center" wrapText="1"/>
      <protection hidden="1"/>
    </xf>
    <xf numFmtId="0" fontId="51" fillId="26" borderId="14" xfId="41" applyFont="1" applyFill="1" applyBorder="1" applyAlignment="1" applyProtection="1">
      <alignment horizontal="center" vertical="center" wrapText="1"/>
      <protection hidden="1"/>
    </xf>
    <xf numFmtId="0" fontId="7" fillId="17" borderId="71" xfId="41" applyFont="1" applyFill="1" applyBorder="1" applyAlignment="1" applyProtection="1">
      <alignment horizontal="center" vertical="top" wrapText="1"/>
      <protection locked="0" hidden="1"/>
    </xf>
    <xf numFmtId="0" fontId="7" fillId="17" borderId="71" xfId="41" applyFill="1" applyBorder="1" applyProtection="1">
      <protection locked="0" hidden="1"/>
    </xf>
    <xf numFmtId="9" fontId="51" fillId="26" borderId="43" xfId="48" applyFont="1" applyFill="1" applyBorder="1" applyAlignment="1" applyProtection="1">
      <alignment horizontal="center" vertical="center" wrapText="1"/>
      <protection hidden="1"/>
    </xf>
    <xf numFmtId="0" fontId="7" fillId="26" borderId="48" xfId="41" applyFill="1" applyBorder="1" applyProtection="1">
      <protection hidden="1"/>
    </xf>
    <xf numFmtId="0" fontId="18" fillId="23" borderId="38" xfId="41" applyFont="1" applyFill="1" applyBorder="1" applyAlignment="1" applyProtection="1">
      <alignment horizontal="center" vertical="center" wrapText="1"/>
      <protection hidden="1"/>
    </xf>
    <xf numFmtId="0" fontId="18" fillId="23" borderId="0" xfId="41" applyFont="1" applyFill="1" applyBorder="1" applyAlignment="1" applyProtection="1">
      <alignment horizontal="center" vertical="center" wrapText="1"/>
      <protection hidden="1"/>
    </xf>
    <xf numFmtId="2" fontId="31" fillId="46" borderId="10" xfId="41" applyNumberFormat="1" applyFont="1" applyFill="1" applyBorder="1" applyAlignment="1" applyProtection="1">
      <alignment horizontal="center" vertical="center"/>
      <protection hidden="1"/>
    </xf>
    <xf numFmtId="0" fontId="51" fillId="26" borderId="62" xfId="0" applyFont="1" applyFill="1" applyBorder="1" applyAlignment="1">
      <alignment vertical="center"/>
    </xf>
    <xf numFmtId="9" fontId="7" fillId="17" borderId="43" xfId="41" applyNumberFormat="1" applyFill="1" applyBorder="1" applyAlignment="1" applyProtection="1">
      <alignment horizontal="center" vertical="center"/>
      <protection locked="0" hidden="1"/>
    </xf>
    <xf numFmtId="176" fontId="7" fillId="17" borderId="10" xfId="41" applyNumberFormat="1" applyFont="1" applyFill="1" applyBorder="1" applyAlignment="1" applyProtection="1">
      <alignment horizontal="center" vertical="top" wrapText="1"/>
      <protection locked="0" hidden="1"/>
    </xf>
    <xf numFmtId="176" fontId="7" fillId="17" borderId="10" xfId="41" applyNumberFormat="1" applyFill="1" applyBorder="1" applyProtection="1">
      <protection locked="0" hidden="1"/>
    </xf>
    <xf numFmtId="0" fontId="16" fillId="26" borderId="10" xfId="41" applyFont="1" applyFill="1" applyBorder="1" applyAlignment="1" applyProtection="1">
      <alignment horizontal="right" vertical="center"/>
      <protection hidden="1"/>
    </xf>
    <xf numFmtId="0" fontId="206" fillId="46" borderId="10" xfId="41" applyFont="1" applyFill="1" applyBorder="1" applyAlignment="1" applyProtection="1">
      <alignment horizontal="right" vertical="center" wrapText="1"/>
      <protection hidden="1"/>
    </xf>
    <xf numFmtId="0" fontId="204" fillId="46" borderId="10" xfId="41" applyFont="1" applyFill="1" applyBorder="1" applyAlignment="1" applyProtection="1">
      <alignment horizontal="right"/>
      <protection hidden="1"/>
    </xf>
    <xf numFmtId="0" fontId="7" fillId="46" borderId="10" xfId="41" applyFont="1" applyFill="1" applyBorder="1" applyAlignment="1" applyProtection="1">
      <alignment horizontal="center" vertical="top" wrapText="1"/>
      <protection hidden="1"/>
    </xf>
    <xf numFmtId="175" fontId="7" fillId="17" borderId="43" xfId="41" applyNumberFormat="1" applyFont="1" applyFill="1" applyBorder="1" applyAlignment="1" applyProtection="1">
      <alignment horizontal="center" vertical="center" wrapText="1"/>
      <protection locked="0" hidden="1"/>
    </xf>
    <xf numFmtId="0" fontId="51" fillId="46" borderId="60" xfId="41" applyFont="1" applyFill="1" applyBorder="1" applyAlignment="1" applyProtection="1">
      <alignment horizontal="left" vertical="center" wrapText="1"/>
      <protection hidden="1"/>
    </xf>
    <xf numFmtId="0" fontId="51" fillId="46" borderId="37" xfId="41" applyFont="1" applyFill="1" applyBorder="1" applyAlignment="1" applyProtection="1">
      <alignment horizontal="left" vertical="center" wrapText="1"/>
      <protection hidden="1"/>
    </xf>
    <xf numFmtId="0" fontId="51" fillId="17" borderId="10" xfId="41" applyFont="1" applyFill="1" applyBorder="1" applyAlignment="1" applyProtection="1">
      <alignment horizontal="center" vertical="center"/>
      <protection hidden="1"/>
    </xf>
    <xf numFmtId="0" fontId="93" fillId="23" borderId="0" xfId="41" applyFont="1" applyFill="1" applyBorder="1" applyAlignment="1" applyProtection="1">
      <alignment horizontal="center" vertical="center" textRotation="90" wrapText="1"/>
      <protection hidden="1"/>
    </xf>
    <xf numFmtId="0" fontId="51" fillId="26" borderId="43" xfId="41" applyFont="1" applyFill="1" applyBorder="1" applyAlignment="1" applyProtection="1">
      <alignment horizontal="right" vertical="center" wrapText="1"/>
      <protection hidden="1"/>
    </xf>
    <xf numFmtId="0" fontId="7" fillId="26" borderId="43" xfId="41" applyFill="1" applyBorder="1" applyAlignment="1" applyProtection="1">
      <alignment horizontal="right"/>
      <protection hidden="1"/>
    </xf>
    <xf numFmtId="2" fontId="31" fillId="24" borderId="10" xfId="41" applyNumberFormat="1" applyFont="1" applyFill="1" applyBorder="1" applyAlignment="1" applyProtection="1">
      <alignment horizontal="center" vertical="center"/>
      <protection hidden="1"/>
    </xf>
    <xf numFmtId="0" fontId="53" fillId="26" borderId="43" xfId="41" applyFont="1" applyFill="1" applyBorder="1" applyAlignment="1" applyProtection="1">
      <alignment horizontal="right"/>
      <protection hidden="1"/>
    </xf>
    <xf numFmtId="0" fontId="51" fillId="26" borderId="71" xfId="41" applyFont="1" applyFill="1" applyBorder="1" applyAlignment="1" applyProtection="1">
      <alignment horizontal="left" vertical="top" wrapText="1"/>
      <protection hidden="1"/>
    </xf>
    <xf numFmtId="0" fontId="51" fillId="26" borderId="73" xfId="41" applyFont="1" applyFill="1" applyBorder="1" applyAlignment="1" applyProtection="1">
      <alignment horizontal="left" vertical="top" wrapText="1"/>
      <protection hidden="1"/>
    </xf>
    <xf numFmtId="0" fontId="51" fillId="26" borderId="43" xfId="41" applyFont="1" applyFill="1" applyBorder="1" applyAlignment="1" applyProtection="1">
      <alignment horizontal="left" vertical="top" wrapText="1"/>
      <protection hidden="1"/>
    </xf>
    <xf numFmtId="0" fontId="51" fillId="26" borderId="36" xfId="41" applyFont="1" applyFill="1" applyBorder="1" applyAlignment="1" applyProtection="1">
      <alignment horizontal="center" vertical="center" wrapText="1"/>
      <protection hidden="1"/>
    </xf>
    <xf numFmtId="0" fontId="51" fillId="26" borderId="38" xfId="41" applyFont="1" applyFill="1" applyBorder="1" applyAlignment="1" applyProtection="1">
      <alignment horizontal="center" vertical="center" wrapText="1"/>
      <protection hidden="1"/>
    </xf>
    <xf numFmtId="0" fontId="51" fillId="26" borderId="40" xfId="41" applyFont="1" applyFill="1" applyBorder="1" applyAlignment="1" applyProtection="1">
      <alignment horizontal="center" vertical="center" wrapText="1"/>
      <protection hidden="1"/>
    </xf>
    <xf numFmtId="0" fontId="51" fillId="17" borderId="10" xfId="41" applyFont="1" applyFill="1" applyBorder="1" applyAlignment="1" applyProtection="1">
      <alignment horizontal="center" vertical="center" wrapText="1"/>
      <protection hidden="1"/>
    </xf>
    <xf numFmtId="0" fontId="89" fillId="26" borderId="10" xfId="41" applyFont="1" applyFill="1" applyBorder="1" applyAlignment="1" applyProtection="1">
      <alignment horizontal="right" vertical="center"/>
      <protection hidden="1"/>
    </xf>
    <xf numFmtId="169" fontId="7" fillId="17" borderId="10" xfId="41" applyNumberFormat="1" applyFont="1" applyFill="1" applyBorder="1" applyAlignment="1" applyProtection="1">
      <alignment horizontal="center" vertical="center" wrapText="1"/>
      <protection locked="0" hidden="1"/>
    </xf>
    <xf numFmtId="169" fontId="7" fillId="17" borderId="10" xfId="41" applyNumberFormat="1" applyFill="1" applyBorder="1" applyAlignment="1" applyProtection="1">
      <alignment horizontal="center" vertical="center"/>
      <protection locked="0" hidden="1"/>
    </xf>
    <xf numFmtId="176" fontId="7" fillId="17" borderId="10" xfId="41" applyNumberFormat="1" applyFont="1" applyFill="1" applyBorder="1" applyAlignment="1" applyProtection="1">
      <alignment horizontal="center" vertical="center" wrapText="1"/>
      <protection locked="0" hidden="1"/>
    </xf>
    <xf numFmtId="176" fontId="7" fillId="17" borderId="10" xfId="41" applyNumberFormat="1" applyFill="1" applyBorder="1" applyAlignment="1" applyProtection="1">
      <alignment horizontal="center" vertical="center"/>
      <protection locked="0" hidden="1"/>
    </xf>
    <xf numFmtId="0" fontId="206" fillId="46" borderId="43" xfId="41" applyFont="1" applyFill="1" applyBorder="1" applyAlignment="1" applyProtection="1">
      <alignment horizontal="right" vertical="center" wrapText="1"/>
      <protection hidden="1"/>
    </xf>
    <xf numFmtId="0" fontId="204" fillId="46" borderId="43" xfId="41" applyFont="1" applyFill="1" applyBorder="1" applyAlignment="1" applyProtection="1">
      <alignment horizontal="right"/>
      <protection hidden="1"/>
    </xf>
    <xf numFmtId="0" fontId="206" fillId="46" borderId="10" xfId="41" applyFont="1" applyFill="1" applyBorder="1" applyAlignment="1" applyProtection="1">
      <alignment vertical="center" wrapText="1"/>
      <protection hidden="1"/>
    </xf>
    <xf numFmtId="0" fontId="204" fillId="46" borderId="10" xfId="41" applyFont="1" applyFill="1" applyBorder="1" applyAlignment="1" applyProtection="1">
      <alignment vertical="center"/>
      <protection hidden="1"/>
    </xf>
    <xf numFmtId="0" fontId="204" fillId="46" borderId="10" xfId="41" applyFont="1" applyFill="1" applyBorder="1" applyAlignment="1" applyProtection="1">
      <protection hidden="1"/>
    </xf>
    <xf numFmtId="9" fontId="7" fillId="17" borderId="10" xfId="41" applyNumberFormat="1" applyFont="1" applyFill="1" applyBorder="1" applyAlignment="1" applyProtection="1">
      <alignment horizontal="center" vertical="center"/>
      <protection locked="0" hidden="1"/>
    </xf>
    <xf numFmtId="0" fontId="51" fillId="26" borderId="50" xfId="41" applyFont="1" applyFill="1" applyBorder="1" applyAlignment="1" applyProtection="1">
      <alignment horizontal="left" vertical="center" wrapText="1"/>
      <protection hidden="1"/>
    </xf>
    <xf numFmtId="0" fontId="51" fillId="26" borderId="51" xfId="41" applyFont="1" applyFill="1" applyBorder="1" applyAlignment="1" applyProtection="1">
      <alignment horizontal="left" vertical="center" wrapText="1"/>
      <protection hidden="1"/>
    </xf>
    <xf numFmtId="0" fontId="7" fillId="26" borderId="43" xfId="41" applyFill="1" applyBorder="1" applyProtection="1">
      <protection hidden="1"/>
    </xf>
    <xf numFmtId="9" fontId="51" fillId="26" borderId="48" xfId="48" applyFont="1" applyFill="1" applyBorder="1" applyAlignment="1" applyProtection="1">
      <alignment horizontal="center" vertical="center" wrapText="1"/>
      <protection hidden="1"/>
    </xf>
    <xf numFmtId="0" fontId="16" fillId="26" borderId="43" xfId="41" applyFont="1" applyFill="1" applyBorder="1" applyProtection="1">
      <protection hidden="1"/>
    </xf>
    <xf numFmtId="2" fontId="48" fillId="24" borderId="50" xfId="41" applyNumberFormat="1" applyFont="1" applyFill="1" applyBorder="1" applyAlignment="1" applyProtection="1">
      <alignment horizontal="center" vertical="center"/>
      <protection hidden="1"/>
    </xf>
    <xf numFmtId="0" fontId="0" fillId="26" borderId="41" xfId="0" applyFill="1" applyBorder="1" applyAlignment="1">
      <alignment wrapText="1"/>
    </xf>
    <xf numFmtId="0" fontId="51" fillId="26" borderId="49" xfId="41" applyFont="1" applyFill="1" applyBorder="1" applyAlignment="1" applyProtection="1">
      <alignment horizontal="left" vertical="top" wrapText="1"/>
      <protection hidden="1"/>
    </xf>
    <xf numFmtId="0" fontId="51" fillId="26" borderId="75" xfId="41" applyFont="1" applyFill="1" applyBorder="1" applyAlignment="1" applyProtection="1">
      <alignment horizontal="left" vertical="top" wrapText="1"/>
      <protection hidden="1"/>
    </xf>
    <xf numFmtId="0" fontId="51" fillId="26" borderId="76" xfId="41" applyFont="1" applyFill="1" applyBorder="1" applyAlignment="1" applyProtection="1">
      <alignment horizontal="left" vertical="top" wrapText="1"/>
      <protection hidden="1"/>
    </xf>
    <xf numFmtId="9" fontId="7" fillId="24" borderId="73" xfId="41" applyNumberFormat="1" applyFill="1" applyBorder="1" applyAlignment="1" applyProtection="1">
      <alignment horizontal="center" vertical="center"/>
      <protection hidden="1"/>
    </xf>
    <xf numFmtId="9" fontId="7" fillId="24" borderId="120" xfId="41" applyNumberFormat="1" applyFill="1" applyBorder="1" applyAlignment="1" applyProtection="1">
      <alignment horizontal="center" vertical="center"/>
      <protection hidden="1"/>
    </xf>
    <xf numFmtId="0" fontId="51" fillId="26" borderId="20" xfId="41" applyFont="1" applyFill="1" applyBorder="1" applyAlignment="1" applyProtection="1">
      <alignment horizontal="left" vertical="center" wrapText="1"/>
      <protection hidden="1"/>
    </xf>
    <xf numFmtId="0" fontId="51" fillId="26" borderId="0" xfId="41" applyFont="1" applyFill="1" applyBorder="1" applyAlignment="1" applyProtection="1">
      <alignment horizontal="left" vertical="center" wrapText="1"/>
      <protection hidden="1"/>
    </xf>
    <xf numFmtId="0" fontId="51" fillId="26" borderId="39" xfId="41" applyFont="1" applyFill="1" applyBorder="1" applyAlignment="1" applyProtection="1">
      <alignment horizontal="left" vertical="center" wrapText="1"/>
      <protection hidden="1"/>
    </xf>
    <xf numFmtId="0" fontId="51" fillId="26" borderId="45" xfId="41" applyFont="1" applyFill="1" applyBorder="1" applyAlignment="1" applyProtection="1">
      <alignment horizontal="left" vertical="center" wrapText="1"/>
      <protection hidden="1"/>
    </xf>
    <xf numFmtId="0" fontId="51" fillId="26" borderId="46" xfId="41" applyFont="1" applyFill="1" applyBorder="1" applyAlignment="1" applyProtection="1">
      <alignment horizontal="left" vertical="center" wrapText="1"/>
      <protection hidden="1"/>
    </xf>
    <xf numFmtId="9" fontId="7" fillId="24" borderId="46" xfId="41" applyNumberFormat="1" applyFill="1" applyBorder="1" applyAlignment="1" applyProtection="1">
      <alignment horizontal="center" vertical="center"/>
      <protection locked="0" hidden="1"/>
    </xf>
    <xf numFmtId="9" fontId="7" fillId="24" borderId="22" xfId="41" applyNumberFormat="1" applyFill="1" applyBorder="1" applyAlignment="1" applyProtection="1">
      <alignment horizontal="center" vertical="center"/>
      <protection locked="0" hidden="1"/>
    </xf>
    <xf numFmtId="0" fontId="51" fillId="26" borderId="57" xfId="41" applyFont="1" applyFill="1" applyBorder="1" applyAlignment="1" applyProtection="1">
      <alignment horizontal="left" vertical="center"/>
      <protection hidden="1"/>
    </xf>
    <xf numFmtId="0" fontId="51" fillId="26" borderId="124" xfId="41" applyFont="1" applyFill="1" applyBorder="1" applyAlignment="1" applyProtection="1">
      <alignment horizontal="left" vertical="center"/>
      <protection hidden="1"/>
    </xf>
    <xf numFmtId="0" fontId="51" fillId="26" borderId="49" xfId="41" applyFont="1" applyFill="1" applyBorder="1" applyAlignment="1" applyProtection="1">
      <alignment horizontal="left" vertical="center" wrapText="1"/>
      <protection hidden="1"/>
    </xf>
    <xf numFmtId="0" fontId="51" fillId="26" borderId="75" xfId="41" applyFont="1" applyFill="1" applyBorder="1" applyAlignment="1" applyProtection="1">
      <alignment horizontal="left" vertical="center" wrapText="1"/>
      <protection hidden="1"/>
    </xf>
    <xf numFmtId="0" fontId="51" fillId="26" borderId="76" xfId="41" applyFont="1" applyFill="1" applyBorder="1" applyAlignment="1" applyProtection="1">
      <alignment horizontal="left" vertical="center" wrapText="1"/>
      <protection hidden="1"/>
    </xf>
    <xf numFmtId="0" fontId="51" fillId="23" borderId="0" xfId="41" applyFont="1" applyFill="1" applyBorder="1" applyAlignment="1" applyProtection="1">
      <alignment vertical="center"/>
      <protection hidden="1"/>
    </xf>
    <xf numFmtId="0" fontId="51" fillId="26" borderId="13" xfId="41" applyFont="1" applyFill="1" applyBorder="1" applyAlignment="1" applyProtection="1">
      <alignment horizontal="left" vertical="center"/>
      <protection hidden="1"/>
    </xf>
    <xf numFmtId="0" fontId="53" fillId="26" borderId="44" xfId="41" applyFont="1" applyFill="1" applyBorder="1" applyAlignment="1" applyProtection="1">
      <alignment horizontal="left"/>
      <protection hidden="1"/>
    </xf>
    <xf numFmtId="0" fontId="53" fillId="26" borderId="118" xfId="41" applyFont="1" applyFill="1" applyBorder="1" applyAlignment="1" applyProtection="1">
      <alignment horizontal="left"/>
      <protection hidden="1"/>
    </xf>
    <xf numFmtId="0" fontId="51" fillId="26" borderId="47" xfId="41" applyFont="1" applyFill="1" applyBorder="1" applyAlignment="1" applyProtection="1">
      <alignment vertical="center" wrapText="1"/>
      <protection hidden="1"/>
    </xf>
    <xf numFmtId="0" fontId="7" fillId="26" borderId="43" xfId="41" applyFill="1" applyBorder="1" applyAlignment="1" applyProtection="1">
      <alignment wrapText="1"/>
      <protection hidden="1"/>
    </xf>
    <xf numFmtId="0" fontId="67" fillId="23" borderId="0" xfId="41" applyFont="1" applyFill="1" applyBorder="1" applyAlignment="1" applyProtection="1">
      <alignment horizontal="left" vertical="top" wrapText="1"/>
      <protection hidden="1"/>
    </xf>
    <xf numFmtId="0" fontId="9" fillId="24" borderId="61" xfId="41" applyFont="1" applyFill="1" applyBorder="1" applyAlignment="1" applyProtection="1">
      <alignment horizontal="right" vertical="center"/>
      <protection hidden="1"/>
    </xf>
    <xf numFmtId="0" fontId="9" fillId="24" borderId="62" xfId="41" applyFont="1" applyFill="1" applyBorder="1" applyAlignment="1" applyProtection="1">
      <alignment horizontal="right" vertical="center"/>
      <protection hidden="1"/>
    </xf>
    <xf numFmtId="0" fontId="9" fillId="35" borderId="61" xfId="41" applyFont="1" applyFill="1" applyBorder="1" applyAlignment="1" applyProtection="1">
      <alignment horizontal="right" vertical="center"/>
      <protection hidden="1"/>
    </xf>
    <xf numFmtId="0" fontId="9" fillId="35" borderId="62" xfId="41" applyFont="1" applyFill="1" applyBorder="1" applyAlignment="1" applyProtection="1">
      <alignment horizontal="right" vertical="center"/>
      <protection hidden="1"/>
    </xf>
    <xf numFmtId="166" fontId="16" fillId="0" borderId="0" xfId="41" applyNumberFormat="1" applyFont="1" applyFill="1" applyBorder="1" applyAlignment="1" applyProtection="1">
      <alignment horizontal="center" vertical="center" wrapText="1"/>
      <protection locked="0" hidden="1"/>
    </xf>
    <xf numFmtId="166" fontId="16" fillId="0" borderId="0" xfId="41" applyNumberFormat="1" applyFont="1" applyFill="1" applyBorder="1" applyAlignment="1" applyProtection="1">
      <alignment horizontal="center" vertical="center" wrapText="1"/>
      <protection hidden="1"/>
    </xf>
    <xf numFmtId="166" fontId="16" fillId="0" borderId="21" xfId="41" applyNumberFormat="1" applyFont="1" applyFill="1" applyBorder="1" applyAlignment="1" applyProtection="1">
      <alignment horizontal="center" vertical="center" wrapText="1"/>
      <protection hidden="1"/>
    </xf>
    <xf numFmtId="0" fontId="16" fillId="35" borderId="54" xfId="41" applyFont="1" applyFill="1" applyBorder="1" applyAlignment="1" applyProtection="1">
      <alignment horizontal="center"/>
      <protection locked="0" hidden="1"/>
    </xf>
    <xf numFmtId="0" fontId="16" fillId="35" borderId="123" xfId="41" applyFont="1" applyFill="1" applyBorder="1" applyAlignment="1" applyProtection="1">
      <alignment horizontal="center"/>
      <protection locked="0" hidden="1"/>
    </xf>
    <xf numFmtId="0" fontId="16" fillId="35" borderId="79" xfId="41" applyFont="1" applyFill="1" applyBorder="1" applyAlignment="1" applyProtection="1">
      <alignment horizontal="center"/>
      <protection locked="0" hidden="1"/>
    </xf>
    <xf numFmtId="0" fontId="7" fillId="0" borderId="56" xfId="41" applyFill="1" applyBorder="1" applyAlignment="1" applyProtection="1">
      <alignment horizontal="center"/>
      <protection locked="0" hidden="1"/>
    </xf>
    <xf numFmtId="0" fontId="7" fillId="0" borderId="64" xfId="41" applyFill="1" applyBorder="1" applyAlignment="1" applyProtection="1">
      <alignment horizontal="center"/>
      <protection locked="0" hidden="1"/>
    </xf>
    <xf numFmtId="0" fontId="15" fillId="35" borderId="54" xfId="41" applyFont="1" applyFill="1" applyBorder="1" applyAlignment="1" applyProtection="1">
      <alignment horizontal="center" vertical="top" wrapText="1"/>
      <protection locked="0" hidden="1"/>
    </xf>
    <xf numFmtId="0" fontId="15" fillId="35" borderId="79" xfId="41" applyFont="1" applyFill="1" applyBorder="1" applyAlignment="1" applyProtection="1">
      <alignment horizontal="center" vertical="top" wrapText="1"/>
      <protection locked="0" hidden="1"/>
    </xf>
    <xf numFmtId="0" fontId="139" fillId="37" borderId="38" xfId="41" applyFont="1" applyFill="1" applyBorder="1" applyAlignment="1" applyProtection="1">
      <alignment horizontal="center" vertical="top"/>
      <protection hidden="1"/>
    </xf>
    <xf numFmtId="0" fontId="139" fillId="37" borderId="0" xfId="41" applyFont="1" applyFill="1" applyBorder="1" applyAlignment="1" applyProtection="1">
      <alignment horizontal="center" vertical="top"/>
      <protection hidden="1"/>
    </xf>
    <xf numFmtId="0" fontId="139" fillId="37" borderId="39" xfId="41" applyFont="1" applyFill="1" applyBorder="1" applyAlignment="1" applyProtection="1">
      <alignment horizontal="center" vertical="top"/>
      <protection hidden="1"/>
    </xf>
    <xf numFmtId="0" fontId="9" fillId="37" borderId="17" xfId="41" applyFont="1" applyFill="1" applyBorder="1" applyAlignment="1" applyProtection="1">
      <alignment horizontal="center" vertical="top" wrapText="1"/>
      <protection hidden="1"/>
    </xf>
    <xf numFmtId="0" fontId="9" fillId="37" borderId="21" xfId="41" applyFont="1" applyFill="1" applyBorder="1" applyAlignment="1" applyProtection="1">
      <alignment horizontal="center" vertical="top" wrapText="1"/>
      <protection hidden="1"/>
    </xf>
    <xf numFmtId="0" fontId="9" fillId="37" borderId="25" xfId="41" applyFont="1" applyFill="1" applyBorder="1" applyAlignment="1" applyProtection="1">
      <alignment horizontal="center" vertical="top" wrapText="1"/>
      <protection hidden="1"/>
    </xf>
    <xf numFmtId="0" fontId="128" fillId="37" borderId="39" xfId="41" applyFont="1" applyFill="1" applyBorder="1" applyAlignment="1" applyProtection="1">
      <alignment horizontal="center" vertical="top" wrapText="1"/>
      <protection hidden="1"/>
    </xf>
    <xf numFmtId="0" fontId="128" fillId="37" borderId="41" xfId="41" applyFont="1" applyFill="1" applyBorder="1" applyAlignment="1" applyProtection="1">
      <alignment horizontal="center" vertical="top" wrapText="1"/>
      <protection hidden="1"/>
    </xf>
    <xf numFmtId="0" fontId="9" fillId="0" borderId="71" xfId="41" applyFont="1" applyFill="1" applyBorder="1" applyAlignment="1" applyProtection="1">
      <alignment horizontal="center" vertical="top" wrapText="1"/>
      <protection hidden="1"/>
    </xf>
    <xf numFmtId="0" fontId="9" fillId="0" borderId="73" xfId="41" applyFont="1" applyFill="1" applyBorder="1" applyAlignment="1" applyProtection="1">
      <alignment horizontal="center" vertical="top" wrapText="1"/>
      <protection hidden="1"/>
    </xf>
    <xf numFmtId="0" fontId="9" fillId="0" borderId="43" xfId="41" applyFont="1" applyFill="1" applyBorder="1" applyAlignment="1" applyProtection="1">
      <alignment horizontal="center" vertical="top" wrapText="1"/>
      <protection hidden="1"/>
    </xf>
    <xf numFmtId="0" fontId="9" fillId="37" borderId="39" xfId="41" applyFont="1" applyFill="1" applyBorder="1" applyAlignment="1" applyProtection="1">
      <alignment horizontal="center" vertical="top" wrapText="1"/>
      <protection hidden="1"/>
    </xf>
    <xf numFmtId="0" fontId="16" fillId="35" borderId="49" xfId="41" applyFont="1" applyFill="1" applyBorder="1" applyAlignment="1" applyProtection="1">
      <alignment horizontal="left" vertical="center"/>
      <protection locked="0" hidden="1"/>
    </xf>
    <xf numFmtId="0" fontId="16" fillId="35" borderId="75" xfId="41" applyFont="1" applyFill="1" applyBorder="1" applyAlignment="1" applyProtection="1">
      <alignment horizontal="left" vertical="center"/>
      <protection locked="0" hidden="1"/>
    </xf>
    <xf numFmtId="0" fontId="16" fillId="35" borderId="76" xfId="41" applyFont="1" applyFill="1" applyBorder="1" applyAlignment="1" applyProtection="1">
      <alignment horizontal="left" vertical="center"/>
      <protection locked="0" hidden="1"/>
    </xf>
    <xf numFmtId="166" fontId="16" fillId="0" borderId="20" xfId="41" applyNumberFormat="1" applyFont="1" applyFill="1" applyBorder="1" applyAlignment="1" applyProtection="1">
      <alignment horizontal="center" vertical="center" wrapText="1"/>
      <protection locked="0" hidden="1"/>
    </xf>
    <xf numFmtId="0" fontId="128" fillId="0" borderId="15" xfId="41" applyFont="1" applyFill="1" applyBorder="1" applyAlignment="1" applyProtection="1">
      <alignment horizontal="center" vertical="top" wrapText="1"/>
      <protection locked="0" hidden="1"/>
    </xf>
    <xf numFmtId="0" fontId="128" fillId="0" borderId="16" xfId="41" applyFont="1" applyFill="1" applyBorder="1" applyAlignment="1" applyProtection="1">
      <alignment horizontal="center" vertical="top" wrapText="1"/>
      <protection locked="0" hidden="1"/>
    </xf>
    <xf numFmtId="0" fontId="128" fillId="0" borderId="49" xfId="41" applyFont="1" applyFill="1" applyBorder="1" applyAlignment="1" applyProtection="1">
      <alignment horizontal="center" vertical="top"/>
      <protection locked="0" hidden="1"/>
    </xf>
    <xf numFmtId="0" fontId="128" fillId="0" borderId="76" xfId="41" applyFont="1" applyFill="1" applyBorder="1" applyAlignment="1" applyProtection="1">
      <alignment horizontal="center" vertical="top"/>
      <protection locked="0" hidden="1"/>
    </xf>
    <xf numFmtId="0" fontId="182" fillId="0" borderId="61" xfId="41" applyFont="1" applyFill="1" applyBorder="1" applyAlignment="1" applyProtection="1">
      <alignment horizontal="right" vertical="center"/>
      <protection hidden="1"/>
    </xf>
    <xf numFmtId="0" fontId="182" fillId="0" borderId="62" xfId="41" applyFont="1" applyFill="1" applyBorder="1" applyAlignment="1" applyProtection="1">
      <alignment horizontal="right" vertical="center"/>
      <protection hidden="1"/>
    </xf>
    <xf numFmtId="0" fontId="139" fillId="37" borderId="61" xfId="41" applyFont="1" applyFill="1" applyBorder="1" applyAlignment="1" applyProtection="1">
      <alignment horizontal="center" vertical="center"/>
      <protection hidden="1"/>
    </xf>
    <xf numFmtId="0" fontId="139" fillId="37" borderId="62" xfId="41" applyFont="1" applyFill="1" applyBorder="1" applyAlignment="1" applyProtection="1">
      <alignment horizontal="center" vertical="center"/>
      <protection hidden="1"/>
    </xf>
    <xf numFmtId="0" fontId="139" fillId="37" borderId="0" xfId="41" applyFont="1" applyFill="1" applyBorder="1" applyAlignment="1" applyProtection="1">
      <alignment horizontal="center" vertical="center"/>
      <protection hidden="1"/>
    </xf>
    <xf numFmtId="0" fontId="139" fillId="37" borderId="39" xfId="41" applyFont="1" applyFill="1" applyBorder="1" applyAlignment="1" applyProtection="1">
      <alignment horizontal="center" vertical="center"/>
      <protection hidden="1"/>
    </xf>
    <xf numFmtId="0" fontId="128" fillId="0" borderId="49" xfId="41" applyFont="1" applyFill="1" applyBorder="1" applyAlignment="1" applyProtection="1">
      <alignment horizontal="center" vertical="center" wrapText="1"/>
      <protection locked="0" hidden="1"/>
    </xf>
    <xf numFmtId="0" fontId="128" fillId="0" borderId="76" xfId="41" applyFont="1" applyFill="1" applyBorder="1" applyAlignment="1" applyProtection="1">
      <alignment horizontal="center" vertical="center" wrapText="1"/>
      <protection locked="0" hidden="1"/>
    </xf>
    <xf numFmtId="0" fontId="128" fillId="0" borderId="15" xfId="41" applyFont="1" applyFill="1" applyBorder="1" applyAlignment="1" applyProtection="1">
      <alignment horizontal="center" vertical="center"/>
      <protection locked="0" hidden="1"/>
    </xf>
    <xf numFmtId="0" fontId="128" fillId="0" borderId="16" xfId="41" applyFont="1" applyFill="1" applyBorder="1" applyAlignment="1" applyProtection="1">
      <alignment horizontal="center" vertical="center"/>
      <protection locked="0" hidden="1"/>
    </xf>
    <xf numFmtId="0" fontId="129" fillId="24" borderId="110" xfId="41" applyFont="1" applyFill="1" applyBorder="1" applyAlignment="1" applyProtection="1">
      <alignment horizontal="left" vertical="top" wrapText="1"/>
      <protection hidden="1"/>
    </xf>
    <xf numFmtId="0" fontId="129" fillId="24" borderId="60" xfId="41" applyFont="1" applyFill="1" applyBorder="1" applyAlignment="1" applyProtection="1">
      <alignment horizontal="left" vertical="top" wrapText="1"/>
      <protection hidden="1"/>
    </xf>
    <xf numFmtId="0" fontId="129" fillId="24" borderId="87" xfId="41" applyFont="1" applyFill="1" applyBorder="1" applyAlignment="1" applyProtection="1">
      <alignment horizontal="left" vertical="top" wrapText="1"/>
      <protection hidden="1"/>
    </xf>
    <xf numFmtId="0" fontId="129" fillId="24" borderId="20" xfId="41" applyFont="1" applyFill="1" applyBorder="1" applyAlignment="1" applyProtection="1">
      <alignment horizontal="left" vertical="top" wrapText="1"/>
      <protection hidden="1"/>
    </xf>
    <xf numFmtId="0" fontId="129" fillId="24" borderId="0" xfId="41" applyFont="1" applyFill="1" applyBorder="1" applyAlignment="1" applyProtection="1">
      <alignment horizontal="left" vertical="top" wrapText="1"/>
      <protection hidden="1"/>
    </xf>
    <xf numFmtId="0" fontId="129" fillId="24" borderId="21" xfId="41" applyFont="1" applyFill="1" applyBorder="1" applyAlignment="1" applyProtection="1">
      <alignment horizontal="left" vertical="top" wrapText="1"/>
      <protection hidden="1"/>
    </xf>
    <xf numFmtId="0" fontId="16" fillId="24" borderId="54" xfId="41" applyFont="1" applyFill="1" applyBorder="1" applyAlignment="1" applyProtection="1">
      <alignment horizontal="center" vertical="center" wrapText="1"/>
      <protection hidden="1"/>
    </xf>
    <xf numFmtId="0" fontId="15" fillId="24" borderId="123" xfId="41" applyFont="1" applyFill="1" applyBorder="1" applyAlignment="1" applyProtection="1">
      <alignment horizontal="center" vertical="center" wrapText="1"/>
      <protection hidden="1"/>
    </xf>
    <xf numFmtId="0" fontId="15" fillId="24" borderId="79" xfId="41" applyFont="1" applyFill="1" applyBorder="1" applyAlignment="1" applyProtection="1">
      <alignment horizontal="center" vertical="center" wrapText="1"/>
      <protection hidden="1"/>
    </xf>
    <xf numFmtId="0" fontId="128" fillId="34" borderId="50" xfId="41" applyFont="1" applyFill="1" applyBorder="1" applyAlignment="1" applyProtection="1">
      <alignment horizontal="center" vertical="top"/>
      <protection locked="0" hidden="1"/>
    </xf>
    <xf numFmtId="0" fontId="128" fillId="34" borderId="51" xfId="41" applyFont="1" applyFill="1" applyBorder="1" applyAlignment="1" applyProtection="1">
      <alignment horizontal="center" vertical="top"/>
      <protection locked="0" hidden="1"/>
    </xf>
    <xf numFmtId="0" fontId="128" fillId="34" borderId="52" xfId="41" applyFont="1" applyFill="1" applyBorder="1" applyAlignment="1" applyProtection="1">
      <alignment horizontal="center" vertical="top"/>
      <protection locked="0" hidden="1"/>
    </xf>
    <xf numFmtId="0" fontId="16" fillId="35" borderId="118" xfId="42" applyFont="1" applyFill="1" applyBorder="1" applyAlignment="1" applyProtection="1">
      <alignment horizontal="center" vertical="top" wrapText="1"/>
      <protection locked="0" hidden="1"/>
    </xf>
    <xf numFmtId="0" fontId="16" fillId="35" borderId="123" xfId="42" applyFont="1" applyFill="1" applyBorder="1" applyAlignment="1" applyProtection="1">
      <alignment horizontal="center" vertical="top" wrapText="1"/>
      <protection locked="0" hidden="1"/>
    </xf>
    <xf numFmtId="0" fontId="16" fillId="35" borderId="125" xfId="42" applyFont="1" applyFill="1" applyBorder="1" applyAlignment="1" applyProtection="1">
      <alignment horizontal="center" vertical="top" wrapText="1"/>
      <protection locked="0" hidden="1"/>
    </xf>
    <xf numFmtId="0" fontId="16" fillId="35" borderId="54" xfId="41" applyFont="1" applyFill="1" applyBorder="1" applyAlignment="1" applyProtection="1">
      <alignment horizontal="center" vertical="top" wrapText="1"/>
      <protection locked="0" hidden="1"/>
    </xf>
    <xf numFmtId="0" fontId="16" fillId="35" borderId="125" xfId="41" applyFont="1" applyFill="1" applyBorder="1" applyAlignment="1" applyProtection="1">
      <alignment horizontal="center" vertical="top" wrapText="1"/>
      <protection locked="0" hidden="1"/>
    </xf>
    <xf numFmtId="0" fontId="16" fillId="35" borderId="86" xfId="41" applyFont="1" applyFill="1" applyBorder="1" applyAlignment="1" applyProtection="1">
      <alignment horizontal="center" vertical="top" wrapText="1"/>
      <protection hidden="1"/>
    </xf>
    <xf numFmtId="0" fontId="16" fillId="35" borderId="48" xfId="41" applyFont="1" applyFill="1" applyBorder="1" applyAlignment="1" applyProtection="1">
      <alignment horizontal="center" vertical="top" wrapText="1"/>
      <protection hidden="1"/>
    </xf>
    <xf numFmtId="0" fontId="183" fillId="0" borderId="10" xfId="41" applyFont="1" applyFill="1" applyBorder="1" applyAlignment="1" applyProtection="1">
      <alignment horizontal="center" vertical="top" wrapText="1"/>
      <protection hidden="1"/>
    </xf>
    <xf numFmtId="0" fontId="51" fillId="23" borderId="54" xfId="41" applyFont="1" applyFill="1" applyBorder="1" applyAlignment="1" applyProtection="1">
      <alignment horizontal="left" vertical="center"/>
      <protection hidden="1"/>
    </xf>
    <xf numFmtId="0" fontId="51" fillId="23" borderId="123" xfId="41" applyFont="1" applyFill="1" applyBorder="1" applyAlignment="1" applyProtection="1">
      <alignment horizontal="left" vertical="center"/>
      <protection hidden="1"/>
    </xf>
    <xf numFmtId="0" fontId="51" fillId="23" borderId="79" xfId="41" applyFont="1" applyFill="1" applyBorder="1" applyAlignment="1" applyProtection="1">
      <alignment horizontal="left" vertical="center"/>
      <protection hidden="1"/>
    </xf>
    <xf numFmtId="0" fontId="51" fillId="26" borderId="10" xfId="41" applyFont="1" applyFill="1" applyBorder="1" applyAlignment="1" applyProtection="1">
      <alignment horizontal="center" vertical="center" wrapText="1"/>
      <protection hidden="1"/>
    </xf>
    <xf numFmtId="0" fontId="183" fillId="0" borderId="71" xfId="41" applyFont="1" applyFill="1" applyBorder="1" applyAlignment="1" applyProtection="1">
      <alignment horizontal="center" vertical="top" wrapText="1"/>
      <protection hidden="1"/>
    </xf>
    <xf numFmtId="0" fontId="183" fillId="0" borderId="73" xfId="41" applyFont="1" applyFill="1" applyBorder="1" applyAlignment="1" applyProtection="1">
      <alignment horizontal="center" vertical="top" wrapText="1"/>
      <protection hidden="1"/>
    </xf>
    <xf numFmtId="0" fontId="99" fillId="37" borderId="61" xfId="41" applyFont="1" applyFill="1" applyBorder="1" applyAlignment="1" applyProtection="1">
      <alignment horizontal="center" vertical="center" wrapText="1"/>
      <protection hidden="1"/>
    </xf>
    <xf numFmtId="0" fontId="99" fillId="37" borderId="62" xfId="41" applyFont="1" applyFill="1" applyBorder="1" applyAlignment="1" applyProtection="1">
      <alignment horizontal="center" vertical="center" wrapText="1"/>
      <protection hidden="1"/>
    </xf>
    <xf numFmtId="0" fontId="99" fillId="37" borderId="0" xfId="41" applyFont="1" applyFill="1" applyBorder="1" applyAlignment="1" applyProtection="1">
      <alignment horizontal="center" vertical="center" wrapText="1"/>
      <protection hidden="1"/>
    </xf>
    <xf numFmtId="0" fontId="99" fillId="37" borderId="39" xfId="41" applyFont="1" applyFill="1" applyBorder="1" applyAlignment="1" applyProtection="1">
      <alignment horizontal="center" vertical="center" wrapText="1"/>
      <protection hidden="1"/>
    </xf>
    <xf numFmtId="0" fontId="9" fillId="35" borderId="61" xfId="41" applyFont="1" applyFill="1" applyBorder="1" applyAlignment="1" applyProtection="1">
      <alignment horizontal="right" vertical="top" wrapText="1"/>
      <protection hidden="1"/>
    </xf>
    <xf numFmtId="0" fontId="9" fillId="35" borderId="62" xfId="41" applyFont="1" applyFill="1" applyBorder="1" applyAlignment="1" applyProtection="1">
      <alignment horizontal="right" vertical="top" wrapText="1"/>
      <protection hidden="1"/>
    </xf>
    <xf numFmtId="0" fontId="9" fillId="0" borderId="61" xfId="41" applyFont="1" applyFill="1" applyBorder="1" applyAlignment="1" applyProtection="1">
      <alignment horizontal="right" vertical="top" wrapText="1"/>
      <protection hidden="1"/>
    </xf>
    <xf numFmtId="0" fontId="9" fillId="0" borderId="62" xfId="41" applyFont="1" applyFill="1" applyBorder="1" applyAlignment="1" applyProtection="1">
      <alignment horizontal="right" vertical="top" wrapText="1"/>
      <protection hidden="1"/>
    </xf>
    <xf numFmtId="0" fontId="9" fillId="37" borderId="33" xfId="41" applyFont="1" applyFill="1" applyBorder="1" applyAlignment="1" applyProtection="1">
      <alignment horizontal="center" vertical="top" wrapText="1"/>
      <protection hidden="1"/>
    </xf>
    <xf numFmtId="0" fontId="9" fillId="37" borderId="34" xfId="41" applyFont="1" applyFill="1" applyBorder="1" applyAlignment="1" applyProtection="1">
      <alignment horizontal="center" vertical="top" wrapText="1"/>
      <protection hidden="1"/>
    </xf>
    <xf numFmtId="0" fontId="9" fillId="37" borderId="35" xfId="41" applyFont="1" applyFill="1" applyBorder="1" applyAlignment="1" applyProtection="1">
      <alignment horizontal="center" vertical="top" wrapText="1"/>
      <protection hidden="1"/>
    </xf>
    <xf numFmtId="0" fontId="51" fillId="46" borderId="61" xfId="41" applyFont="1" applyFill="1" applyBorder="1" applyAlignment="1" applyProtection="1">
      <alignment horizontal="right" vertical="top" wrapText="1"/>
      <protection hidden="1"/>
    </xf>
    <xf numFmtId="0" fontId="51" fillId="46" borderId="62" xfId="41" applyFont="1" applyFill="1" applyBorder="1" applyAlignment="1" applyProtection="1">
      <alignment horizontal="right" vertical="top" wrapText="1"/>
      <protection hidden="1"/>
    </xf>
    <xf numFmtId="0" fontId="51" fillId="46" borderId="64" xfId="41" applyFont="1" applyFill="1" applyBorder="1" applyAlignment="1" applyProtection="1">
      <alignment horizontal="right" vertical="top" wrapText="1"/>
      <protection hidden="1"/>
    </xf>
    <xf numFmtId="2" fontId="31" fillId="46" borderId="61" xfId="41" applyNumberFormat="1" applyFont="1" applyFill="1" applyBorder="1" applyAlignment="1" applyProtection="1">
      <alignment horizontal="center" vertical="center"/>
      <protection hidden="1"/>
    </xf>
    <xf numFmtId="2" fontId="31" fillId="46" borderId="64" xfId="41" applyNumberFormat="1" applyFont="1" applyFill="1" applyBorder="1" applyAlignment="1" applyProtection="1">
      <alignment horizontal="center" vertical="center"/>
      <protection hidden="1"/>
    </xf>
    <xf numFmtId="0" fontId="9" fillId="0" borderId="61" xfId="41" applyFont="1" applyFill="1" applyBorder="1" applyAlignment="1" applyProtection="1">
      <alignment horizontal="center" vertical="top"/>
      <protection hidden="1"/>
    </xf>
    <xf numFmtId="0" fontId="9" fillId="0" borderId="80" xfId="41" applyFont="1" applyFill="1" applyBorder="1" applyAlignment="1" applyProtection="1">
      <alignment horizontal="center" vertical="top"/>
      <protection hidden="1"/>
    </xf>
    <xf numFmtId="0" fontId="184" fillId="37" borderId="0" xfId="41" applyFont="1" applyFill="1" applyAlignment="1" applyProtection="1">
      <alignment horizontal="center" vertical="top"/>
      <protection hidden="1"/>
    </xf>
    <xf numFmtId="0" fontId="9" fillId="37" borderId="33" xfId="41" applyFont="1" applyFill="1" applyBorder="1" applyAlignment="1" applyProtection="1">
      <alignment horizontal="center" vertical="top"/>
      <protection hidden="1"/>
    </xf>
    <xf numFmtId="0" fontId="9" fillId="37" borderId="34" xfId="41" applyFont="1" applyFill="1" applyBorder="1" applyAlignment="1" applyProtection="1">
      <alignment horizontal="center" vertical="top"/>
      <protection hidden="1"/>
    </xf>
    <xf numFmtId="0" fontId="9" fillId="37" borderId="35" xfId="41" applyFont="1" applyFill="1" applyBorder="1" applyAlignment="1" applyProtection="1">
      <alignment horizontal="center" vertical="top"/>
      <protection hidden="1"/>
    </xf>
    <xf numFmtId="0" fontId="139" fillId="37" borderId="61" xfId="41" applyFont="1" applyFill="1" applyBorder="1" applyAlignment="1" applyProtection="1">
      <alignment horizontal="center" vertical="top" wrapText="1"/>
      <protection hidden="1"/>
    </xf>
    <xf numFmtId="0" fontId="139" fillId="37" borderId="62" xfId="41" applyFont="1" applyFill="1" applyBorder="1" applyAlignment="1" applyProtection="1">
      <alignment horizontal="center" vertical="top" wrapText="1"/>
      <protection hidden="1"/>
    </xf>
    <xf numFmtId="0" fontId="139" fillId="37" borderId="0" xfId="41" applyFont="1" applyFill="1" applyBorder="1" applyAlignment="1" applyProtection="1">
      <alignment horizontal="center" vertical="top" wrapText="1"/>
      <protection hidden="1"/>
    </xf>
    <xf numFmtId="0" fontId="139" fillId="37" borderId="39" xfId="41" applyFont="1" applyFill="1" applyBorder="1" applyAlignment="1" applyProtection="1">
      <alignment horizontal="center" vertical="top" wrapText="1"/>
      <protection hidden="1"/>
    </xf>
    <xf numFmtId="0" fontId="139" fillId="37" borderId="61" xfId="41" applyFont="1" applyFill="1" applyBorder="1" applyAlignment="1" applyProtection="1">
      <alignment horizontal="center" vertical="center" wrapText="1"/>
      <protection hidden="1"/>
    </xf>
    <xf numFmtId="0" fontId="139" fillId="37" borderId="62" xfId="41" applyFont="1" applyFill="1" applyBorder="1" applyAlignment="1" applyProtection="1">
      <alignment horizontal="center" vertical="center" wrapText="1"/>
      <protection hidden="1"/>
    </xf>
    <xf numFmtId="0" fontId="139" fillId="37" borderId="0" xfId="41" applyFont="1" applyFill="1" applyBorder="1" applyAlignment="1" applyProtection="1">
      <alignment horizontal="center" vertical="center" wrapText="1"/>
      <protection hidden="1"/>
    </xf>
    <xf numFmtId="0" fontId="139" fillId="37" borderId="37" xfId="41" applyFont="1" applyFill="1" applyBorder="1" applyAlignment="1" applyProtection="1">
      <alignment horizontal="center" vertical="center" wrapText="1"/>
      <protection hidden="1"/>
    </xf>
    <xf numFmtId="0" fontId="9" fillId="0" borderId="10" xfId="41" applyFont="1" applyFill="1" applyBorder="1" applyAlignment="1" applyProtection="1">
      <alignment horizontal="center" vertical="top" wrapText="1"/>
      <protection hidden="1"/>
    </xf>
    <xf numFmtId="0" fontId="9" fillId="0" borderId="61" xfId="41" applyFont="1" applyFill="1" applyBorder="1" applyAlignment="1" applyProtection="1">
      <alignment horizontal="right" vertical="center"/>
      <protection hidden="1"/>
    </xf>
    <xf numFmtId="0" fontId="9" fillId="0" borderId="62" xfId="41" applyFont="1" applyFill="1" applyBorder="1" applyAlignment="1" applyProtection="1">
      <alignment horizontal="right" vertical="center"/>
      <protection hidden="1"/>
    </xf>
    <xf numFmtId="0" fontId="139" fillId="37" borderId="32" xfId="41" applyFont="1" applyFill="1" applyBorder="1" applyAlignment="1" applyProtection="1">
      <alignment horizontal="center" vertical="center"/>
      <protection hidden="1"/>
    </xf>
    <xf numFmtId="0" fontId="139" fillId="37" borderId="41" xfId="41" applyFont="1" applyFill="1" applyBorder="1" applyAlignment="1" applyProtection="1">
      <alignment horizontal="center" vertical="center"/>
      <protection hidden="1"/>
    </xf>
    <xf numFmtId="0" fontId="99" fillId="37" borderId="61" xfId="41" applyFont="1" applyFill="1" applyBorder="1" applyAlignment="1" applyProtection="1">
      <alignment horizontal="left" vertical="center" wrapText="1"/>
      <protection hidden="1"/>
    </xf>
    <xf numFmtId="0" fontId="99" fillId="37" borderId="62" xfId="41" applyFont="1" applyFill="1" applyBorder="1" applyAlignment="1" applyProtection="1">
      <alignment horizontal="left" vertical="center" wrapText="1"/>
      <protection hidden="1"/>
    </xf>
    <xf numFmtId="0" fontId="99" fillId="37" borderId="60" xfId="41" applyFont="1" applyFill="1" applyBorder="1" applyAlignment="1" applyProtection="1">
      <alignment horizontal="left" vertical="center" wrapText="1"/>
      <protection hidden="1"/>
    </xf>
    <xf numFmtId="0" fontId="99" fillId="37" borderId="37" xfId="41" applyFont="1" applyFill="1" applyBorder="1" applyAlignment="1" applyProtection="1">
      <alignment horizontal="left" vertical="center" wrapText="1"/>
      <protection hidden="1"/>
    </xf>
    <xf numFmtId="0" fontId="9" fillId="24" borderId="61" xfId="41" applyFont="1" applyFill="1" applyBorder="1" applyAlignment="1" applyProtection="1">
      <alignment horizontal="right" vertical="top" wrapText="1"/>
      <protection hidden="1"/>
    </xf>
    <xf numFmtId="0" fontId="9" fillId="24" borderId="62" xfId="41" applyFont="1" applyFill="1" applyBorder="1" applyAlignment="1" applyProtection="1">
      <alignment horizontal="right" vertical="top" wrapText="1"/>
      <protection hidden="1"/>
    </xf>
    <xf numFmtId="0" fontId="103" fillId="26" borderId="61" xfId="41" applyFont="1" applyFill="1" applyBorder="1" applyAlignment="1" applyProtection="1">
      <alignment horizontal="center" vertical="center" wrapText="1"/>
      <protection hidden="1"/>
    </xf>
    <xf numFmtId="0" fontId="103" fillId="26" borderId="62" xfId="41" applyFont="1" applyFill="1" applyBorder="1" applyAlignment="1" applyProtection="1">
      <alignment horizontal="center" vertical="center" wrapText="1"/>
      <protection hidden="1"/>
    </xf>
    <xf numFmtId="0" fontId="103" fillId="26" borderId="64" xfId="41" applyFont="1" applyFill="1" applyBorder="1" applyAlignment="1" applyProtection="1">
      <alignment horizontal="center" vertical="center" wrapText="1"/>
      <protection hidden="1"/>
    </xf>
    <xf numFmtId="0" fontId="34" fillId="24" borderId="61" xfId="41" applyFont="1" applyFill="1" applyBorder="1" applyAlignment="1" applyProtection="1">
      <alignment horizontal="center" vertical="center" wrapText="1"/>
      <protection hidden="1"/>
    </xf>
    <xf numFmtId="0" fontId="34" fillId="24" borderId="64" xfId="41" applyFont="1" applyFill="1" applyBorder="1" applyAlignment="1" applyProtection="1">
      <alignment horizontal="center" vertical="center" wrapText="1"/>
      <protection hidden="1"/>
    </xf>
    <xf numFmtId="0" fontId="95" fillId="26" borderId="49" xfId="41" applyFont="1" applyFill="1" applyBorder="1" applyAlignment="1" applyProtection="1">
      <alignment horizontal="center" vertical="top" wrapText="1"/>
      <protection hidden="1"/>
    </xf>
    <xf numFmtId="0" fontId="95" fillId="26" borderId="75" xfId="41" applyFont="1" applyFill="1" applyBorder="1" applyAlignment="1" applyProtection="1">
      <alignment horizontal="center" vertical="top" wrapText="1"/>
      <protection hidden="1"/>
    </xf>
    <xf numFmtId="0" fontId="95" fillId="26" borderId="76" xfId="41" applyFont="1" applyFill="1" applyBorder="1" applyAlignment="1" applyProtection="1">
      <alignment horizontal="center" vertical="top" wrapText="1"/>
      <protection hidden="1"/>
    </xf>
    <xf numFmtId="2" fontId="16" fillId="26" borderId="56" xfId="41" applyNumberFormat="1" applyFont="1" applyFill="1" applyBorder="1" applyAlignment="1" applyProtection="1">
      <alignment horizontal="center" vertical="center"/>
      <protection hidden="1"/>
    </xf>
    <xf numFmtId="2" fontId="16" fillId="26" borderId="62" xfId="41" applyNumberFormat="1" applyFont="1" applyFill="1" applyBorder="1" applyAlignment="1" applyProtection="1">
      <alignment horizontal="center" vertical="center"/>
      <protection hidden="1"/>
    </xf>
    <xf numFmtId="2" fontId="16" fillId="26" borderId="80" xfId="41" applyNumberFormat="1" applyFont="1" applyFill="1" applyBorder="1" applyAlignment="1" applyProtection="1">
      <alignment horizontal="center" vertical="center"/>
      <protection hidden="1"/>
    </xf>
    <xf numFmtId="0" fontId="104" fillId="17" borderId="10" xfId="0" applyFont="1" applyFill="1" applyBorder="1" applyAlignment="1">
      <alignment horizontal="left" vertical="top" wrapText="1"/>
    </xf>
    <xf numFmtId="0" fontId="104" fillId="17" borderId="71" xfId="0" applyFont="1" applyFill="1" applyBorder="1" applyAlignment="1">
      <alignment vertical="top" wrapText="1"/>
    </xf>
    <xf numFmtId="0" fontId="104" fillId="17" borderId="43" xfId="0" applyFont="1" applyFill="1" applyBorder="1" applyAlignment="1">
      <alignment vertical="top" wrapText="1"/>
    </xf>
    <xf numFmtId="0" fontId="24" fillId="17" borderId="19" xfId="40" applyFont="1" applyFill="1" applyBorder="1" applyAlignment="1" applyProtection="1">
      <alignment horizontal="left" vertical="top" wrapText="1"/>
      <protection locked="0"/>
    </xf>
    <xf numFmtId="0" fontId="0" fillId="17" borderId="73" xfId="0" applyFill="1" applyBorder="1" applyAlignment="1">
      <alignment vertical="top" wrapText="1"/>
    </xf>
    <xf numFmtId="0" fontId="0" fillId="17" borderId="43" xfId="0" applyFill="1" applyBorder="1" applyAlignment="1">
      <alignment vertical="top" wrapText="1"/>
    </xf>
    <xf numFmtId="0" fontId="0" fillId="17" borderId="88" xfId="0" applyFill="1" applyBorder="1" applyAlignment="1">
      <alignment vertical="top" wrapText="1"/>
    </xf>
    <xf numFmtId="0" fontId="0" fillId="17" borderId="47" xfId="0" applyFill="1" applyBorder="1" applyAlignment="1">
      <alignment vertical="top" wrapText="1"/>
    </xf>
    <xf numFmtId="0" fontId="168" fillId="23" borderId="20" xfId="40" applyFont="1" applyFill="1" applyBorder="1" applyAlignment="1" applyProtection="1">
      <alignment horizontal="center" vertical="center" wrapText="1"/>
      <protection hidden="1"/>
    </xf>
    <xf numFmtId="0" fontId="24" fillId="17" borderId="71" xfId="40" applyFont="1" applyFill="1" applyBorder="1" applyAlignment="1" applyProtection="1">
      <alignment horizontal="center" vertical="center" wrapText="1"/>
      <protection hidden="1"/>
    </xf>
    <xf numFmtId="0" fontId="24" fillId="17" borderId="43" xfId="40" applyFont="1" applyFill="1" applyBorder="1" applyAlignment="1" applyProtection="1">
      <alignment horizontal="center" vertical="center" wrapText="1"/>
      <protection hidden="1"/>
    </xf>
    <xf numFmtId="0" fontId="6" fillId="17" borderId="19" xfId="0" applyFont="1" applyFill="1" applyBorder="1" applyAlignment="1" applyProtection="1">
      <alignment horizontal="left" vertical="top" wrapText="1"/>
      <protection locked="0"/>
    </xf>
    <xf numFmtId="0" fontId="24" fillId="17" borderId="64" xfId="40" applyFont="1" applyFill="1" applyBorder="1" applyAlignment="1" applyProtection="1">
      <alignment horizontal="left" vertical="top" wrapText="1"/>
      <protection hidden="1"/>
    </xf>
    <xf numFmtId="0" fontId="6" fillId="17" borderId="64" xfId="0" applyFont="1" applyFill="1" applyBorder="1" applyAlignment="1">
      <alignment horizontal="left" vertical="top" wrapText="1"/>
    </xf>
    <xf numFmtId="0" fontId="24" fillId="17" borderId="73" xfId="40" applyFont="1" applyFill="1" applyBorder="1" applyAlignment="1" applyProtection="1">
      <alignment horizontal="center" vertical="center" wrapText="1"/>
      <protection hidden="1"/>
    </xf>
    <xf numFmtId="0" fontId="0" fillId="17" borderId="43" xfId="0" applyFill="1" applyBorder="1"/>
    <xf numFmtId="0" fontId="25" fillId="17" borderId="10" xfId="40" applyFont="1" applyFill="1" applyBorder="1" applyAlignment="1" applyProtection="1">
      <alignment horizontal="center" vertical="center" wrapText="1"/>
      <protection locked="0" hidden="1"/>
    </xf>
    <xf numFmtId="0" fontId="6" fillId="17" borderId="10" xfId="0" applyFont="1" applyFill="1" applyBorder="1" applyAlignment="1" applyProtection="1">
      <alignment horizontal="center" vertical="center" wrapText="1"/>
      <protection locked="0" hidden="1"/>
    </xf>
    <xf numFmtId="0" fontId="168" fillId="23" borderId="38" xfId="40" applyFont="1" applyFill="1" applyBorder="1" applyAlignment="1" applyProtection="1">
      <alignment horizontal="center" vertical="center" wrapText="1"/>
      <protection hidden="1"/>
    </xf>
    <xf numFmtId="0" fontId="104" fillId="17" borderId="73" xfId="0" applyFont="1" applyFill="1" applyBorder="1" applyAlignment="1">
      <alignment horizontal="left" vertical="top" wrapText="1"/>
    </xf>
    <xf numFmtId="0" fontId="104" fillId="17" borderId="43" xfId="0" applyFont="1" applyFill="1" applyBorder="1" applyAlignment="1">
      <alignment horizontal="left" vertical="top" wrapText="1"/>
    </xf>
    <xf numFmtId="0" fontId="25" fillId="17" borderId="73" xfId="40" applyFont="1" applyFill="1" applyBorder="1" applyAlignment="1" applyProtection="1">
      <alignment horizontal="left" vertical="top" wrapText="1"/>
      <protection hidden="1"/>
    </xf>
    <xf numFmtId="0" fontId="25" fillId="17" borderId="43" xfId="40" applyFont="1" applyFill="1" applyBorder="1" applyAlignment="1" applyProtection="1">
      <alignment horizontal="left" vertical="top" wrapText="1"/>
      <protection hidden="1"/>
    </xf>
    <xf numFmtId="0" fontId="25" fillId="24" borderId="73" xfId="40" applyFont="1" applyFill="1" applyBorder="1" applyAlignment="1" applyProtection="1">
      <alignment horizontal="center" vertical="center" wrapText="1"/>
      <protection hidden="1"/>
    </xf>
    <xf numFmtId="0" fontId="25" fillId="24" borderId="43" xfId="40" applyFont="1" applyFill="1" applyBorder="1" applyAlignment="1" applyProtection="1">
      <alignment horizontal="center" vertical="center" wrapText="1"/>
      <protection hidden="1"/>
    </xf>
    <xf numFmtId="0" fontId="24" fillId="24" borderId="85" xfId="40" applyFont="1" applyFill="1" applyBorder="1" applyAlignment="1" applyProtection="1">
      <alignment horizontal="left" vertical="top" wrapText="1"/>
      <protection hidden="1"/>
    </xf>
    <xf numFmtId="0" fontId="24" fillId="24" borderId="73" xfId="40" applyFont="1" applyFill="1" applyBorder="1" applyAlignment="1" applyProtection="1">
      <alignment horizontal="left" vertical="top" wrapText="1"/>
      <protection hidden="1"/>
    </xf>
    <xf numFmtId="0" fontId="24" fillId="24" borderId="43" xfId="40" applyFont="1" applyFill="1" applyBorder="1" applyAlignment="1" applyProtection="1">
      <alignment horizontal="left" vertical="top" wrapText="1"/>
      <protection hidden="1"/>
    </xf>
    <xf numFmtId="0" fontId="185" fillId="24" borderId="73" xfId="40" applyFont="1" applyFill="1" applyBorder="1" applyAlignment="1" applyProtection="1">
      <alignment horizontal="center" vertical="center" wrapText="1"/>
      <protection hidden="1"/>
    </xf>
    <xf numFmtId="0" fontId="185" fillId="24" borderId="43" xfId="40" applyFont="1" applyFill="1" applyBorder="1" applyAlignment="1" applyProtection="1">
      <alignment horizontal="center" vertical="center" wrapText="1"/>
      <protection hidden="1"/>
    </xf>
    <xf numFmtId="0" fontId="63" fillId="26" borderId="61" xfId="41" applyFont="1" applyFill="1" applyBorder="1" applyAlignment="1" applyProtection="1">
      <alignment horizontal="left" vertical="center"/>
      <protection hidden="1"/>
    </xf>
    <xf numFmtId="0" fontId="7" fillId="26" borderId="62" xfId="41" applyFill="1" applyBorder="1" applyAlignment="1" applyProtection="1">
      <alignment horizontal="left" vertical="center"/>
      <protection hidden="1"/>
    </xf>
    <xf numFmtId="0" fontId="7" fillId="26" borderId="64" xfId="41" applyFill="1" applyBorder="1" applyAlignment="1" applyProtection="1">
      <alignment horizontal="left" vertical="center"/>
      <protection hidden="1"/>
    </xf>
    <xf numFmtId="0" fontId="51" fillId="24" borderId="61" xfId="42" applyFont="1" applyFill="1" applyBorder="1" applyAlignment="1" applyProtection="1">
      <alignment horizontal="left"/>
      <protection locked="0"/>
    </xf>
    <xf numFmtId="0" fontId="51" fillId="24" borderId="80" xfId="42" applyFont="1" applyFill="1" applyBorder="1" applyAlignment="1" applyProtection="1">
      <alignment horizontal="left"/>
      <protection locked="0"/>
    </xf>
    <xf numFmtId="0" fontId="51" fillId="24" borderId="117" xfId="42" applyFont="1" applyFill="1" applyBorder="1" applyAlignment="1" applyProtection="1">
      <alignment horizontal="left"/>
      <protection locked="0"/>
    </xf>
    <xf numFmtId="0" fontId="51" fillId="24" borderId="81" xfId="42" applyFont="1" applyFill="1" applyBorder="1" applyAlignment="1" applyProtection="1">
      <alignment horizontal="left"/>
      <protection locked="0"/>
    </xf>
    <xf numFmtId="0" fontId="51" fillId="24" borderId="51" xfId="42" applyFont="1" applyFill="1" applyBorder="1" applyAlignment="1" applyProtection="1">
      <alignment horizontal="left" vertical="top" wrapText="1"/>
      <protection locked="0"/>
    </xf>
    <xf numFmtId="0" fontId="51" fillId="24" borderId="52" xfId="42" applyFont="1" applyFill="1" applyBorder="1" applyAlignment="1" applyProtection="1">
      <alignment horizontal="left" vertical="top" wrapText="1"/>
      <protection locked="0"/>
    </xf>
    <xf numFmtId="0" fontId="68" fillId="26" borderId="61" xfId="42" applyFont="1" applyFill="1" applyBorder="1" applyAlignment="1">
      <alignment horizontal="center"/>
    </xf>
    <xf numFmtId="0" fontId="0" fillId="26" borderId="64" xfId="0" applyFill="1" applyBorder="1" applyAlignment="1">
      <alignment horizontal="center"/>
    </xf>
    <xf numFmtId="0" fontId="0" fillId="26" borderId="62" xfId="0" applyFill="1" applyBorder="1" applyAlignment="1">
      <alignment horizontal="center"/>
    </xf>
    <xf numFmtId="0" fontId="25" fillId="17" borderId="18" xfId="40" applyFont="1" applyFill="1" applyBorder="1" applyAlignment="1" applyProtection="1">
      <alignment horizontal="left" vertical="top" wrapText="1"/>
      <protection hidden="1"/>
    </xf>
    <xf numFmtId="0" fontId="9" fillId="17" borderId="10" xfId="0" applyFont="1" applyFill="1" applyBorder="1" applyAlignment="1">
      <alignment horizontal="left" vertical="top" wrapText="1"/>
    </xf>
    <xf numFmtId="0" fontId="24" fillId="17" borderId="61" xfId="40" applyFont="1" applyFill="1" applyBorder="1" applyAlignment="1" applyProtection="1">
      <alignment horizontal="left" vertical="top" wrapText="1"/>
      <protection hidden="1"/>
    </xf>
    <xf numFmtId="0" fontId="16" fillId="23" borderId="0" xfId="48" applyNumberFormat="1" applyFont="1" applyFill="1" applyBorder="1" applyAlignment="1" applyProtection="1">
      <alignment horizontal="center" vertical="top" wrapText="1"/>
      <protection hidden="1"/>
    </xf>
    <xf numFmtId="0" fontId="16" fillId="23" borderId="0" xfId="41" applyFont="1" applyFill="1" applyBorder="1" applyAlignment="1" applyProtection="1">
      <alignment horizontal="center" vertical="top" wrapText="1"/>
      <protection hidden="1"/>
    </xf>
    <xf numFmtId="0" fontId="51" fillId="26" borderId="18" xfId="41" applyFont="1" applyFill="1" applyBorder="1" applyAlignment="1" applyProtection="1">
      <alignment horizontal="left" vertical="center" wrapText="1"/>
      <protection hidden="1"/>
    </xf>
    <xf numFmtId="0" fontId="7" fillId="23" borderId="10" xfId="42" applyFont="1" applyFill="1" applyBorder="1" applyAlignment="1" applyProtection="1">
      <alignment horizontal="center" vertical="center"/>
      <protection hidden="1"/>
    </xf>
    <xf numFmtId="0" fontId="51" fillId="26" borderId="13" xfId="41" applyFont="1" applyFill="1" applyBorder="1" applyAlignment="1" applyProtection="1">
      <alignment horizontal="left" vertical="center" wrapText="1"/>
      <protection hidden="1"/>
    </xf>
    <xf numFmtId="0" fontId="51" fillId="26" borderId="44" xfId="41" applyFont="1" applyFill="1" applyBorder="1" applyAlignment="1" applyProtection="1">
      <alignment horizontal="left" vertical="center" wrapText="1"/>
      <protection hidden="1"/>
    </xf>
    <xf numFmtId="0" fontId="51" fillId="26" borderId="54" xfId="41" applyFont="1" applyFill="1" applyBorder="1" applyAlignment="1" applyProtection="1">
      <alignment horizontal="center" vertical="center"/>
      <protection hidden="1"/>
    </xf>
    <xf numFmtId="0" fontId="51" fillId="26" borderId="125" xfId="41" applyFont="1" applyFill="1" applyBorder="1" applyAlignment="1" applyProtection="1">
      <alignment horizontal="center" vertical="center"/>
      <protection hidden="1"/>
    </xf>
    <xf numFmtId="0" fontId="51" fillId="26" borderId="49" xfId="41" applyFont="1" applyFill="1" applyBorder="1" applyAlignment="1" applyProtection="1">
      <alignment horizontal="center" vertical="center"/>
      <protection hidden="1"/>
    </xf>
    <xf numFmtId="0" fontId="51" fillId="26" borderId="82" xfId="41" applyFont="1" applyFill="1" applyBorder="1" applyAlignment="1" applyProtection="1">
      <alignment horizontal="center" vertical="center"/>
      <protection hidden="1"/>
    </xf>
    <xf numFmtId="0" fontId="51" fillId="26" borderId="10" xfId="41" applyFont="1" applyFill="1" applyBorder="1" applyAlignment="1" applyProtection="1">
      <alignment horizontal="left" vertical="center"/>
      <protection hidden="1"/>
    </xf>
    <xf numFmtId="0" fontId="16" fillId="23" borderId="13" xfId="42" applyFont="1" applyFill="1" applyBorder="1" applyAlignment="1" applyProtection="1">
      <alignment horizontal="center" vertical="top" wrapText="1"/>
      <protection hidden="1"/>
    </xf>
    <xf numFmtId="0" fontId="16" fillId="23" borderId="44" xfId="42" applyFont="1" applyFill="1" applyBorder="1" applyAlignment="1" applyProtection="1">
      <alignment horizontal="center" vertical="top" wrapText="1"/>
      <protection hidden="1"/>
    </xf>
    <xf numFmtId="0" fontId="16" fillId="23" borderId="14" xfId="42" applyFont="1" applyFill="1" applyBorder="1" applyAlignment="1" applyProtection="1">
      <alignment horizontal="center" vertical="top" wrapText="1"/>
      <protection hidden="1"/>
    </xf>
    <xf numFmtId="0" fontId="51" fillId="26" borderId="13" xfId="42" applyFont="1" applyFill="1" applyBorder="1" applyAlignment="1" applyProtection="1">
      <alignment horizontal="center" vertical="center" wrapText="1"/>
      <protection hidden="1"/>
    </xf>
    <xf numFmtId="0" fontId="51" fillId="26" borderId="18" xfId="42" applyFont="1" applyFill="1" applyBorder="1" applyAlignment="1" applyProtection="1">
      <alignment horizontal="center" vertical="center" wrapText="1"/>
      <protection hidden="1"/>
    </xf>
    <xf numFmtId="0" fontId="51" fillId="26" borderId="44" xfId="42" applyFont="1" applyFill="1" applyBorder="1" applyAlignment="1" applyProtection="1">
      <alignment horizontal="center" vertical="center" wrapText="1"/>
      <protection hidden="1"/>
    </xf>
    <xf numFmtId="0" fontId="51" fillId="26" borderId="10" xfId="42" applyFont="1" applyFill="1" applyBorder="1" applyAlignment="1" applyProtection="1">
      <alignment horizontal="center" vertical="center" wrapText="1"/>
      <protection hidden="1"/>
    </xf>
    <xf numFmtId="9" fontId="51" fillId="26" borderId="14" xfId="42" applyNumberFormat="1" applyFont="1" applyFill="1" applyBorder="1" applyAlignment="1" applyProtection="1">
      <alignment horizontal="center" vertical="center" wrapText="1"/>
      <protection hidden="1"/>
    </xf>
    <xf numFmtId="9" fontId="51" fillId="26" borderId="19" xfId="42" applyNumberFormat="1" applyFont="1" applyFill="1" applyBorder="1" applyAlignment="1" applyProtection="1">
      <alignment horizontal="center" vertical="center" wrapText="1"/>
      <protection hidden="1"/>
    </xf>
    <xf numFmtId="0" fontId="51" fillId="23" borderId="0" xfId="41" applyFont="1" applyFill="1" applyBorder="1" applyAlignment="1" applyProtection="1">
      <alignment horizontal="center" vertical="center"/>
      <protection hidden="1"/>
    </xf>
    <xf numFmtId="0" fontId="55" fillId="26" borderId="18" xfId="42" applyFont="1" applyFill="1" applyBorder="1" applyAlignment="1" applyProtection="1">
      <alignment horizontal="left" vertical="center" wrapText="1"/>
      <protection hidden="1"/>
    </xf>
    <xf numFmtId="0" fontId="55" fillId="26" borderId="10" xfId="42" applyFont="1" applyFill="1" applyBorder="1" applyAlignment="1" applyProtection="1">
      <alignment horizontal="left" vertical="center" wrapText="1"/>
      <protection hidden="1"/>
    </xf>
    <xf numFmtId="0" fontId="7" fillId="23" borderId="61" xfId="0" applyFont="1" applyFill="1" applyBorder="1" applyAlignment="1" applyProtection="1">
      <alignment horizontal="left" vertical="top" wrapText="1"/>
      <protection hidden="1"/>
    </xf>
    <xf numFmtId="0" fontId="7" fillId="23" borderId="64" xfId="0" applyFont="1" applyFill="1" applyBorder="1" applyAlignment="1" applyProtection="1">
      <alignment horizontal="left" vertical="top" wrapText="1"/>
      <protection hidden="1"/>
    </xf>
    <xf numFmtId="0" fontId="7" fillId="23" borderId="61" xfId="0" applyFont="1" applyFill="1" applyBorder="1" applyAlignment="1" applyProtection="1">
      <alignment horizontal="left" vertical="top"/>
      <protection hidden="1"/>
    </xf>
    <xf numFmtId="0" fontId="7" fillId="23" borderId="64" xfId="0" applyFont="1" applyFill="1" applyBorder="1" applyAlignment="1" applyProtection="1">
      <alignment horizontal="left" vertical="top"/>
      <protection hidden="1"/>
    </xf>
    <xf numFmtId="0" fontId="7" fillId="23" borderId="0" xfId="0" applyFont="1" applyFill="1" applyBorder="1" applyAlignment="1" applyProtection="1">
      <alignment horizontal="left" vertical="top"/>
      <protection hidden="1"/>
    </xf>
    <xf numFmtId="0" fontId="16" fillId="23" borderId="110" xfId="42" applyFont="1" applyFill="1" applyBorder="1" applyAlignment="1" applyProtection="1">
      <alignment horizontal="center" vertical="center" wrapText="1"/>
      <protection hidden="1"/>
    </xf>
    <xf numFmtId="0" fontId="16" fillId="23" borderId="114" xfId="42" applyFont="1" applyFill="1" applyBorder="1" applyAlignment="1" applyProtection="1">
      <alignment horizontal="center" vertical="center" wrapText="1"/>
      <protection hidden="1"/>
    </xf>
    <xf numFmtId="0" fontId="51" fillId="26" borderId="18" xfId="42" applyFont="1" applyFill="1" applyBorder="1" applyAlignment="1" applyProtection="1">
      <alignment horizontal="left" vertical="center" wrapText="1"/>
      <protection hidden="1"/>
    </xf>
    <xf numFmtId="0" fontId="51" fillId="26" borderId="10" xfId="42" applyFont="1" applyFill="1" applyBorder="1" applyAlignment="1" applyProtection="1">
      <alignment horizontal="left" vertical="center" wrapText="1"/>
      <protection hidden="1"/>
    </xf>
    <xf numFmtId="0" fontId="16" fillId="23" borderId="0" xfId="42" applyFont="1" applyFill="1" applyBorder="1" applyAlignment="1" applyProtection="1">
      <alignment horizontal="center" vertical="top" wrapText="1"/>
      <protection hidden="1"/>
    </xf>
    <xf numFmtId="0" fontId="51" fillId="26" borderId="14" xfId="41" applyFont="1" applyFill="1" applyBorder="1" applyAlignment="1" applyProtection="1">
      <alignment horizontal="left" vertical="center" wrapText="1"/>
      <protection hidden="1"/>
    </xf>
    <xf numFmtId="0" fontId="49" fillId="23" borderId="0" xfId="42" quotePrefix="1" applyFont="1" applyFill="1" applyBorder="1" applyAlignment="1" applyProtection="1">
      <alignment horizontal="left" vertical="center"/>
      <protection hidden="1"/>
    </xf>
    <xf numFmtId="0" fontId="49" fillId="23" borderId="0" xfId="42" applyFont="1" applyFill="1" applyBorder="1" applyAlignment="1" applyProtection="1">
      <alignment horizontal="left" vertical="center"/>
      <protection hidden="1"/>
    </xf>
    <xf numFmtId="0" fontId="68" fillId="23" borderId="0" xfId="42" applyFont="1" applyFill="1" applyBorder="1" applyAlignment="1" applyProtection="1">
      <alignment horizontal="left"/>
      <protection hidden="1"/>
    </xf>
    <xf numFmtId="0" fontId="55" fillId="23" borderId="0" xfId="42" applyFont="1" applyFill="1" applyBorder="1" applyAlignment="1" applyProtection="1">
      <alignment horizontal="left" vertical="center" wrapText="1"/>
      <protection hidden="1"/>
    </xf>
    <xf numFmtId="0" fontId="51" fillId="23" borderId="0" xfId="42" applyFont="1" applyFill="1" applyBorder="1" applyAlignment="1" applyProtection="1">
      <alignment horizontal="left" vertical="center"/>
      <protection hidden="1"/>
    </xf>
    <xf numFmtId="0" fontId="51" fillId="26" borderId="84" xfId="41" applyFont="1" applyFill="1" applyBorder="1" applyAlignment="1" applyProtection="1">
      <alignment horizontal="left" vertical="center" wrapText="1"/>
      <protection hidden="1"/>
    </xf>
    <xf numFmtId="0" fontId="51" fillId="26" borderId="85" xfId="41" applyFont="1" applyFill="1" applyBorder="1" applyAlignment="1" applyProtection="1">
      <alignment horizontal="left" vertical="center" wrapText="1"/>
      <protection hidden="1"/>
    </xf>
    <xf numFmtId="0" fontId="51" fillId="26" borderId="86" xfId="41" applyFont="1" applyFill="1" applyBorder="1" applyAlignment="1" applyProtection="1">
      <alignment horizontal="left" vertical="center" wrapText="1"/>
      <protection hidden="1"/>
    </xf>
    <xf numFmtId="0" fontId="51" fillId="26" borderId="45" xfId="42" applyFont="1" applyFill="1" applyBorder="1" applyAlignment="1" applyProtection="1">
      <alignment vertical="top" wrapText="1"/>
      <protection hidden="1"/>
    </xf>
    <xf numFmtId="0" fontId="5" fillId="26" borderId="46" xfId="0" applyFont="1" applyFill="1" applyBorder="1" applyAlignment="1" applyProtection="1">
      <alignment vertical="top" wrapText="1"/>
    </xf>
    <xf numFmtId="0" fontId="24" fillId="17" borderId="85" xfId="0" applyFont="1" applyFill="1" applyBorder="1" applyAlignment="1" applyProtection="1">
      <alignment horizontal="center" vertical="center" wrapText="1"/>
      <protection hidden="1"/>
    </xf>
    <xf numFmtId="0" fontId="0" fillId="0" borderId="73" xfId="0" applyBorder="1" applyAlignment="1">
      <alignment horizontal="center" vertical="center" wrapText="1"/>
    </xf>
    <xf numFmtId="0" fontId="0" fillId="0" borderId="112" xfId="0" applyBorder="1" applyAlignment="1">
      <alignment horizontal="center" vertical="center" wrapText="1"/>
    </xf>
    <xf numFmtId="0" fontId="18" fillId="23" borderId="0" xfId="40" applyFont="1" applyFill="1" applyAlignment="1" applyProtection="1">
      <alignment horizontal="left" vertical="top" wrapText="1"/>
      <protection hidden="1"/>
    </xf>
    <xf numFmtId="0" fontId="16" fillId="17" borderId="37" xfId="0" applyFont="1" applyFill="1" applyBorder="1" applyAlignment="1" applyProtection="1">
      <alignment horizontal="center" wrapText="1"/>
      <protection hidden="1"/>
    </xf>
    <xf numFmtId="0" fontId="5" fillId="0" borderId="41" xfId="0" applyFont="1" applyBorder="1" applyAlignment="1">
      <alignment horizontal="center" wrapText="1"/>
    </xf>
    <xf numFmtId="0" fontId="121" fillId="17" borderId="36" xfId="0" applyFont="1" applyFill="1" applyBorder="1" applyAlignment="1" applyProtection="1">
      <alignment vertical="center" wrapText="1"/>
      <protection hidden="1"/>
    </xf>
    <xf numFmtId="0" fontId="126" fillId="17" borderId="60" xfId="0" applyFont="1" applyFill="1" applyBorder="1" applyAlignment="1" applyProtection="1">
      <alignment vertical="center" wrapText="1"/>
      <protection hidden="1"/>
    </xf>
    <xf numFmtId="0" fontId="126" fillId="17" borderId="37" xfId="0" applyFont="1" applyFill="1" applyBorder="1" applyAlignment="1" applyProtection="1">
      <alignment vertical="center" wrapText="1"/>
      <protection hidden="1"/>
    </xf>
    <xf numFmtId="0" fontId="143" fillId="0" borderId="38" xfId="0" applyFont="1" applyBorder="1" applyAlignment="1">
      <alignment wrapText="1"/>
    </xf>
    <xf numFmtId="0" fontId="143" fillId="0" borderId="0" xfId="0" applyFont="1" applyBorder="1" applyAlignment="1">
      <alignment wrapText="1"/>
    </xf>
    <xf numFmtId="0" fontId="143" fillId="0" borderId="39" xfId="0" applyFont="1" applyBorder="1" applyAlignment="1">
      <alignment wrapText="1"/>
    </xf>
    <xf numFmtId="0" fontId="143" fillId="0" borderId="38" xfId="0" applyFont="1" applyBorder="1" applyAlignment="1"/>
    <xf numFmtId="0" fontId="143" fillId="0" borderId="0" xfId="0" applyFont="1" applyBorder="1" applyAlignment="1"/>
    <xf numFmtId="0" fontId="143" fillId="0" borderId="39" xfId="0" applyFont="1" applyBorder="1" applyAlignment="1"/>
    <xf numFmtId="0" fontId="143" fillId="0" borderId="40" xfId="0" applyFont="1" applyBorder="1" applyAlignment="1"/>
    <xf numFmtId="0" fontId="143" fillId="0" borderId="32" xfId="0" applyFont="1" applyBorder="1" applyAlignment="1"/>
    <xf numFmtId="0" fontId="143" fillId="0" borderId="41" xfId="0" applyFont="1" applyBorder="1" applyAlignment="1"/>
    <xf numFmtId="0" fontId="16" fillId="17" borderId="71" xfId="0" applyFont="1" applyFill="1" applyBorder="1" applyAlignment="1" applyProtection="1">
      <alignment horizontal="center" wrapText="1"/>
      <protection hidden="1"/>
    </xf>
    <xf numFmtId="0" fontId="5" fillId="0" borderId="43" xfId="0" applyFont="1" applyBorder="1" applyAlignment="1">
      <alignment horizontal="center" wrapText="1"/>
    </xf>
    <xf numFmtId="0" fontId="71" fillId="23" borderId="0" xfId="0" applyFont="1" applyFill="1" applyAlignment="1" applyProtection="1">
      <alignment horizontal="left" vertical="center" wrapText="1"/>
      <protection hidden="1"/>
    </xf>
    <xf numFmtId="0" fontId="0" fillId="23" borderId="0" xfId="0" applyFill="1" applyAlignment="1">
      <alignment wrapText="1"/>
    </xf>
    <xf numFmtId="0" fontId="13" fillId="0" borderId="0" xfId="42" applyFont="1" applyFill="1" applyAlignment="1">
      <alignment horizontal="left"/>
    </xf>
    <xf numFmtId="0" fontId="7" fillId="0" borderId="0" xfId="42" applyFont="1" applyFill="1" applyAlignment="1">
      <alignment horizontal="right"/>
    </xf>
  </cellXfs>
  <cellStyles count="141">
    <cellStyle name="20% - Accent1" xfId="1" builtinId="30" customBuiltin="1"/>
    <cellStyle name="20% - Accent1 2" xfId="64"/>
    <cellStyle name="20% - Accent2" xfId="2" builtinId="34" customBuiltin="1"/>
    <cellStyle name="20% - Accent2 2" xfId="90"/>
    <cellStyle name="20% - Accent3" xfId="3" builtinId="38" customBuiltin="1"/>
    <cellStyle name="20% - Accent3 2" xfId="97"/>
    <cellStyle name="20% - Accent4" xfId="4" builtinId="42" customBuiltin="1"/>
    <cellStyle name="20% - Accent4 2" xfId="69"/>
    <cellStyle name="20% - Accent5" xfId="5" builtinId="46" customBuiltin="1"/>
    <cellStyle name="20% - Accent5 2" xfId="66"/>
    <cellStyle name="20% - Accent6" xfId="6" builtinId="50" customBuiltin="1"/>
    <cellStyle name="20% - Accent6 2" xfId="93"/>
    <cellStyle name="40% - Accent1" xfId="7" builtinId="31" customBuiltin="1"/>
    <cellStyle name="40% - Accent1 2" xfId="71"/>
    <cellStyle name="40% - Accent2" xfId="8" builtinId="35" customBuiltin="1"/>
    <cellStyle name="40% - Accent2 2" xfId="109"/>
    <cellStyle name="40% - Accent3" xfId="9" builtinId="39" customBuiltin="1"/>
    <cellStyle name="40% - Accent3 2" xfId="65"/>
    <cellStyle name="40% - Accent4" xfId="10" builtinId="43" customBuiltin="1"/>
    <cellStyle name="40% - Accent4 2" xfId="72"/>
    <cellStyle name="40% - Accent5" xfId="11" builtinId="47" customBuiltin="1"/>
    <cellStyle name="40% - Accent5 2" xfId="63"/>
    <cellStyle name="40% - Accent6" xfId="12" builtinId="51" customBuiltin="1"/>
    <cellStyle name="40% - Accent6 2" xfId="107"/>
    <cellStyle name="60% - Accent1" xfId="13" builtinId="32" customBuiltin="1"/>
    <cellStyle name="60% - Accent1 2" xfId="108"/>
    <cellStyle name="60% - Accent2" xfId="14" builtinId="36" customBuiltin="1"/>
    <cellStyle name="60% - Accent2 2" xfId="87"/>
    <cellStyle name="60% - Accent3" xfId="15" builtinId="40" customBuiltin="1"/>
    <cellStyle name="60% - Accent3 2" xfId="91"/>
    <cellStyle name="60% - Accent4" xfId="16" builtinId="44" customBuiltin="1"/>
    <cellStyle name="60% - Accent4 2" xfId="104"/>
    <cellStyle name="60% - Accent5" xfId="17" builtinId="48" customBuiltin="1"/>
    <cellStyle name="60% - Accent5 2" xfId="67"/>
    <cellStyle name="60% - Accent6" xfId="18" builtinId="52" customBuiltin="1"/>
    <cellStyle name="60% - Accent6 2" xfId="73"/>
    <cellStyle name="Accent1" xfId="19" builtinId="29" customBuiltin="1"/>
    <cellStyle name="Accent1 2" xfId="74"/>
    <cellStyle name="Accent2" xfId="20" builtinId="33" customBuiltin="1"/>
    <cellStyle name="Accent2 2" xfId="75"/>
    <cellStyle name="Accent3" xfId="21" builtinId="37" customBuiltin="1"/>
    <cellStyle name="Accent3 2" xfId="76"/>
    <cellStyle name="Accent4" xfId="22" builtinId="41" customBuiltin="1"/>
    <cellStyle name="Accent4 2" xfId="77"/>
    <cellStyle name="Accent5" xfId="23" builtinId="45" customBuiltin="1"/>
    <cellStyle name="Accent5 2" xfId="78"/>
    <cellStyle name="Accent6" xfId="24" builtinId="49" customBuiltin="1"/>
    <cellStyle name="Accent6 2" xfId="79"/>
    <cellStyle name="Bad" xfId="25" builtinId="27" customBuiltin="1"/>
    <cellStyle name="Bad 2" xfId="80"/>
    <cellStyle name="Calculation" xfId="26" builtinId="22" customBuiltin="1"/>
    <cellStyle name="Calculation 2" xfId="81"/>
    <cellStyle name="Check Cell" xfId="27" builtinId="23" customBuiltin="1"/>
    <cellStyle name="Check Cell 2" xfId="106"/>
    <cellStyle name="Comma" xfId="28" builtinId="3"/>
    <cellStyle name="Comma 2" xfId="84"/>
    <cellStyle name="Explanatory Text" xfId="29" builtinId="53" customBuiltin="1"/>
    <cellStyle name="Explanatory Text 2" xfId="103"/>
    <cellStyle name="Good" xfId="30" builtinId="26" customBuiltin="1"/>
    <cellStyle name="Good 2" xfId="96"/>
    <cellStyle name="Heading 1" xfId="31" builtinId="16" customBuiltin="1"/>
    <cellStyle name="Heading 1 2" xfId="105"/>
    <cellStyle name="Heading 2" xfId="32" builtinId="17" customBuiltin="1"/>
    <cellStyle name="Heading 2 2" xfId="88"/>
    <cellStyle name="Heading 3" xfId="33" builtinId="18" customBuiltin="1"/>
    <cellStyle name="Heading 3 2" xfId="95"/>
    <cellStyle name="Heading 4" xfId="34" builtinId="19" customBuiltin="1"/>
    <cellStyle name="Heading 4 2" xfId="86"/>
    <cellStyle name="Hyperlink" xfId="35" builtinId="8"/>
    <cellStyle name="Hyperlink 2" xfId="56"/>
    <cellStyle name="Input" xfId="36" builtinId="20" customBuiltin="1"/>
    <cellStyle name="Input 2" xfId="82"/>
    <cellStyle name="Linked Cell" xfId="37" builtinId="24" customBuiltin="1"/>
    <cellStyle name="Linked Cell 2" xfId="70"/>
    <cellStyle name="Neutral" xfId="38" builtinId="28" customBuiltin="1"/>
    <cellStyle name="Neutral 2" xfId="85"/>
    <cellStyle name="Normal" xfId="0" builtinId="0"/>
    <cellStyle name="Normal 2" xfId="52"/>
    <cellStyle name="Normal 2 2" xfId="60"/>
    <cellStyle name="Normal 2 2 2" xfId="101"/>
    <cellStyle name="Normal 2 2 2 2" xfId="128"/>
    <cellStyle name="Normal 2 2 3" xfId="114"/>
    <cellStyle name="Normal 2 2 3 2" xfId="133"/>
    <cellStyle name="Normal 2 2 4" xfId="118"/>
    <cellStyle name="Normal 2 2 4 2" xfId="137"/>
    <cellStyle name="Normal 2 2 5" xfId="123"/>
    <cellStyle name="Normal 2 3" xfId="139"/>
    <cellStyle name="Normal 2 4" xfId="55"/>
    <cellStyle name="Normal 3" xfId="53"/>
    <cellStyle name="Normal 3 10" xfId="57"/>
    <cellStyle name="Normal 3 2" xfId="58"/>
    <cellStyle name="Normal 3 2 2" xfId="99"/>
    <cellStyle name="Normal 3 2 2 2" xfId="126"/>
    <cellStyle name="Normal 3 2 3" xfId="112"/>
    <cellStyle name="Normal 3 2 3 2" xfId="131"/>
    <cellStyle name="Normal 3 2 4" xfId="121"/>
    <cellStyle name="Normal 3 3" xfId="59"/>
    <cellStyle name="Normal 3 3 2" xfId="100"/>
    <cellStyle name="Normal 3 3 2 2" xfId="127"/>
    <cellStyle name="Normal 3 3 3" xfId="113"/>
    <cellStyle name="Normal 3 3 3 2" xfId="132"/>
    <cellStyle name="Normal 3 3 4" xfId="117"/>
    <cellStyle name="Normal 3 3 4 2" xfId="136"/>
    <cellStyle name="Normal 3 3 5" xfId="122"/>
    <cellStyle name="Normal 3 4" xfId="62"/>
    <cellStyle name="Normal 3 5" xfId="98"/>
    <cellStyle name="Normal 3 5 2" xfId="125"/>
    <cellStyle name="Normal 3 6" xfId="111"/>
    <cellStyle name="Normal 3 6 2" xfId="130"/>
    <cellStyle name="Normal 3 7" xfId="116"/>
    <cellStyle name="Normal 3 7 2" xfId="135"/>
    <cellStyle name="Normal 3 8" xfId="140"/>
    <cellStyle name="Normal 3 9" xfId="120"/>
    <cellStyle name="Normal 4" xfId="54"/>
    <cellStyle name="Normal_Green Star - Office Design v3 Energy Calculator_for use in excel for TSC" xfId="39"/>
    <cellStyle name="Normal_healthcare edit.xls" xfId="40"/>
    <cellStyle name="Normal_NEW Office Water Calculator from GHD changed_d" xfId="41"/>
    <cellStyle name="Normal_office as built edit.xls" xfId="42"/>
    <cellStyle name="Normal_office interiors edit.xls" xfId="43"/>
    <cellStyle name="Normal_rainfall data" xfId="44"/>
    <cellStyle name="Normal_shopping centre design edit.xls" xfId="45"/>
    <cellStyle name="Note" xfId="46" builtinId="10" customBuiltin="1"/>
    <cellStyle name="Note 2" xfId="89"/>
    <cellStyle name="Output" xfId="47" builtinId="21" customBuiltin="1"/>
    <cellStyle name="Output 2" xfId="110"/>
    <cellStyle name="Percent" xfId="48" builtinId="5"/>
    <cellStyle name="Percent 2" xfId="61"/>
    <cellStyle name="Percent 2 2" xfId="102"/>
    <cellStyle name="Percent 2 2 2" xfId="129"/>
    <cellStyle name="Percent 2 3" xfId="115"/>
    <cellStyle name="Percent 2 3 2" xfId="134"/>
    <cellStyle name="Percent 2 4" xfId="119"/>
    <cellStyle name="Percent 2 4 2" xfId="138"/>
    <cellStyle name="Percent 2 5" xfId="124"/>
    <cellStyle name="Percent 3" xfId="92"/>
    <cellStyle name="Title" xfId="49" builtinId="15" customBuiltin="1"/>
    <cellStyle name="Title 2" xfId="94"/>
    <cellStyle name="Total" xfId="50" builtinId="25" customBuiltin="1"/>
    <cellStyle name="Total 2" xfId="68"/>
    <cellStyle name="Warning Text" xfId="51" builtinId="11" customBuiltin="1"/>
    <cellStyle name="Warning Text 2" xfId="83"/>
  </cellStyles>
  <dxfs count="56">
    <dxf>
      <fill>
        <patternFill>
          <bgColor indexed="51"/>
        </patternFill>
      </fill>
    </dxf>
    <dxf>
      <font>
        <b/>
        <i val="0"/>
        <condense val="0"/>
        <extend val="0"/>
        <color indexed="10"/>
      </font>
    </dxf>
    <dxf>
      <font>
        <b/>
        <i val="0"/>
        <condense val="0"/>
        <extend val="0"/>
        <color indexed="10"/>
      </font>
    </dxf>
    <dxf>
      <font>
        <condense val="0"/>
        <extend val="0"/>
        <color indexed="55"/>
      </font>
    </dxf>
    <dxf>
      <font>
        <condense val="0"/>
        <extend val="0"/>
        <color indexed="9"/>
      </font>
    </dxf>
    <dxf>
      <font>
        <condense val="0"/>
        <extend val="0"/>
        <color indexed="55"/>
      </font>
    </dxf>
    <dxf>
      <fill>
        <patternFill>
          <bgColor indexed="14"/>
        </patternFill>
      </fill>
    </dxf>
    <dxf>
      <fill>
        <patternFill>
          <bgColor indexed="10"/>
        </patternFill>
      </fill>
    </dxf>
    <dxf>
      <font>
        <condense val="0"/>
        <extend val="0"/>
        <color indexed="55"/>
      </font>
    </dxf>
    <dxf>
      <font>
        <condense val="0"/>
        <extend val="0"/>
        <color indexed="55"/>
      </font>
    </dxf>
    <dxf>
      <font>
        <condense val="0"/>
        <extend val="0"/>
        <color indexed="55"/>
      </font>
    </dxf>
    <dxf>
      <font>
        <condense val="0"/>
        <extend val="0"/>
        <color indexed="22"/>
      </font>
    </dxf>
    <dxf>
      <font>
        <condense val="0"/>
        <extend val="0"/>
        <color indexed="9"/>
      </font>
    </dxf>
    <dxf>
      <font>
        <condense val="0"/>
        <extend val="0"/>
        <color indexed="55"/>
      </font>
    </dxf>
    <dxf>
      <font>
        <condense val="0"/>
        <extend val="0"/>
        <color auto="1"/>
      </font>
    </dxf>
    <dxf>
      <font>
        <condense val="0"/>
        <extend val="0"/>
        <color indexed="9"/>
      </font>
    </dxf>
    <dxf>
      <font>
        <condense val="0"/>
        <extend val="0"/>
        <color indexed="45"/>
      </font>
    </dxf>
    <dxf>
      <font>
        <condense val="0"/>
        <extend val="0"/>
        <color indexed="55"/>
      </font>
    </dxf>
    <dxf>
      <font>
        <condense val="0"/>
        <extend val="0"/>
        <color indexed="55"/>
      </font>
    </dxf>
    <dxf>
      <font>
        <condense val="0"/>
        <extend val="0"/>
        <color indexed="9"/>
      </font>
    </dxf>
    <dxf>
      <font>
        <condense val="0"/>
        <extend val="0"/>
        <color indexed="55"/>
      </font>
    </dxf>
    <dxf>
      <fill>
        <patternFill>
          <bgColor indexed="14"/>
        </patternFill>
      </fill>
    </dxf>
    <dxf>
      <fill>
        <patternFill>
          <bgColor indexed="10"/>
        </patternFill>
      </fill>
    </dxf>
    <dxf>
      <fill>
        <patternFill>
          <bgColor indexed="14"/>
        </patternFill>
      </fill>
    </dxf>
    <dxf>
      <fill>
        <patternFill>
          <bgColor indexed="10"/>
        </patternFill>
      </fill>
    </dxf>
    <dxf>
      <font>
        <condense val="0"/>
        <extend val="0"/>
        <color auto="1"/>
      </font>
      <fill>
        <patternFill>
          <bgColor indexed="14"/>
        </patternFill>
      </fill>
    </dxf>
    <dxf>
      <fill>
        <patternFill>
          <bgColor indexed="10"/>
        </patternFill>
      </fill>
    </dxf>
    <dxf>
      <font>
        <condense val="0"/>
        <extend val="0"/>
        <color indexed="9"/>
      </font>
    </dxf>
    <dxf>
      <font>
        <condense val="0"/>
        <extend val="0"/>
        <color indexed="9"/>
      </font>
    </dxf>
    <dxf>
      <font>
        <condense val="0"/>
        <extend val="0"/>
        <color auto="1"/>
      </font>
    </dxf>
    <dxf>
      <font>
        <condense val="0"/>
        <extend val="0"/>
        <color indexed="9"/>
      </font>
    </dxf>
    <dxf>
      <font>
        <condense val="0"/>
        <extend val="0"/>
        <color indexed="55"/>
      </font>
    </dxf>
    <dxf>
      <font>
        <condense val="0"/>
        <extend val="0"/>
        <color indexed="9"/>
      </font>
    </dxf>
    <dxf>
      <font>
        <b/>
        <i val="0"/>
        <condense val="0"/>
        <extend val="0"/>
        <color indexed="10"/>
      </font>
    </dxf>
    <dxf>
      <font>
        <b/>
        <i val="0"/>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22"/>
      </font>
    </dxf>
    <dxf>
      <font>
        <condense val="0"/>
        <extend val="0"/>
        <color indexed="9"/>
      </font>
    </dxf>
    <dxf>
      <font>
        <condense val="0"/>
        <extend val="0"/>
        <color indexed="22"/>
      </font>
    </dxf>
    <dxf>
      <font>
        <condense val="0"/>
        <extend val="0"/>
        <color indexed="9"/>
      </font>
    </dxf>
    <dxf>
      <font>
        <condense val="0"/>
        <extend val="0"/>
        <color indexed="45"/>
      </font>
    </dxf>
    <dxf>
      <font>
        <condense val="0"/>
        <extend val="0"/>
        <color indexed="22"/>
      </font>
    </dxf>
    <dxf>
      <font>
        <condense val="0"/>
        <extend val="0"/>
        <color indexed="9"/>
      </font>
    </dxf>
    <dxf>
      <font>
        <condense val="0"/>
        <extend val="0"/>
        <color indexed="45"/>
      </font>
    </dxf>
    <dxf>
      <font>
        <condense val="0"/>
        <extend val="0"/>
        <color indexed="45"/>
      </font>
    </dxf>
    <dxf>
      <font>
        <condense val="0"/>
        <extend val="0"/>
        <color indexed="14"/>
      </font>
      <fill>
        <patternFill>
          <bgColor indexed="14"/>
        </patternFill>
      </fill>
      <border>
        <left/>
        <right/>
        <top/>
        <bottom/>
      </border>
    </dxf>
    <dxf>
      <font>
        <condense val="0"/>
        <extend val="0"/>
        <color indexed="14"/>
      </font>
      <fill>
        <patternFill>
          <bgColor indexed="14"/>
        </patternFill>
      </fill>
      <border>
        <left/>
        <right/>
        <top/>
        <bottom/>
      </border>
    </dxf>
    <dxf>
      <font>
        <condense val="0"/>
        <extend val="0"/>
        <color indexed="49"/>
      </font>
      <fill>
        <patternFill>
          <bgColor indexed="49"/>
        </patternFill>
      </fill>
      <border>
        <left/>
        <right/>
        <top/>
        <bottom/>
      </border>
    </dxf>
    <dxf>
      <font>
        <condense val="0"/>
        <extend val="0"/>
        <color indexed="49"/>
      </font>
      <fill>
        <patternFill>
          <bgColor indexed="49"/>
        </patternFill>
      </fill>
      <border>
        <left/>
        <right/>
        <top/>
        <bottom/>
      </border>
    </dxf>
    <dxf>
      <font>
        <condense val="0"/>
        <extend val="0"/>
        <color indexed="49"/>
      </font>
      <fill>
        <patternFill>
          <bgColor indexed="49"/>
        </patternFill>
      </fill>
      <border>
        <left/>
        <right/>
        <top/>
        <bottom/>
      </border>
    </dxf>
    <dxf>
      <font>
        <b/>
        <i val="0"/>
        <condense val="0"/>
        <extend val="0"/>
        <color indexed="10"/>
      </font>
    </dxf>
    <dxf>
      <font>
        <condense val="0"/>
        <extend val="0"/>
        <color indexed="49"/>
      </font>
      <fill>
        <patternFill>
          <bgColor indexed="49"/>
        </patternFill>
      </fill>
      <border>
        <left/>
        <right/>
        <top/>
        <bottom/>
      </border>
    </dxf>
    <dxf>
      <font>
        <b/>
        <i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2C3238"/>
      <rgbColor rgb="000000D4"/>
      <rgbColor rgb="00FCF305"/>
      <rgbColor rgb="006EBB1F"/>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9DA927"/>
      <rgbColor rgb="00FFFF99"/>
      <rgbColor rgb="0099CCFF"/>
      <rgbColor rgb="00698F13"/>
      <rgbColor rgb="00CC99FF"/>
      <rgbColor rgb="00FFCC99"/>
      <rgbColor rgb="003366FF"/>
      <rgbColor rgb="0033CCCC"/>
      <rgbColor rgb="00706E16"/>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6969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harts/_rels/chart1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852372583479791"/>
          <c:y val="0.19736842105263158"/>
          <c:w val="0.16168717047451669"/>
          <c:h val="0.60526315789473684"/>
        </c:manualLayout>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cat>
            <c:strRef>
              <c:f>'Potable Water Calculator'!$B$147:$F$149</c:f>
              <c:strCache>
                <c:ptCount val="3"/>
                <c:pt idx="0">
                  <c:v>Rainwater</c:v>
                </c:pt>
                <c:pt idx="1">
                  <c:v>Greywater</c:v>
                </c:pt>
                <c:pt idx="2">
                  <c:v>Blackwater</c:v>
                </c:pt>
              </c:strCache>
            </c:strRef>
          </c:cat>
          <c:val>
            <c:numRef>
              <c:f>'Potable Water Calculator'!$G$147:$G$149</c:f>
              <c:numCache>
                <c:formatCode>0.00</c:formatCode>
                <c:ptCount val="3"/>
                <c:pt idx="0">
                  <c:v>0</c:v>
                </c:pt>
                <c:pt idx="1">
                  <c:v>0</c:v>
                </c:pt>
                <c:pt idx="2">
                  <c:v>0</c:v>
                </c:pt>
              </c:numCache>
            </c:numRef>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cat>
            <c:strRef>
              <c:f>'Potable Water Calculator'!$B$147:$F$149</c:f>
              <c:strCache>
                <c:ptCount val="3"/>
                <c:pt idx="0">
                  <c:v>Rainwater</c:v>
                </c:pt>
                <c:pt idx="1">
                  <c:v>Greywater</c:v>
                </c:pt>
                <c:pt idx="2">
                  <c:v>Blackwater</c:v>
                </c:pt>
              </c:strCache>
            </c:strRef>
          </c:cat>
          <c:val>
            <c:numRef>
              <c:f>'Potable Water Calculator'!$H$147:$H$149</c:f>
              <c:numCache>
                <c:formatCode>0.00</c:formatCode>
                <c:ptCount val="3"/>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147627416520214"/>
          <c:y val="0.11842105263157894"/>
          <c:w val="0.20386643233743407"/>
          <c:h val="0.56578947368421051"/>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75" b="1" i="0" u="none" strike="noStrike" baseline="0">
                <a:solidFill>
                  <a:srgbClr val="000000"/>
                </a:solidFill>
                <a:latin typeface="Verdana"/>
                <a:ea typeface="Verdana"/>
                <a:cs typeface="Verdana"/>
              </a:defRPr>
            </a:pPr>
            <a:r>
              <a:rPr lang="en-ZA"/>
              <a:t>Category Scores (in %)</a:t>
            </a:r>
          </a:p>
        </c:rich>
      </c:tx>
      <c:layout>
        <c:manualLayout>
          <c:xMode val="edge"/>
          <c:yMode val="edge"/>
          <c:x val="0.39166636147225781"/>
          <c:y val="3.0580946612442674E-2"/>
        </c:manualLayout>
      </c:layout>
      <c:overlay val="0"/>
      <c:spPr>
        <a:noFill/>
        <a:ln w="25400">
          <a:noFill/>
        </a:ln>
      </c:spPr>
    </c:title>
    <c:autoTitleDeleted val="0"/>
    <c:plotArea>
      <c:layout>
        <c:manualLayout>
          <c:layoutTarget val="inner"/>
          <c:xMode val="edge"/>
          <c:yMode val="edge"/>
          <c:x val="0.13808149334680839"/>
          <c:y val="0.27912087912087913"/>
          <c:w val="0.82412849186989845"/>
          <c:h val="0.38681318681318683"/>
        </c:manualLayout>
      </c:layout>
      <c:barChart>
        <c:barDir val="col"/>
        <c:grouping val="stacked"/>
        <c:varyColors val="0"/>
        <c:ser>
          <c:idx val="1"/>
          <c:order val="0"/>
          <c:tx>
            <c:strRef>
              <c:f>Calculation!$I$64</c:f>
              <c:strCache>
                <c:ptCount val="1"/>
                <c:pt idx="0">
                  <c:v>Achieved</c:v>
                </c:pt>
              </c:strCache>
            </c:strRef>
          </c:tx>
          <c:spPr>
            <a:solidFill>
              <a:srgbClr val="808080"/>
            </a:solidFill>
            <a:ln w="12700">
              <a:solidFill>
                <a:srgbClr val="333333"/>
              </a:solidFill>
              <a:prstDash val="solid"/>
            </a:ln>
          </c:spPr>
          <c:invertIfNegative val="0"/>
          <c:cat>
            <c:strRef>
              <c:f>Calculation!$G$50:$G$57</c:f>
              <c:strCache>
                <c:ptCount val="8"/>
                <c:pt idx="0">
                  <c:v>Management</c:v>
                </c:pt>
                <c:pt idx="1">
                  <c:v>Indoor Environment Quality</c:v>
                </c:pt>
                <c:pt idx="2">
                  <c:v>Energy</c:v>
                </c:pt>
                <c:pt idx="3">
                  <c:v>Transport</c:v>
                </c:pt>
                <c:pt idx="4">
                  <c:v>Water</c:v>
                </c:pt>
                <c:pt idx="5">
                  <c:v>Materials</c:v>
                </c:pt>
                <c:pt idx="6">
                  <c:v>Land use &amp; Ecology</c:v>
                </c:pt>
                <c:pt idx="7">
                  <c:v>Emissions</c:v>
                </c:pt>
              </c:strCache>
            </c:strRef>
          </c:cat>
          <c:val>
            <c:numRef>
              <c:f>Calculation!$I$50:$I$57</c:f>
              <c:numCache>
                <c:formatCode>0%</c:formatCode>
                <c:ptCount val="8"/>
                <c:pt idx="0">
                  <c:v>0</c:v>
                </c:pt>
                <c:pt idx="1">
                  <c:v>0</c:v>
                </c:pt>
                <c:pt idx="2">
                  <c:v>0</c:v>
                </c:pt>
                <c:pt idx="3">
                  <c:v>0</c:v>
                </c:pt>
                <c:pt idx="4">
                  <c:v>0</c:v>
                </c:pt>
                <c:pt idx="5">
                  <c:v>0</c:v>
                </c:pt>
                <c:pt idx="6">
                  <c:v>0</c:v>
                </c:pt>
                <c:pt idx="7">
                  <c:v>0</c:v>
                </c:pt>
              </c:numCache>
            </c:numRef>
          </c:val>
        </c:ser>
        <c:ser>
          <c:idx val="2"/>
          <c:order val="1"/>
          <c:tx>
            <c:v>Potential</c:v>
          </c:tx>
          <c:spPr>
            <a:pattFill prst="ltUpDiag">
              <a:fgClr>
                <a:srgbClr val="808080"/>
              </a:fgClr>
              <a:bgClr>
                <a:srgbClr val="FFFFFF"/>
              </a:bgClr>
            </a:pattFill>
            <a:ln w="12700">
              <a:solidFill>
                <a:srgbClr val="333333"/>
              </a:solidFill>
              <a:prstDash val="solid"/>
            </a:ln>
          </c:spPr>
          <c:invertIfNegative val="0"/>
          <c:cat>
            <c:strRef>
              <c:f>Calculation!$G$50:$G$57</c:f>
              <c:strCache>
                <c:ptCount val="8"/>
                <c:pt idx="0">
                  <c:v>Management</c:v>
                </c:pt>
                <c:pt idx="1">
                  <c:v>Indoor Environment Quality</c:v>
                </c:pt>
                <c:pt idx="2">
                  <c:v>Energy</c:v>
                </c:pt>
                <c:pt idx="3">
                  <c:v>Transport</c:v>
                </c:pt>
                <c:pt idx="4">
                  <c:v>Water</c:v>
                </c:pt>
                <c:pt idx="5">
                  <c:v>Materials</c:v>
                </c:pt>
                <c:pt idx="6">
                  <c:v>Land use &amp; Ecology</c:v>
                </c:pt>
                <c:pt idx="7">
                  <c:v>Emissions</c:v>
                </c:pt>
              </c:strCache>
            </c:strRef>
          </c:cat>
          <c:val>
            <c:numRef>
              <c:f>Calculation!$J$50:$J$57</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143538048"/>
        <c:axId val="143539584"/>
      </c:barChart>
      <c:catAx>
        <c:axId val="143538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75" b="0" i="0" u="none" strike="noStrike" baseline="0">
                <a:solidFill>
                  <a:srgbClr val="000000"/>
                </a:solidFill>
                <a:latin typeface="Arial"/>
                <a:ea typeface="Arial"/>
                <a:cs typeface="Arial"/>
              </a:defRPr>
            </a:pPr>
            <a:endParaRPr lang="en-US"/>
          </a:p>
        </c:txPr>
        <c:crossAx val="143539584"/>
        <c:crosses val="autoZero"/>
        <c:auto val="1"/>
        <c:lblAlgn val="ctr"/>
        <c:lblOffset val="0"/>
        <c:tickLblSkip val="1"/>
        <c:tickMarkSkip val="1"/>
        <c:noMultiLvlLbl val="0"/>
      </c:catAx>
      <c:valAx>
        <c:axId val="143539584"/>
        <c:scaling>
          <c:orientation val="minMax"/>
          <c:max val="1"/>
        </c:scaling>
        <c:delete val="0"/>
        <c:axPos val="l"/>
        <c:majorGridlines>
          <c:spPr>
            <a:ln w="3175">
              <a:solidFill>
                <a:srgbClr val="C0C0C0"/>
              </a:solidFill>
              <a:prstDash val="solid"/>
            </a:ln>
          </c:spPr>
        </c:majorGridlines>
        <c:title>
          <c:tx>
            <c:rich>
              <a:bodyPr/>
              <a:lstStyle/>
              <a:p>
                <a:pPr>
                  <a:defRPr sz="1175" b="1" i="0" u="none" strike="noStrike" baseline="0">
                    <a:solidFill>
                      <a:srgbClr val="000000"/>
                    </a:solidFill>
                    <a:latin typeface="Arial"/>
                    <a:ea typeface="Arial"/>
                    <a:cs typeface="Arial"/>
                  </a:defRPr>
                </a:pPr>
                <a:r>
                  <a:rPr lang="en-ZA"/>
                  <a:t>Percentage</a:t>
                </a:r>
              </a:p>
            </c:rich>
          </c:tx>
          <c:layout>
            <c:manualLayout>
              <c:xMode val="edge"/>
              <c:yMode val="edge"/>
              <c:x val="2.3255813953488372E-2"/>
              <c:y val="0.3472527472527472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143538048"/>
        <c:crosses val="autoZero"/>
        <c:crossBetween val="between"/>
      </c:valAx>
      <c:spPr>
        <a:noFill/>
        <a:ln w="12700">
          <a:solidFill>
            <a:srgbClr val="808080"/>
          </a:solidFill>
          <a:prstDash val="solid"/>
        </a:ln>
      </c:spPr>
    </c:plotArea>
    <c:legend>
      <c:legendPos val="r"/>
      <c:layout>
        <c:manualLayout>
          <c:xMode val="edge"/>
          <c:yMode val="edge"/>
          <c:x val="0.17732573399255325"/>
          <c:y val="0.89670329670329674"/>
          <c:w val="0.61046557407068303"/>
          <c:h val="6.1538461538461542E-2"/>
        </c:manualLayout>
      </c:layout>
      <c:overlay val="0"/>
      <c:spPr>
        <a:solidFill>
          <a:srgbClr val="FFFFFF"/>
        </a:solidFill>
        <a:ln w="12700">
          <a:solidFill>
            <a:srgbClr val="333333"/>
          </a:solidFill>
          <a:prstDash val="solid"/>
        </a:ln>
      </c:spPr>
      <c:txPr>
        <a:bodyPr/>
        <a:lstStyle/>
        <a:p>
          <a:pPr>
            <a:defRPr sz="9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9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orientation="landscape" horizontalDpi="-4" verticalDpi="-4"/>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ZA"/>
              <a:t>Green Star SA Rating</a:t>
            </a:r>
          </a:p>
        </c:rich>
      </c:tx>
      <c:layout>
        <c:manualLayout>
          <c:xMode val="edge"/>
          <c:yMode val="edge"/>
          <c:x val="0.36999969480559114"/>
          <c:y val="3.4965121338442325E-2"/>
        </c:manualLayout>
      </c:layout>
      <c:overlay val="0"/>
      <c:spPr>
        <a:noFill/>
        <a:ln w="25400">
          <a:noFill/>
        </a:ln>
      </c:spPr>
    </c:title>
    <c:autoTitleDeleted val="0"/>
    <c:plotArea>
      <c:layout>
        <c:manualLayout>
          <c:layoutTarget val="inner"/>
          <c:xMode val="edge"/>
          <c:yMode val="edge"/>
          <c:x val="7.2674470182530733E-3"/>
          <c:y val="0.33689839572192515"/>
          <c:w val="0.97965185806051425"/>
          <c:h val="0.57219251336898391"/>
        </c:manualLayout>
      </c:layout>
      <c:barChart>
        <c:barDir val="bar"/>
        <c:grouping val="stacked"/>
        <c:varyColors val="0"/>
        <c:ser>
          <c:idx val="0"/>
          <c:order val="0"/>
          <c:tx>
            <c:strRef>
              <c:f>Calculation!$L$48</c:f>
              <c:strCache>
                <c:ptCount val="1"/>
                <c:pt idx="0">
                  <c:v>No Rating</c:v>
                </c:pt>
              </c:strCache>
            </c:strRef>
          </c:tx>
          <c:spPr>
            <a:solidFill>
              <a:srgbClr val="FFFFFF"/>
            </a:solidFill>
            <a:ln w="12700">
              <a:solidFill>
                <a:srgbClr val="003300"/>
              </a:solidFill>
              <a:prstDash val="solid"/>
            </a:ln>
          </c:spPr>
          <c:invertIfNegative val="0"/>
          <c:cat>
            <c:strRef>
              <c:f>Calculation!$M$47:$N$47</c:f>
              <c:strCache>
                <c:ptCount val="2"/>
                <c:pt idx="0">
                  <c:v>Green Star</c:v>
                </c:pt>
                <c:pt idx="1">
                  <c:v>Achieved</c:v>
                </c:pt>
              </c:strCache>
            </c:strRef>
          </c:cat>
          <c:val>
            <c:numRef>
              <c:f>Calculation!$M$48:$N$48</c:f>
              <c:numCache>
                <c:formatCode>0</c:formatCode>
                <c:ptCount val="2"/>
                <c:pt idx="0">
                  <c:v>10</c:v>
                </c:pt>
                <c:pt idx="1">
                  <c:v>0</c:v>
                </c:pt>
              </c:numCache>
            </c:numRef>
          </c:val>
        </c:ser>
        <c:ser>
          <c:idx val="1"/>
          <c:order val="1"/>
          <c:tx>
            <c:strRef>
              <c:f>Calculation!$L$49</c:f>
              <c:strCache>
                <c:ptCount val="1"/>
                <c:pt idx="0">
                  <c:v>One Star</c:v>
                </c:pt>
              </c:strCache>
            </c:strRef>
          </c:tx>
          <c:spPr>
            <a:solidFill>
              <a:srgbClr val="FFFFFF"/>
            </a:solidFill>
            <a:ln w="12700">
              <a:solidFill>
                <a:srgbClr val="003300"/>
              </a:solidFill>
              <a:prstDash val="solid"/>
            </a:ln>
          </c:spPr>
          <c:invertIfNegative val="0"/>
          <c:cat>
            <c:strRef>
              <c:f>Calculation!$M$47:$N$47</c:f>
              <c:strCache>
                <c:ptCount val="2"/>
                <c:pt idx="0">
                  <c:v>Green Star</c:v>
                </c:pt>
                <c:pt idx="1">
                  <c:v>Achieved</c:v>
                </c:pt>
              </c:strCache>
            </c:strRef>
          </c:cat>
          <c:val>
            <c:numRef>
              <c:f>Calculation!$M$49:$N$49</c:f>
              <c:numCache>
                <c:formatCode>0</c:formatCode>
                <c:ptCount val="2"/>
                <c:pt idx="0">
                  <c:v>10</c:v>
                </c:pt>
                <c:pt idx="1">
                  <c:v>0</c:v>
                </c:pt>
              </c:numCache>
            </c:numRef>
          </c:val>
        </c:ser>
        <c:ser>
          <c:idx val="2"/>
          <c:order val="2"/>
          <c:tx>
            <c:strRef>
              <c:f>Calculation!$L$50</c:f>
              <c:strCache>
                <c:ptCount val="1"/>
                <c:pt idx="0">
                  <c:v>Two Star</c:v>
                </c:pt>
              </c:strCache>
            </c:strRef>
          </c:tx>
          <c:spPr>
            <a:solidFill>
              <a:srgbClr val="FFFFFF"/>
            </a:solidFill>
            <a:ln w="12700">
              <a:solidFill>
                <a:srgbClr val="003300"/>
              </a:solidFill>
              <a:prstDash val="solid"/>
            </a:ln>
          </c:spPr>
          <c:invertIfNegative val="0"/>
          <c:cat>
            <c:strRef>
              <c:f>Calculation!$M$47:$N$47</c:f>
              <c:strCache>
                <c:ptCount val="2"/>
                <c:pt idx="0">
                  <c:v>Green Star</c:v>
                </c:pt>
                <c:pt idx="1">
                  <c:v>Achieved</c:v>
                </c:pt>
              </c:strCache>
            </c:strRef>
          </c:cat>
          <c:val>
            <c:numRef>
              <c:f>Calculation!$M$50:$N$50</c:f>
              <c:numCache>
                <c:formatCode>0</c:formatCode>
                <c:ptCount val="2"/>
                <c:pt idx="0">
                  <c:v>10</c:v>
                </c:pt>
                <c:pt idx="1">
                  <c:v>0</c:v>
                </c:pt>
              </c:numCache>
            </c:numRef>
          </c:val>
        </c:ser>
        <c:ser>
          <c:idx val="3"/>
          <c:order val="3"/>
          <c:tx>
            <c:strRef>
              <c:f>Calculation!$L$51</c:f>
              <c:strCache>
                <c:ptCount val="1"/>
                <c:pt idx="0">
                  <c:v>Three Star</c:v>
                </c:pt>
              </c:strCache>
            </c:strRef>
          </c:tx>
          <c:spPr>
            <a:solidFill>
              <a:srgbClr val="FFFFFF"/>
            </a:solidFill>
            <a:ln w="12700">
              <a:solidFill>
                <a:srgbClr val="003300"/>
              </a:solidFill>
              <a:prstDash val="solid"/>
            </a:ln>
          </c:spPr>
          <c:invertIfNegative val="0"/>
          <c:cat>
            <c:strRef>
              <c:f>Calculation!$M$47:$N$47</c:f>
              <c:strCache>
                <c:ptCount val="2"/>
                <c:pt idx="0">
                  <c:v>Green Star</c:v>
                </c:pt>
                <c:pt idx="1">
                  <c:v>Achieved</c:v>
                </c:pt>
              </c:strCache>
            </c:strRef>
          </c:cat>
          <c:val>
            <c:numRef>
              <c:f>Calculation!$M$51:$N$51</c:f>
              <c:numCache>
                <c:formatCode>0</c:formatCode>
                <c:ptCount val="2"/>
                <c:pt idx="0">
                  <c:v>15</c:v>
                </c:pt>
                <c:pt idx="1">
                  <c:v>0</c:v>
                </c:pt>
              </c:numCache>
            </c:numRef>
          </c:val>
        </c:ser>
        <c:ser>
          <c:idx val="4"/>
          <c:order val="4"/>
          <c:tx>
            <c:strRef>
              <c:f>Calculation!$L$52</c:f>
              <c:strCache>
                <c:ptCount val="1"/>
                <c:pt idx="0">
                  <c:v>Four Star</c:v>
                </c:pt>
              </c:strCache>
            </c:strRef>
          </c:tx>
          <c:spPr>
            <a:solidFill>
              <a:srgbClr val="C0C0C0"/>
            </a:solidFill>
            <a:ln w="12700">
              <a:solidFill>
                <a:srgbClr val="003300"/>
              </a:solidFill>
              <a:prstDash val="solid"/>
            </a:ln>
          </c:spPr>
          <c:invertIfNegative val="0"/>
          <c:cat>
            <c:strRef>
              <c:f>Calculation!$M$47:$N$47</c:f>
              <c:strCache>
                <c:ptCount val="2"/>
                <c:pt idx="0">
                  <c:v>Green Star</c:v>
                </c:pt>
                <c:pt idx="1">
                  <c:v>Achieved</c:v>
                </c:pt>
              </c:strCache>
            </c:strRef>
          </c:cat>
          <c:val>
            <c:numRef>
              <c:f>Calculation!$M$52:$N$52</c:f>
              <c:numCache>
                <c:formatCode>0</c:formatCode>
                <c:ptCount val="2"/>
                <c:pt idx="0">
                  <c:v>15</c:v>
                </c:pt>
                <c:pt idx="1">
                  <c:v>0</c:v>
                </c:pt>
              </c:numCache>
            </c:numRef>
          </c:val>
        </c:ser>
        <c:ser>
          <c:idx val="5"/>
          <c:order val="5"/>
          <c:tx>
            <c:strRef>
              <c:f>Calculation!$L$53</c:f>
              <c:strCache>
                <c:ptCount val="1"/>
                <c:pt idx="0">
                  <c:v>Five Star</c:v>
                </c:pt>
              </c:strCache>
            </c:strRef>
          </c:tx>
          <c:spPr>
            <a:solidFill>
              <a:srgbClr val="969696"/>
            </a:solidFill>
            <a:ln w="12700">
              <a:solidFill>
                <a:srgbClr val="003300"/>
              </a:solidFill>
              <a:prstDash val="solid"/>
            </a:ln>
          </c:spPr>
          <c:invertIfNegative val="0"/>
          <c:cat>
            <c:strRef>
              <c:f>Calculation!$M$47:$N$47</c:f>
              <c:strCache>
                <c:ptCount val="2"/>
                <c:pt idx="0">
                  <c:v>Green Star</c:v>
                </c:pt>
                <c:pt idx="1">
                  <c:v>Achieved</c:v>
                </c:pt>
              </c:strCache>
            </c:strRef>
          </c:cat>
          <c:val>
            <c:numRef>
              <c:f>Calculation!$M$53:$N$53</c:f>
              <c:numCache>
                <c:formatCode>0</c:formatCode>
                <c:ptCount val="2"/>
                <c:pt idx="0">
                  <c:v>15</c:v>
                </c:pt>
                <c:pt idx="1">
                  <c:v>0</c:v>
                </c:pt>
              </c:numCache>
            </c:numRef>
          </c:val>
        </c:ser>
        <c:ser>
          <c:idx val="6"/>
          <c:order val="6"/>
          <c:tx>
            <c:strRef>
              <c:f>Calculation!$L$54</c:f>
              <c:strCache>
                <c:ptCount val="1"/>
                <c:pt idx="0">
                  <c:v>Six Stars</c:v>
                </c:pt>
              </c:strCache>
            </c:strRef>
          </c:tx>
          <c:spPr>
            <a:solidFill>
              <a:srgbClr val="808080"/>
            </a:solidFill>
            <a:ln w="12700">
              <a:solidFill>
                <a:srgbClr val="003300"/>
              </a:solidFill>
              <a:prstDash val="solid"/>
            </a:ln>
          </c:spPr>
          <c:invertIfNegative val="0"/>
          <c:cat>
            <c:strRef>
              <c:f>Calculation!$M$47:$N$47</c:f>
              <c:strCache>
                <c:ptCount val="2"/>
                <c:pt idx="0">
                  <c:v>Green Star</c:v>
                </c:pt>
                <c:pt idx="1">
                  <c:v>Achieved</c:v>
                </c:pt>
              </c:strCache>
            </c:strRef>
          </c:cat>
          <c:val>
            <c:numRef>
              <c:f>Calculation!$M$54:$N$54</c:f>
              <c:numCache>
                <c:formatCode>0</c:formatCode>
                <c:ptCount val="2"/>
                <c:pt idx="0">
                  <c:v>25</c:v>
                </c:pt>
                <c:pt idx="1">
                  <c:v>0</c:v>
                </c:pt>
              </c:numCache>
            </c:numRef>
          </c:val>
        </c:ser>
        <c:ser>
          <c:idx val="8"/>
          <c:order val="7"/>
          <c:tx>
            <c:strRef>
              <c:f>Calculation!$L$56</c:f>
              <c:strCache>
                <c:ptCount val="1"/>
                <c:pt idx="0">
                  <c:v>Potential</c:v>
                </c:pt>
              </c:strCache>
            </c:strRef>
          </c:tx>
          <c:spPr>
            <a:pattFill prst="ltUpDiag">
              <a:fgClr>
                <a:srgbClr val="808080"/>
              </a:fgClr>
              <a:bgClr>
                <a:srgbClr val="FFFFFF"/>
              </a:bgClr>
            </a:pattFill>
            <a:ln w="3175">
              <a:solidFill>
                <a:srgbClr val="333333"/>
              </a:solidFill>
              <a:prstDash val="sysDash"/>
            </a:ln>
          </c:spPr>
          <c:invertIfNegative val="0"/>
          <c:cat>
            <c:strRef>
              <c:f>Calculation!$M$47:$N$47</c:f>
              <c:strCache>
                <c:ptCount val="2"/>
                <c:pt idx="0">
                  <c:v>Green Star</c:v>
                </c:pt>
                <c:pt idx="1">
                  <c:v>Achieved</c:v>
                </c:pt>
              </c:strCache>
            </c:strRef>
          </c:cat>
          <c:val>
            <c:numRef>
              <c:f>Calculation!$M$56:$N$56</c:f>
              <c:numCache>
                <c:formatCode>0</c:formatCode>
                <c:ptCount val="2"/>
                <c:pt idx="1">
                  <c:v>0</c:v>
                </c:pt>
              </c:numCache>
            </c:numRef>
          </c:val>
        </c:ser>
        <c:dLbls>
          <c:showLegendKey val="0"/>
          <c:showVal val="0"/>
          <c:showCatName val="0"/>
          <c:showSerName val="0"/>
          <c:showPercent val="0"/>
          <c:showBubbleSize val="0"/>
        </c:dLbls>
        <c:gapWidth val="60"/>
        <c:overlap val="100"/>
        <c:axId val="145245696"/>
        <c:axId val="145247232"/>
      </c:barChart>
      <c:catAx>
        <c:axId val="145245696"/>
        <c:scaling>
          <c:orientation val="minMax"/>
        </c:scaling>
        <c:delete val="1"/>
        <c:axPos val="l"/>
        <c:majorTickMark val="out"/>
        <c:minorTickMark val="none"/>
        <c:tickLblPos val="nextTo"/>
        <c:crossAx val="145247232"/>
        <c:crosses val="autoZero"/>
        <c:auto val="1"/>
        <c:lblAlgn val="ctr"/>
        <c:lblOffset val="100"/>
        <c:noMultiLvlLbl val="0"/>
      </c:catAx>
      <c:valAx>
        <c:axId val="145247232"/>
        <c:scaling>
          <c:orientation val="minMax"/>
          <c:max val="100"/>
          <c:min val="0"/>
        </c:scaling>
        <c:delete val="1"/>
        <c:axPos val="b"/>
        <c:numFmt formatCode="0" sourceLinked="1"/>
        <c:majorTickMark val="out"/>
        <c:minorTickMark val="none"/>
        <c:tickLblPos val="nextTo"/>
        <c:crossAx val="145245696"/>
        <c:crosses val="autoZero"/>
        <c:crossBetween val="between"/>
      </c:valAx>
      <c:spPr>
        <a:noFill/>
        <a:ln w="25400">
          <a:noFill/>
        </a:ln>
      </c:spPr>
    </c:plotArea>
    <c:plotVisOnly val="1"/>
    <c:dispBlanksAs val="gap"/>
    <c:showDLblsOverMax val="0"/>
  </c:chart>
  <c:spPr>
    <a:solidFill>
      <a:srgbClr val="FFFFFF"/>
    </a:solidFill>
    <a:ln w="25400">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Verdana"/>
                <a:ea typeface="Verdana"/>
                <a:cs typeface="Verdana"/>
              </a:defRPr>
            </a:pPr>
            <a:r>
              <a:rPr lang="en-ZA"/>
              <a:t>Weighted Scores</a:t>
            </a:r>
          </a:p>
        </c:rich>
      </c:tx>
      <c:layout>
        <c:manualLayout>
          <c:xMode val="edge"/>
          <c:yMode val="edge"/>
          <c:x val="0.36571458567679038"/>
          <c:y val="3.0162412993039442E-2"/>
        </c:manualLayout>
      </c:layout>
      <c:overlay val="0"/>
      <c:spPr>
        <a:noFill/>
        <a:ln w="25400">
          <a:noFill/>
        </a:ln>
      </c:spPr>
    </c:title>
    <c:autoTitleDeleted val="0"/>
    <c:plotArea>
      <c:layout>
        <c:manualLayout>
          <c:layoutTarget val="inner"/>
          <c:xMode val="edge"/>
          <c:yMode val="edge"/>
          <c:x val="0.16000011160722072"/>
          <c:y val="0.13225058004640372"/>
          <c:w val="0.77142910953481414"/>
          <c:h val="0.53132250580046403"/>
        </c:manualLayout>
      </c:layout>
      <c:barChart>
        <c:barDir val="col"/>
        <c:grouping val="clustered"/>
        <c:varyColors val="0"/>
        <c:ser>
          <c:idx val="0"/>
          <c:order val="0"/>
          <c:tx>
            <c:strRef>
              <c:f>Calculation!$N$64</c:f>
              <c:strCache>
                <c:ptCount val="1"/>
                <c:pt idx="0">
                  <c:v>Available</c:v>
                </c:pt>
              </c:strCache>
            </c:strRef>
          </c:tx>
          <c:spPr>
            <a:solidFill>
              <a:srgbClr val="003366"/>
            </a:solidFill>
            <a:ln w="12700">
              <a:solidFill>
                <a:srgbClr val="000000"/>
              </a:solidFill>
              <a:prstDash val="solid"/>
            </a:ln>
          </c:spPr>
          <c:invertIfNegative val="0"/>
          <c:cat>
            <c:strRef>
              <c:f>Calculation!$M$65:$M$79</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Calculation!$N$66:$N$80</c:f>
              <c:numCache>
                <c:formatCode>General</c:formatCode>
                <c:ptCount val="15"/>
                <c:pt idx="0" formatCode="0">
                  <c:v>9</c:v>
                </c:pt>
                <c:pt idx="2" formatCode="0">
                  <c:v>15</c:v>
                </c:pt>
                <c:pt idx="4" formatCode="0">
                  <c:v>25</c:v>
                </c:pt>
                <c:pt idx="6" formatCode="0">
                  <c:v>9</c:v>
                </c:pt>
                <c:pt idx="8" formatCode="0">
                  <c:v>14.000000000000002</c:v>
                </c:pt>
                <c:pt idx="10" formatCode="0">
                  <c:v>13</c:v>
                </c:pt>
                <c:pt idx="12" formatCode="0">
                  <c:v>7.0000000000000009</c:v>
                </c:pt>
                <c:pt idx="14" formatCode="0">
                  <c:v>8</c:v>
                </c:pt>
              </c:numCache>
            </c:numRef>
          </c:val>
        </c:ser>
        <c:ser>
          <c:idx val="1"/>
          <c:order val="1"/>
          <c:tx>
            <c:strRef>
              <c:f>Calculation!$O$64</c:f>
              <c:strCache>
                <c:ptCount val="1"/>
                <c:pt idx="0">
                  <c:v>Achieved</c:v>
                </c:pt>
              </c:strCache>
            </c:strRef>
          </c:tx>
          <c:spPr>
            <a:solidFill>
              <a:srgbClr val="808080"/>
            </a:solidFill>
            <a:ln w="12700">
              <a:solidFill>
                <a:srgbClr val="000000"/>
              </a:solidFill>
              <a:prstDash val="solid"/>
            </a:ln>
          </c:spPr>
          <c:invertIfNegative val="0"/>
          <c:cat>
            <c:strRef>
              <c:f>Calculation!$M$65:$M$79</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Calculation!$O$66:$O$80</c:f>
              <c:numCache>
                <c:formatCode>General</c:formatCode>
                <c:ptCount val="15"/>
                <c:pt idx="0" formatCode="0.0">
                  <c:v>0</c:v>
                </c:pt>
                <c:pt idx="2" formatCode="0.0">
                  <c:v>0</c:v>
                </c:pt>
                <c:pt idx="4" formatCode="0.0">
                  <c:v>0</c:v>
                </c:pt>
                <c:pt idx="6" formatCode="0.0">
                  <c:v>0</c:v>
                </c:pt>
                <c:pt idx="8" formatCode="0.0">
                  <c:v>0</c:v>
                </c:pt>
                <c:pt idx="10" formatCode="0.0">
                  <c:v>0</c:v>
                </c:pt>
                <c:pt idx="12" formatCode="0.0">
                  <c:v>0</c:v>
                </c:pt>
                <c:pt idx="14" formatCode="0.0">
                  <c:v>0</c:v>
                </c:pt>
              </c:numCache>
            </c:numRef>
          </c:val>
        </c:ser>
        <c:ser>
          <c:idx val="2"/>
          <c:order val="2"/>
          <c:tx>
            <c:v>Potential</c:v>
          </c:tx>
          <c:spPr>
            <a:pattFill prst="ltUpDiag">
              <a:fgClr>
                <a:srgbClr xmlns:mc="http://schemas.openxmlformats.org/markup-compatibility/2006" xmlns:a14="http://schemas.microsoft.com/office/drawing/2010/main" val="808080" mc:Ignorable="a14" a14:legacySpreadsheetColorIndex="2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Calculation!$M$65:$M$79</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Calculation!$P$66:$P$80</c:f>
              <c:numCache>
                <c:formatCode>General</c:formatCode>
                <c:ptCount val="15"/>
                <c:pt idx="0" formatCode="0.0">
                  <c:v>0</c:v>
                </c:pt>
                <c:pt idx="2" formatCode="0.0">
                  <c:v>0</c:v>
                </c:pt>
                <c:pt idx="4" formatCode="0.0">
                  <c:v>0</c:v>
                </c:pt>
                <c:pt idx="6" formatCode="0.0">
                  <c:v>0</c:v>
                </c:pt>
                <c:pt idx="8" formatCode="0.0">
                  <c:v>0</c:v>
                </c:pt>
                <c:pt idx="10" formatCode="0.0">
                  <c:v>0</c:v>
                </c:pt>
                <c:pt idx="12" formatCode="0.0">
                  <c:v>0</c:v>
                </c:pt>
                <c:pt idx="14" formatCode="0.0">
                  <c:v>0</c:v>
                </c:pt>
              </c:numCache>
            </c:numRef>
          </c:val>
        </c:ser>
        <c:dLbls>
          <c:showLegendKey val="0"/>
          <c:showVal val="0"/>
          <c:showCatName val="0"/>
          <c:showSerName val="0"/>
          <c:showPercent val="0"/>
          <c:showBubbleSize val="0"/>
        </c:dLbls>
        <c:gapWidth val="150"/>
        <c:axId val="144998400"/>
        <c:axId val="144999936"/>
      </c:barChart>
      <c:catAx>
        <c:axId val="144998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50" b="0" i="0" u="none" strike="noStrike" baseline="0">
                <a:solidFill>
                  <a:srgbClr val="000000"/>
                </a:solidFill>
                <a:latin typeface="Arial"/>
                <a:ea typeface="Arial"/>
                <a:cs typeface="Arial"/>
              </a:defRPr>
            </a:pPr>
            <a:endParaRPr lang="en-US"/>
          </a:p>
        </c:txPr>
        <c:crossAx val="144999936"/>
        <c:crosses val="autoZero"/>
        <c:auto val="1"/>
        <c:lblAlgn val="ctr"/>
        <c:lblOffset val="100"/>
        <c:tickLblSkip val="2"/>
        <c:tickMarkSkip val="1"/>
        <c:noMultiLvlLbl val="0"/>
      </c:catAx>
      <c:valAx>
        <c:axId val="1449999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ZA"/>
                  <a:t>Total weighted points</a:t>
                </a:r>
              </a:p>
            </c:rich>
          </c:tx>
          <c:layout>
            <c:manualLayout>
              <c:xMode val="edge"/>
              <c:yMode val="edge"/>
              <c:x val="5.1428571428571428E-2"/>
              <c:y val="0.1995359628770301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44998400"/>
        <c:crosses val="autoZero"/>
        <c:crossBetween val="between"/>
      </c:valAx>
      <c:spPr>
        <a:noFill/>
        <a:ln w="3175">
          <a:solidFill>
            <a:srgbClr val="000000"/>
          </a:solidFill>
          <a:prstDash val="solid"/>
        </a:ln>
      </c:spPr>
    </c:plotArea>
    <c:legend>
      <c:legendPos val="b"/>
      <c:legendEntry>
        <c:idx val="0"/>
        <c:txPr>
          <a:bodyPr/>
          <a:lstStyle/>
          <a:p>
            <a:pPr>
              <a:defRPr sz="925" b="0" i="0" u="none" strike="noStrike" baseline="0">
                <a:solidFill>
                  <a:srgbClr val="000000"/>
                </a:solidFill>
                <a:latin typeface="Arial"/>
                <a:ea typeface="Arial"/>
                <a:cs typeface="Arial"/>
              </a:defRPr>
            </a:pPr>
            <a:endParaRPr lang="en-US"/>
          </a:p>
        </c:txPr>
      </c:legendEntry>
      <c:legendEntry>
        <c:idx val="1"/>
        <c:txPr>
          <a:bodyPr/>
          <a:lstStyle/>
          <a:p>
            <a:pPr>
              <a:defRPr sz="925" b="0" i="0" u="none" strike="noStrike" baseline="0">
                <a:solidFill>
                  <a:srgbClr val="000000"/>
                </a:solidFill>
                <a:latin typeface="Arial"/>
                <a:ea typeface="Arial"/>
                <a:cs typeface="Arial"/>
              </a:defRPr>
            </a:pPr>
            <a:endParaRPr lang="en-US"/>
          </a:p>
        </c:txPr>
      </c:legendEntry>
      <c:legendEntry>
        <c:idx val="2"/>
        <c:txPr>
          <a:bodyPr/>
          <a:lstStyle/>
          <a:p>
            <a:pPr>
              <a:defRPr sz="925" b="0" i="0" u="none" strike="noStrike" baseline="0">
                <a:solidFill>
                  <a:srgbClr val="000000"/>
                </a:solidFill>
                <a:latin typeface="Arial"/>
                <a:ea typeface="Arial"/>
                <a:cs typeface="Arial"/>
              </a:defRPr>
            </a:pPr>
            <a:endParaRPr lang="en-US"/>
          </a:p>
        </c:txPr>
      </c:legendEntry>
      <c:layout>
        <c:manualLayout>
          <c:xMode val="edge"/>
          <c:yMode val="edge"/>
          <c:x val="0.21857157855268092"/>
          <c:y val="0.89327146171693739"/>
          <c:w val="0.53857187851518562"/>
          <c:h val="8.3526682134570818E-2"/>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852372583479791"/>
          <c:y val="0.19736842105263158"/>
          <c:w val="0.16168717047451669"/>
          <c:h val="0.60526315789473684"/>
        </c:manualLayout>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Lit>
              <c:formatCode>General</c:formatCode>
              <c:ptCount val="3"/>
              <c:pt idx="0">
                <c:v>0</c:v>
              </c:pt>
              <c:pt idx="1">
                <c:v>0</c:v>
              </c:pt>
              <c:pt idx="2">
                <c:v>0</c:v>
              </c:pt>
            </c:numLit>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Lit>
              <c:formatCode>General</c:formatCode>
              <c:ptCount val="3"/>
            </c:numLit>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147627416520214"/>
          <c:y val="0.11842105263157894"/>
          <c:w val="0.20386643233743407"/>
          <c:h val="0.56578947368421051"/>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162707651189222"/>
          <c:y val="3.4965034965034968E-2"/>
          <c:w val="0.32057453715439166"/>
          <c:h val="0.93706293706293708"/>
        </c:manualLayout>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pattFill prst="pct50">
                <a:fgClr>
                  <a:srgbClr xmlns:mc="http://schemas.openxmlformats.org/markup-compatibility/2006" xmlns:a14="http://schemas.microsoft.com/office/drawing/2010/main" val="000000" mc:Ignorable="a14" a14:legacySpreadsheetColorIndex="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dPt>
            <c:idx val="3"/>
            <c:bubble3D val="0"/>
            <c:spPr>
              <a:pattFill prst="pct70">
                <a:fgClr>
                  <a:srgbClr xmlns:mc="http://schemas.openxmlformats.org/markup-compatibility/2006" xmlns:a14="http://schemas.microsoft.com/office/drawing/2010/main" val="000000" mc:Ignorable="a14" a14:legacySpreadsheetColorIndex="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cat>
            <c:strRef>
              <c:f>'Potable Water Calculator'!$B$54:$D$57</c:f>
              <c:strCache>
                <c:ptCount val="4"/>
                <c:pt idx="0">
                  <c:v>WCs:</c:v>
                </c:pt>
                <c:pt idx="1">
                  <c:v>Urinals:</c:v>
                </c:pt>
                <c:pt idx="2">
                  <c:v>Indoor Taps:</c:v>
                </c:pt>
                <c:pt idx="3">
                  <c:v>Showerheads:</c:v>
                </c:pt>
              </c:strCache>
            </c:strRef>
          </c:cat>
          <c:val>
            <c:numRef>
              <c:f>'Potable Water Calculator'!$G$54:$G$57</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674648683268658"/>
          <c:y val="0.14685314685314685"/>
          <c:w val="0.3086126913561642"/>
          <c:h val="0.75524475524475521"/>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69696"/>
    </a:solid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1318101933216"/>
          <c:y val="3.2894736842105261E-2"/>
          <c:w val="0.25131810193321619"/>
          <c:h val="0.94078947368421051"/>
        </c:manualLayout>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cat>
            <c:strRef>
              <c:f>'Potable Water Calculator'!$B$147:$F$150</c:f>
              <c:strCache>
                <c:ptCount val="4"/>
                <c:pt idx="0">
                  <c:v>Rainwater</c:v>
                </c:pt>
                <c:pt idx="1">
                  <c:v>Greywater</c:v>
                </c:pt>
                <c:pt idx="2">
                  <c:v>Blackwater</c:v>
                </c:pt>
                <c:pt idx="3">
                  <c:v>Other Sustainable </c:v>
                </c:pt>
              </c:strCache>
            </c:strRef>
          </c:cat>
          <c:val>
            <c:numRef>
              <c:f>'Potable Water Calculator'!$G$147:$G$150</c:f>
              <c:numCache>
                <c:formatCode>0.00</c:formatCode>
                <c:ptCount val="4"/>
                <c:pt idx="0">
                  <c:v>0</c:v>
                </c:pt>
                <c:pt idx="1">
                  <c:v>0</c:v>
                </c:pt>
                <c:pt idx="2">
                  <c:v>0</c:v>
                </c:pt>
                <c:pt idx="3">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674868189806678"/>
          <c:y val="0.25657894736842107"/>
          <c:w val="0.20386643233743407"/>
          <c:h val="0.56578947368421062"/>
        </c:manualLayout>
      </c:layout>
      <c:overlay val="0"/>
      <c:spPr>
        <a:solidFill>
          <a:srgbClr val="FFFFFF"/>
        </a:solidFill>
        <a:ln w="3175">
          <a:solidFill>
            <a:srgbClr val="000000"/>
          </a:solidFill>
          <a:prstDash val="solid"/>
        </a:ln>
      </c:spPr>
      <c:txPr>
        <a:bodyPr/>
        <a:lstStyle/>
        <a:p>
          <a:pPr rtl="0">
            <a:defRPr sz="77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69696"/>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Ref>
              <c:f>'Potable Water Calculator'!$G$147:$G$149</c:f>
              <c:numCache>
                <c:formatCode>0.00</c:formatCode>
                <c:ptCount val="3"/>
                <c:pt idx="0">
                  <c:v>0</c:v>
                </c:pt>
                <c:pt idx="1">
                  <c:v>0</c:v>
                </c:pt>
                <c:pt idx="2">
                  <c:v>0</c:v>
                </c:pt>
              </c:numCache>
            </c:numRef>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Lit>
              <c:formatCode>General</c:formatCode>
              <c:ptCount val="3"/>
            </c:numLit>
          </c:val>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6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dPt>
            <c:idx val="3"/>
            <c:bubble3D val="0"/>
            <c:spPr>
              <a:solidFill>
                <a:srgbClr val="4EE257"/>
              </a:solidFill>
              <a:ln w="12700">
                <a:solidFill>
                  <a:srgbClr val="000000"/>
                </a:solidFill>
                <a:prstDash val="solid"/>
              </a:ln>
            </c:spPr>
          </c:dPt>
          <c:cat>
            <c:strLit>
              <c:ptCount val="5"/>
              <c:pt idx="0">
                <c:v>WCs</c:v>
              </c:pt>
              <c:pt idx="1">
                <c:v>Urinals</c:v>
              </c:pt>
              <c:pt idx="2">
                <c:v>Indoor Taps</c:v>
              </c:pt>
              <c:pt idx="3">
                <c:v>Showerheads</c:v>
              </c:pt>
            </c:strLit>
          </c:cat>
          <c:val>
            <c:numRef>
              <c:f>'Potable Water Calculator'!$G$54:$G$57</c:f>
              <c:numCache>
                <c:formatCode>0.00</c:formatCode>
                <c:ptCount val="4"/>
                <c:pt idx="0">
                  <c:v>0</c:v>
                </c:pt>
                <c:pt idx="1">
                  <c:v>0</c:v>
                </c:pt>
                <c:pt idx="2">
                  <c:v>0</c:v>
                </c:pt>
                <c:pt idx="3">
                  <c:v>0</c:v>
                </c:pt>
              </c:numCache>
            </c:numRef>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dPt>
            <c:idx val="3"/>
            <c:bubble3D val="0"/>
            <c:spPr>
              <a:solidFill>
                <a:srgbClr val="4EE257"/>
              </a:solidFill>
              <a:ln w="12700">
                <a:solidFill>
                  <a:srgbClr val="000000"/>
                </a:solidFill>
                <a:prstDash val="solid"/>
              </a:ln>
            </c:spPr>
          </c:dPt>
          <c:cat>
            <c:strLit>
              <c:ptCount val="5"/>
              <c:pt idx="0">
                <c:v>WCs</c:v>
              </c:pt>
              <c:pt idx="1">
                <c:v>Urinals</c:v>
              </c:pt>
              <c:pt idx="2">
                <c:v>Indoor Taps</c:v>
              </c:pt>
              <c:pt idx="3">
                <c:v>Showerheads</c:v>
              </c:pt>
            </c:strLit>
          </c:cat>
          <c:val>
            <c:numLit>
              <c:formatCode>General</c:formatCode>
              <c:ptCount val="4"/>
            </c:numLit>
          </c:val>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Lit>
              <c:formatCode>General</c:formatCode>
              <c:ptCount val="3"/>
              <c:pt idx="0">
                <c:v>0</c:v>
              </c:pt>
              <c:pt idx="1">
                <c:v>0</c:v>
              </c:pt>
              <c:pt idx="2">
                <c:v>0</c:v>
              </c:pt>
            </c:numLit>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cat>
            <c:strLit>
              <c:ptCount val="5"/>
              <c:pt idx="0">
                <c:v>Rainwater</c:v>
              </c:pt>
              <c:pt idx="1">
                <c:v>Greywater</c:v>
              </c:pt>
              <c:pt idx="2">
                <c:v>Blackwater</c:v>
              </c:pt>
            </c:strLit>
          </c:cat>
          <c:val>
            <c:numLit>
              <c:formatCode>General</c:formatCode>
              <c:ptCount val="3"/>
            </c:numLit>
          </c:val>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6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63AAFE"/>
            </a:solidFill>
            <a:ln w="12700">
              <a:solidFill>
                <a:srgbClr val="000000"/>
              </a:solidFill>
              <a:prstDash val="solid"/>
            </a:ln>
          </c:spPr>
          <c:dPt>
            <c:idx val="0"/>
            <c:bubble3D val="0"/>
          </c:dPt>
          <c:dPt>
            <c:idx val="1"/>
            <c:bubble3D val="0"/>
            <c:spPr>
              <a:solidFill>
                <a:srgbClr val="DD2D32"/>
              </a:solidFill>
              <a:ln w="12700">
                <a:solidFill>
                  <a:srgbClr val="000000"/>
                </a:solidFill>
                <a:prstDash val="solid"/>
              </a:ln>
            </c:spPr>
          </c:dPt>
          <c:dPt>
            <c:idx val="2"/>
            <c:bubble3D val="0"/>
            <c:spPr>
              <a:solidFill>
                <a:srgbClr val="FFF58C"/>
              </a:solidFill>
              <a:ln w="12700">
                <a:solidFill>
                  <a:srgbClr val="000000"/>
                </a:solidFill>
                <a:prstDash val="solid"/>
              </a:ln>
            </c:spPr>
          </c:dPt>
          <c:dPt>
            <c:idx val="3"/>
            <c:bubble3D val="0"/>
            <c:spPr>
              <a:solidFill>
                <a:srgbClr val="4EE257"/>
              </a:solidFill>
              <a:ln w="12700">
                <a:solidFill>
                  <a:srgbClr val="000000"/>
                </a:solidFill>
                <a:prstDash val="solid"/>
              </a:ln>
            </c:spPr>
          </c:dPt>
          <c:cat>
            <c:strLit>
              <c:ptCount val="5"/>
              <c:pt idx="0">
                <c:v>WCs</c:v>
              </c:pt>
              <c:pt idx="1">
                <c:v>Urinals</c:v>
              </c:pt>
              <c:pt idx="2">
                <c:v>Indoor Taps</c:v>
              </c:pt>
              <c:pt idx="3">
                <c:v>Showerheads</c:v>
              </c:pt>
            </c:strLit>
          </c:cat>
          <c:val>
            <c:numLit>
              <c:formatCode>General</c:formatCode>
              <c:ptCount val="4"/>
              <c:pt idx="0">
                <c:v>0</c:v>
              </c:pt>
              <c:pt idx="1">
                <c:v>0</c:v>
              </c:pt>
              <c:pt idx="2">
                <c:v>0</c:v>
              </c:pt>
              <c:pt idx="3">
                <c:v>0</c:v>
              </c:pt>
            </c:numLit>
          </c:val>
        </c:ser>
        <c:ser>
          <c:idx val="1"/>
          <c:order val="1"/>
          <c:spPr>
            <a:solidFill>
              <a:srgbClr val="DD2D32"/>
            </a:solidFill>
            <a:ln w="12700">
              <a:solidFill>
                <a:srgbClr val="000000"/>
              </a:solidFill>
              <a:prstDash val="solid"/>
            </a:ln>
          </c:spPr>
          <c:dPt>
            <c:idx val="0"/>
            <c:bubble3D val="0"/>
            <c:spPr>
              <a:solidFill>
                <a:srgbClr val="63AAFE"/>
              </a:solidFill>
              <a:ln w="12700">
                <a:solidFill>
                  <a:srgbClr val="000000"/>
                </a:solidFill>
                <a:prstDash val="solid"/>
              </a:ln>
            </c:spPr>
          </c:dPt>
          <c:dPt>
            <c:idx val="1"/>
            <c:bubble3D val="0"/>
          </c:dPt>
          <c:dPt>
            <c:idx val="2"/>
            <c:bubble3D val="0"/>
            <c:spPr>
              <a:solidFill>
                <a:srgbClr val="FFF58C"/>
              </a:solidFill>
              <a:ln w="12700">
                <a:solidFill>
                  <a:srgbClr val="000000"/>
                </a:solidFill>
                <a:prstDash val="solid"/>
              </a:ln>
            </c:spPr>
          </c:dPt>
          <c:dPt>
            <c:idx val="3"/>
            <c:bubble3D val="0"/>
            <c:spPr>
              <a:solidFill>
                <a:srgbClr val="4EE257"/>
              </a:solidFill>
              <a:ln w="12700">
                <a:solidFill>
                  <a:srgbClr val="000000"/>
                </a:solidFill>
                <a:prstDash val="solid"/>
              </a:ln>
            </c:spPr>
          </c:dPt>
          <c:cat>
            <c:strLit>
              <c:ptCount val="5"/>
              <c:pt idx="0">
                <c:v>WCs</c:v>
              </c:pt>
              <c:pt idx="1">
                <c:v>Urinals</c:v>
              </c:pt>
              <c:pt idx="2">
                <c:v>Indoor Taps</c:v>
              </c:pt>
              <c:pt idx="3">
                <c:v>Showerheads</c:v>
              </c:pt>
            </c:strLit>
          </c:cat>
          <c:val>
            <c:numLit>
              <c:formatCode>General</c:formatCode>
              <c:ptCount val="4"/>
            </c:numLit>
          </c:val>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9DA927"/>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50" b="1" i="0" u="none" strike="noStrike" baseline="0">
                <a:solidFill>
                  <a:srgbClr val="000000"/>
                </a:solidFill>
                <a:latin typeface="Verdana"/>
                <a:ea typeface="Verdana"/>
                <a:cs typeface="Verdana"/>
              </a:defRPr>
            </a:pPr>
            <a:r>
              <a:rPr lang="en-ZA"/>
              <a:t>Points Achieved</a:t>
            </a:r>
          </a:p>
        </c:rich>
      </c:tx>
      <c:layout>
        <c:manualLayout>
          <c:xMode val="edge"/>
          <c:yMode val="edge"/>
          <c:x val="0.39499969480559116"/>
          <c:y val="3.0674898032112183E-2"/>
        </c:manualLayout>
      </c:layout>
      <c:overlay val="0"/>
      <c:spPr>
        <a:noFill/>
        <a:ln w="25400">
          <a:noFill/>
        </a:ln>
      </c:spPr>
    </c:title>
    <c:autoTitleDeleted val="0"/>
    <c:plotArea>
      <c:layout>
        <c:manualLayout>
          <c:layoutTarget val="inner"/>
          <c:xMode val="edge"/>
          <c:yMode val="edge"/>
          <c:x val="8.5755874815386268E-2"/>
          <c:y val="0.26525882404183182"/>
          <c:w val="0.8837215574195737"/>
          <c:h val="0.41079906378159792"/>
        </c:manualLayout>
      </c:layout>
      <c:barChart>
        <c:barDir val="col"/>
        <c:grouping val="stacked"/>
        <c:varyColors val="0"/>
        <c:ser>
          <c:idx val="0"/>
          <c:order val="0"/>
          <c:tx>
            <c:strRef>
              <c:f>Calculation!$H$64</c:f>
              <c:strCache>
                <c:ptCount val="1"/>
                <c:pt idx="0">
                  <c:v>Available</c:v>
                </c:pt>
              </c:strCache>
            </c:strRef>
          </c:tx>
          <c:spPr>
            <a:solidFill>
              <a:srgbClr val="003366"/>
            </a:solidFill>
            <a:ln w="12700">
              <a:solidFill>
                <a:srgbClr val="003366"/>
              </a:solidFill>
              <a:prstDash val="solid"/>
            </a:ln>
          </c:spPr>
          <c:invertIfNegative val="0"/>
          <c:cat>
            <c:strRef>
              <c:f>Calculation!$G$65:$G$80</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Calculation!$H$65:$H$80</c:f>
              <c:numCache>
                <c:formatCode>General</c:formatCode>
                <c:ptCount val="16"/>
                <c:pt idx="0">
                  <c:v>14</c:v>
                </c:pt>
                <c:pt idx="2">
                  <c:v>28</c:v>
                </c:pt>
                <c:pt idx="4">
                  <c:v>30</c:v>
                </c:pt>
                <c:pt idx="6">
                  <c:v>14</c:v>
                </c:pt>
                <c:pt idx="8">
                  <c:v>15</c:v>
                </c:pt>
                <c:pt idx="10">
                  <c:v>22</c:v>
                </c:pt>
                <c:pt idx="12">
                  <c:v>9</c:v>
                </c:pt>
                <c:pt idx="14">
                  <c:v>17</c:v>
                </c:pt>
              </c:numCache>
            </c:numRef>
          </c:val>
        </c:ser>
        <c:ser>
          <c:idx val="1"/>
          <c:order val="1"/>
          <c:tx>
            <c:strRef>
              <c:f>Calculation!$I$64</c:f>
              <c:strCache>
                <c:ptCount val="1"/>
                <c:pt idx="0">
                  <c:v>Achieved</c:v>
                </c:pt>
              </c:strCache>
            </c:strRef>
          </c:tx>
          <c:spPr>
            <a:solidFill>
              <a:srgbClr val="808080"/>
            </a:solidFill>
            <a:ln w="12700">
              <a:solidFill>
                <a:srgbClr val="333333"/>
              </a:solidFill>
              <a:prstDash val="solid"/>
            </a:ln>
          </c:spPr>
          <c:invertIfNegative val="0"/>
          <c:cat>
            <c:strRef>
              <c:f>Calculation!$G$65:$G$80</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Calculation!$I$65:$I$80</c:f>
              <c:numCache>
                <c:formatCode>General</c:formatCode>
                <c:ptCount val="16"/>
                <c:pt idx="1">
                  <c:v>0</c:v>
                </c:pt>
                <c:pt idx="3">
                  <c:v>0</c:v>
                </c:pt>
                <c:pt idx="5">
                  <c:v>0</c:v>
                </c:pt>
                <c:pt idx="7">
                  <c:v>0</c:v>
                </c:pt>
                <c:pt idx="9">
                  <c:v>0</c:v>
                </c:pt>
                <c:pt idx="11">
                  <c:v>0</c:v>
                </c:pt>
                <c:pt idx="13">
                  <c:v>0</c:v>
                </c:pt>
                <c:pt idx="15">
                  <c:v>0</c:v>
                </c:pt>
              </c:numCache>
            </c:numRef>
          </c:val>
        </c:ser>
        <c:ser>
          <c:idx val="2"/>
          <c:order val="2"/>
          <c:tx>
            <c:v>Potential</c:v>
          </c:tx>
          <c:spPr>
            <a:pattFill prst="ltUpDiag">
              <a:fgClr>
                <a:srgbClr val="808080"/>
              </a:fgClr>
              <a:bgClr>
                <a:srgbClr val="FFFFFF"/>
              </a:bgClr>
            </a:pattFill>
            <a:ln w="12700">
              <a:solidFill>
                <a:srgbClr val="333333"/>
              </a:solidFill>
              <a:prstDash val="solid"/>
            </a:ln>
          </c:spPr>
          <c:invertIfNegative val="0"/>
          <c:cat>
            <c:strRef>
              <c:f>Calculation!$G$65:$G$80</c:f>
              <c:strCache>
                <c:ptCount val="15"/>
                <c:pt idx="0">
                  <c:v>Management</c:v>
                </c:pt>
                <c:pt idx="2">
                  <c:v>IEQ</c:v>
                </c:pt>
                <c:pt idx="4">
                  <c:v>Energy</c:v>
                </c:pt>
                <c:pt idx="6">
                  <c:v>Transport</c:v>
                </c:pt>
                <c:pt idx="8">
                  <c:v>Water</c:v>
                </c:pt>
                <c:pt idx="10">
                  <c:v>Materials</c:v>
                </c:pt>
                <c:pt idx="12">
                  <c:v>Land use &amp; Ecology</c:v>
                </c:pt>
                <c:pt idx="14">
                  <c:v>Emissions</c:v>
                </c:pt>
              </c:strCache>
            </c:strRef>
          </c:cat>
          <c:val>
            <c:numRef>
              <c:f>Calculation!$J$65:$J$80</c:f>
              <c:numCache>
                <c:formatCode>General</c:formatCode>
                <c:ptCount val="16"/>
                <c:pt idx="1">
                  <c:v>0</c:v>
                </c:pt>
                <c:pt idx="3">
                  <c:v>0</c:v>
                </c:pt>
                <c:pt idx="5">
                  <c:v>0</c:v>
                </c:pt>
                <c:pt idx="7">
                  <c:v>0</c:v>
                </c:pt>
                <c:pt idx="9">
                  <c:v>0</c:v>
                </c:pt>
                <c:pt idx="11">
                  <c:v>0</c:v>
                </c:pt>
                <c:pt idx="13" formatCode="0">
                  <c:v>0</c:v>
                </c:pt>
                <c:pt idx="15">
                  <c:v>0</c:v>
                </c:pt>
              </c:numCache>
            </c:numRef>
          </c:val>
        </c:ser>
        <c:dLbls>
          <c:showLegendKey val="0"/>
          <c:showVal val="0"/>
          <c:showCatName val="0"/>
          <c:showSerName val="0"/>
          <c:showPercent val="0"/>
          <c:showBubbleSize val="0"/>
        </c:dLbls>
        <c:gapWidth val="150"/>
        <c:overlap val="100"/>
        <c:axId val="143436800"/>
        <c:axId val="143438592"/>
      </c:barChart>
      <c:catAx>
        <c:axId val="14343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50" b="0" i="0" u="none" strike="noStrike" baseline="0">
                <a:solidFill>
                  <a:srgbClr val="000000"/>
                </a:solidFill>
                <a:latin typeface="Arial"/>
                <a:ea typeface="Arial"/>
                <a:cs typeface="Arial"/>
              </a:defRPr>
            </a:pPr>
            <a:endParaRPr lang="en-US"/>
          </a:p>
        </c:txPr>
        <c:crossAx val="143438592"/>
        <c:crosses val="autoZero"/>
        <c:auto val="1"/>
        <c:lblAlgn val="ctr"/>
        <c:lblOffset val="0"/>
        <c:tickLblSkip val="2"/>
        <c:tickMarkSkip val="2"/>
        <c:noMultiLvlLbl val="0"/>
      </c:catAx>
      <c:valAx>
        <c:axId val="143438592"/>
        <c:scaling>
          <c:orientation val="minMax"/>
        </c:scaling>
        <c:delete val="0"/>
        <c:axPos val="l"/>
        <c:majorGridlines>
          <c:spPr>
            <a:ln w="3175">
              <a:solidFill>
                <a:srgbClr val="C0C0C0"/>
              </a:solidFill>
              <a:prstDash val="solid"/>
            </a:ln>
          </c:spPr>
        </c:majorGridlines>
        <c:title>
          <c:tx>
            <c:rich>
              <a:bodyPr/>
              <a:lstStyle/>
              <a:p>
                <a:pPr>
                  <a:defRPr sz="1150" b="1" i="0" u="none" strike="noStrike" baseline="0">
                    <a:solidFill>
                      <a:srgbClr val="000000"/>
                    </a:solidFill>
                    <a:latin typeface="Arial"/>
                    <a:ea typeface="Arial"/>
                    <a:cs typeface="Arial"/>
                  </a:defRPr>
                </a:pPr>
                <a:r>
                  <a:rPr lang="en-ZA"/>
                  <a:t>No. of Points</a:t>
                </a:r>
              </a:p>
            </c:rich>
          </c:tx>
          <c:layout>
            <c:manualLayout>
              <c:xMode val="edge"/>
              <c:yMode val="edge"/>
              <c:x val="6.6666666666666662E-3"/>
              <c:y val="0.273005803851983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143436800"/>
        <c:crosses val="autoZero"/>
        <c:crossBetween val="between"/>
      </c:valAx>
      <c:spPr>
        <a:noFill/>
        <a:ln w="12700">
          <a:solidFill>
            <a:srgbClr val="808080"/>
          </a:solidFill>
          <a:prstDash val="solid"/>
        </a:ln>
      </c:spPr>
    </c:plotArea>
    <c:legend>
      <c:legendPos val="r"/>
      <c:layout>
        <c:manualLayout>
          <c:xMode val="edge"/>
          <c:yMode val="edge"/>
          <c:x val="0.21220945492278581"/>
          <c:y val="0.9154951757790839"/>
          <c:w val="0.61046557407068303"/>
          <c:h val="6.5727945978583668E-2"/>
        </c:manualLayout>
      </c:layout>
      <c:overlay val="0"/>
      <c:spPr>
        <a:solidFill>
          <a:srgbClr val="FFFFFF"/>
        </a:solidFill>
        <a:ln w="12700">
          <a:solidFill>
            <a:srgbClr val="333333"/>
          </a:solidFill>
          <a:prstDash val="solid"/>
        </a:ln>
      </c:spPr>
      <c:txPr>
        <a:bodyPr/>
        <a:lstStyle/>
        <a:p>
          <a:pPr>
            <a:defRPr sz="10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25400">
      <a:solidFill>
        <a:srgbClr val="000000"/>
      </a:solidFill>
      <a:prstDash val="solid"/>
    </a:ln>
  </c:spPr>
  <c:txPr>
    <a:bodyPr/>
    <a:lstStyle/>
    <a:p>
      <a:pPr>
        <a:defRPr sz="900" b="0" i="0" u="none" strike="noStrike" baseline="0">
          <a:solidFill>
            <a:srgbClr val="000000"/>
          </a:solidFill>
          <a:latin typeface="Verdana"/>
          <a:ea typeface="Verdana"/>
          <a:cs typeface="Verdana"/>
        </a:defRPr>
      </a:pPr>
      <a:endParaRPr lang="en-US"/>
    </a:p>
  </c:txPr>
  <c:printSettings>
    <c:headerFooter alignWithMargins="0"/>
    <c:pageMargins b="1" l="0.75" r="0.75" t="1" header="0.5" footer="0.5"/>
    <c:pageSetup orientation="landscape" horizontalDpi="-4" verticalDpi="-4"/>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CheckBox" fmlaLink="$L$73" lockText="1" noThreeD="1"/>
</file>

<file path=xl/ctrlProps/ctrlProp101.xml><?xml version="1.0" encoding="utf-8"?>
<formControlPr xmlns="http://schemas.microsoft.com/office/spreadsheetml/2009/9/main" objectType="CheckBox" fmlaLink="$L$74" lockText="1" noThreeD="1"/>
</file>

<file path=xl/ctrlProps/ctrlProp102.xml><?xml version="1.0" encoding="utf-8"?>
<formControlPr xmlns="http://schemas.microsoft.com/office/spreadsheetml/2009/9/main" objectType="CheckBox" fmlaLink="$L$75" lockText="1" noThreeD="1"/>
</file>

<file path=xl/ctrlProps/ctrlProp103.xml><?xml version="1.0" encoding="utf-8"?>
<formControlPr xmlns="http://schemas.microsoft.com/office/spreadsheetml/2009/9/main" objectType="CheckBox" fmlaLink="$M$73" lockText="1" noThreeD="1"/>
</file>

<file path=xl/ctrlProps/ctrlProp104.xml><?xml version="1.0" encoding="utf-8"?>
<formControlPr xmlns="http://schemas.microsoft.com/office/spreadsheetml/2009/9/main" objectType="CheckBox" fmlaLink="$M$75" lockText="1" noThreeD="1"/>
</file>

<file path=xl/ctrlProps/ctrlProp105.xml><?xml version="1.0" encoding="utf-8"?>
<formControlPr xmlns="http://schemas.microsoft.com/office/spreadsheetml/2009/9/main" objectType="CheckBox" fmlaLink="$M$74" lockText="1" noThreeD="1"/>
</file>

<file path=xl/ctrlProps/ctrlProp106.xml><?xml version="1.0" encoding="utf-8"?>
<formControlPr xmlns="http://schemas.microsoft.com/office/spreadsheetml/2009/9/main" objectType="CheckBox" fmlaLink="$L$73" lockText="1" noThreeD="1"/>
</file>

<file path=xl/ctrlProps/ctrlProp107.xml><?xml version="1.0" encoding="utf-8"?>
<formControlPr xmlns="http://schemas.microsoft.com/office/spreadsheetml/2009/9/main" objectType="CheckBox" fmlaLink="$L$74" lockText="1" noThreeD="1"/>
</file>

<file path=xl/ctrlProps/ctrlProp108.xml><?xml version="1.0" encoding="utf-8"?>
<formControlPr xmlns="http://schemas.microsoft.com/office/spreadsheetml/2009/9/main" objectType="CheckBox" fmlaLink="$L$75" lockText="1" noThreeD="1"/>
</file>

<file path=xl/ctrlProps/ctrlProp109.xml><?xml version="1.0" encoding="utf-8"?>
<formControlPr xmlns="http://schemas.microsoft.com/office/spreadsheetml/2009/9/main" objectType="CheckBox" fmlaLink="$M$73" lockText="1" noThreeD="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CheckBox" fmlaLink="$M$75" lockText="1" noThreeD="1"/>
</file>

<file path=xl/ctrlProps/ctrlProp111.xml><?xml version="1.0" encoding="utf-8"?>
<formControlPr xmlns="http://schemas.microsoft.com/office/spreadsheetml/2009/9/main" objectType="CheckBox" fmlaLink="$M$74" lockText="1" noThreeD="1"/>
</file>

<file path=xl/ctrlProps/ctrlProp112.xml><?xml version="1.0" encoding="utf-8"?>
<formControlPr xmlns="http://schemas.microsoft.com/office/spreadsheetml/2009/9/main" objectType="CheckBox" fmlaLink="$L$128" lockText="1" noThreeD="1"/>
</file>

<file path=xl/ctrlProps/ctrlProp113.xml><?xml version="1.0" encoding="utf-8"?>
<formControlPr xmlns="http://schemas.microsoft.com/office/spreadsheetml/2009/9/main" objectType="CheckBox" fmlaLink="$L$129" lockText="1" noThreeD="1"/>
</file>

<file path=xl/ctrlProps/ctrlProp114.xml><?xml version="1.0" encoding="utf-8"?>
<formControlPr xmlns="http://schemas.microsoft.com/office/spreadsheetml/2009/9/main" objectType="CheckBox" fmlaLink="$L$130" lockText="1" noThreeD="1"/>
</file>

<file path=xl/ctrlProps/ctrlProp115.xml><?xml version="1.0" encoding="utf-8"?>
<formControlPr xmlns="http://schemas.microsoft.com/office/spreadsheetml/2009/9/main" objectType="CheckBox" fmlaLink="$M$128" lockText="1" noThreeD="1"/>
</file>

<file path=xl/ctrlProps/ctrlProp116.xml><?xml version="1.0" encoding="utf-8"?>
<formControlPr xmlns="http://schemas.microsoft.com/office/spreadsheetml/2009/9/main" objectType="CheckBox" fmlaLink="$M$130" lockText="1" noThreeD="1"/>
</file>

<file path=xl/ctrlProps/ctrlProp117.xml><?xml version="1.0" encoding="utf-8"?>
<formControlPr xmlns="http://schemas.microsoft.com/office/spreadsheetml/2009/9/main" objectType="CheckBox" fmlaLink="$M$129" lockText="1" noThreeD="1"/>
</file>

<file path=xl/ctrlProps/ctrlProp118.xml><?xml version="1.0" encoding="utf-8"?>
<formControlPr xmlns="http://schemas.microsoft.com/office/spreadsheetml/2009/9/main" objectType="Drop" dropStyle="combo" dx="16" fmlaLink="$L$107" fmlaRange="$Z$40:$Z$41" sel="2" val="0"/>
</file>

<file path=xl/ctrlProps/ctrlProp119.xml><?xml version="1.0" encoding="utf-8"?>
<formControlPr xmlns="http://schemas.microsoft.com/office/spreadsheetml/2009/9/main" objectType="Drop" dropStyle="combo" dx="16" fmlaLink="$L$107" fmlaRange="$Z$40:$Z$41" sel="2" val="0"/>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Drop" dropStyle="combo" dx="16" fmlaLink="$L$126" fmlaRange="$Z$40:$Z$41" sel="2" val="0"/>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Drop" dropStyle="combo" dx="16" fmlaLink="$M$14" fmlaRange="$P$14:$P$15" val="0"/>
</file>

<file path=xl/ctrlProps/ctrlProp126.xml><?xml version="1.0" encoding="utf-8"?>
<formControlPr xmlns="http://schemas.microsoft.com/office/spreadsheetml/2009/9/main" objectType="Drop" dropLines="10" dropStyle="combo" dx="16" fmlaLink="$O$9" fmlaRange="$N$50:$N$101" sel="43" val="42"/>
</file>

<file path=xl/ctrlProps/ctrlProp127.xml><?xml version="1.0" encoding="utf-8"?>
<formControlPr xmlns="http://schemas.microsoft.com/office/spreadsheetml/2009/9/main" objectType="Drop" dropLines="10" dropStyle="combo" dx="16" fmlaLink="$O$11" fmlaRange="Current" sel="2" val="0"/>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CheckBox" fmlaLink="$L$73"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Drop" dropStyle="combo" dx="16" fmlaLink="$L$71" fmlaRange="$Z$40:$Z$41" sel="2" val="0"/>
</file>

<file path=xl/ctrlProps/ctrlProp21.xml><?xml version="1.0" encoding="utf-8"?>
<formControlPr xmlns="http://schemas.microsoft.com/office/spreadsheetml/2009/9/main" objectType="Drop" dropStyle="combo" dx="16" fmlaLink="$L$90" fmlaRange="$Z$40:$Z$41" sel="2" val="0"/>
</file>

<file path=xl/ctrlProps/ctrlProp22.xml><?xml version="1.0" encoding="utf-8"?>
<formControlPr xmlns="http://schemas.microsoft.com/office/spreadsheetml/2009/9/main" objectType="Drop" dropStyle="combo" dx="16" fmlaLink="$L$107" fmlaRange="$Z$40:$Z$41" sel="2" val="0"/>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Drop" dropStyle="combo" dx="16" fmlaLink="$L$62" fmlaRange="$Z$40:$Z$41" sel="2" val="0"/>
</file>

<file path=xl/ctrlProps/ctrlProp25.xml><?xml version="1.0" encoding="utf-8"?>
<formControlPr xmlns="http://schemas.microsoft.com/office/spreadsheetml/2009/9/main" objectType="CheckBox" fmlaLink="$L$93" lockText="1" noThreeD="1"/>
</file>

<file path=xl/ctrlProps/ctrlProp26.xml><?xml version="1.0" encoding="utf-8"?>
<formControlPr xmlns="http://schemas.microsoft.com/office/spreadsheetml/2009/9/main" objectType="CheckBox" fmlaLink="$L$94" lockText="1" noThreeD="1"/>
</file>

<file path=xl/ctrlProps/ctrlProp27.xml><?xml version="1.0" encoding="utf-8"?>
<formControlPr xmlns="http://schemas.microsoft.com/office/spreadsheetml/2009/9/main" objectType="CheckBox" fmlaLink="$L$95" lockText="1" noThreeD="1"/>
</file>

<file path=xl/ctrlProps/ctrlProp28.xml><?xml version="1.0" encoding="utf-8"?>
<formControlPr xmlns="http://schemas.microsoft.com/office/spreadsheetml/2009/9/main" objectType="CheckBox" fmlaLink="$M$93" lockText="1" noThreeD="1"/>
</file>

<file path=xl/ctrlProps/ctrlProp29.xml><?xml version="1.0" encoding="utf-8"?>
<formControlPr xmlns="http://schemas.microsoft.com/office/spreadsheetml/2009/9/main" objectType="CheckBox" fmlaLink="$M$95"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fmlaLink="$L$74" lockText="1" noThreeD="1"/>
</file>

<file path=xl/ctrlProps/ctrlProp31.xml><?xml version="1.0" encoding="utf-8"?>
<formControlPr xmlns="http://schemas.microsoft.com/office/spreadsheetml/2009/9/main" objectType="CheckBox" fmlaLink="$L$75" lockText="1" noThreeD="1"/>
</file>

<file path=xl/ctrlProps/ctrlProp32.xml><?xml version="1.0" encoding="utf-8"?>
<formControlPr xmlns="http://schemas.microsoft.com/office/spreadsheetml/2009/9/main" objectType="CheckBox" fmlaLink="$M$73" lockText="1" noThreeD="1"/>
</file>

<file path=xl/ctrlProps/ctrlProp33.xml><?xml version="1.0" encoding="utf-8"?>
<formControlPr xmlns="http://schemas.microsoft.com/office/spreadsheetml/2009/9/main" objectType="CheckBox" fmlaLink="$L$109" lockText="1" noThreeD="1"/>
</file>

<file path=xl/ctrlProps/ctrlProp34.xml><?xml version="1.0" encoding="utf-8"?>
<formControlPr xmlns="http://schemas.microsoft.com/office/spreadsheetml/2009/9/main" objectType="CheckBox" fmlaLink="$L$110" lockText="1" noThreeD="1"/>
</file>

<file path=xl/ctrlProps/ctrlProp35.xml><?xml version="1.0" encoding="utf-8"?>
<formControlPr xmlns="http://schemas.microsoft.com/office/spreadsheetml/2009/9/main" objectType="CheckBox" fmlaLink="$L$111" lockText="1" noThreeD="1"/>
</file>

<file path=xl/ctrlProps/ctrlProp36.xml><?xml version="1.0" encoding="utf-8"?>
<formControlPr xmlns="http://schemas.microsoft.com/office/spreadsheetml/2009/9/main" objectType="CheckBox" fmlaLink="$M$109" lockText="1" noThreeD="1"/>
</file>

<file path=xl/ctrlProps/ctrlProp37.xml><?xml version="1.0" encoding="utf-8"?>
<formControlPr xmlns="http://schemas.microsoft.com/office/spreadsheetml/2009/9/main" objectType="CheckBox" fmlaLink="$M$110" lockText="1" noThreeD="1"/>
</file>

<file path=xl/ctrlProps/ctrlProp38.xml><?xml version="1.0" encoding="utf-8"?>
<formControlPr xmlns="http://schemas.microsoft.com/office/spreadsheetml/2009/9/main" objectType="CheckBox" fmlaLink="$M$75" lockText="1" noThreeD="1"/>
</file>

<file path=xl/ctrlProps/ctrlProp39.xml><?xml version="1.0" encoding="utf-8"?>
<formControlPr xmlns="http://schemas.microsoft.com/office/spreadsheetml/2009/9/main" objectType="CheckBox" fmlaLink="$M$111" lockText="1" noThreeD="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CheckBox" fmlaLink="$M$94" lockText="1" noThreeD="1"/>
</file>

<file path=xl/ctrlProps/ctrlProp41.xml><?xml version="1.0" encoding="utf-8"?>
<formControlPr xmlns="http://schemas.microsoft.com/office/spreadsheetml/2009/9/main" objectType="CheckBox" fmlaLink="$M$74" lockText="1" noThreeD="1"/>
</file>

<file path=xl/ctrlProps/ctrlProp42.xml><?xml version="1.0" encoding="utf-8"?>
<formControlPr xmlns="http://schemas.microsoft.com/office/spreadsheetml/2009/9/main" objectType="CheckBox" fmlaLink="$L$73" lockText="1" noThreeD="1"/>
</file>

<file path=xl/ctrlProps/ctrlProp43.xml><?xml version="1.0" encoding="utf-8"?>
<formControlPr xmlns="http://schemas.microsoft.com/office/spreadsheetml/2009/9/main" objectType="Drop" dropStyle="combo" dx="16" fmlaLink="$L$71" fmlaRange="$Z$40:$Z$41" sel="2" val="0"/>
</file>

<file path=xl/ctrlProps/ctrlProp44.xml><?xml version="1.0" encoding="utf-8"?>
<formControlPr xmlns="http://schemas.microsoft.com/office/spreadsheetml/2009/9/main" objectType="Drop" dropStyle="combo" dx="16" fmlaLink="$L$90" fmlaRange="$Z$40:$Z$41" sel="2" val="0"/>
</file>

<file path=xl/ctrlProps/ctrlProp45.xml><?xml version="1.0" encoding="utf-8"?>
<formControlPr xmlns="http://schemas.microsoft.com/office/spreadsheetml/2009/9/main" objectType="Drop" dropStyle="combo" dx="16" fmlaLink="$L$107" fmlaRange="$Z$40:$Z$41" sel="2" val="0"/>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Drop" dropStyle="combo" dx="16" fmlaLink="$L$62" fmlaRange="$Z$40:$Z$41" sel="2" val="0"/>
</file>

<file path=xl/ctrlProps/ctrlProp48.xml><?xml version="1.0" encoding="utf-8"?>
<formControlPr xmlns="http://schemas.microsoft.com/office/spreadsheetml/2009/9/main" objectType="CheckBox" fmlaLink="$L$93" lockText="1" noThreeD="1"/>
</file>

<file path=xl/ctrlProps/ctrlProp49.xml><?xml version="1.0" encoding="utf-8"?>
<formControlPr xmlns="http://schemas.microsoft.com/office/spreadsheetml/2009/9/main" objectType="CheckBox" fmlaLink="$L$94" lockText="1" noThreeD="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fmlaLink="$L$95" lockText="1" noThreeD="1"/>
</file>

<file path=xl/ctrlProps/ctrlProp51.xml><?xml version="1.0" encoding="utf-8"?>
<formControlPr xmlns="http://schemas.microsoft.com/office/spreadsheetml/2009/9/main" objectType="CheckBox" fmlaLink="$M$93" lockText="1" noThreeD="1"/>
</file>

<file path=xl/ctrlProps/ctrlProp52.xml><?xml version="1.0" encoding="utf-8"?>
<formControlPr xmlns="http://schemas.microsoft.com/office/spreadsheetml/2009/9/main" objectType="CheckBox" fmlaLink="$M$95" lockText="1" noThreeD="1"/>
</file>

<file path=xl/ctrlProps/ctrlProp53.xml><?xml version="1.0" encoding="utf-8"?>
<formControlPr xmlns="http://schemas.microsoft.com/office/spreadsheetml/2009/9/main" objectType="CheckBox" fmlaLink="$L$74" lockText="1" noThreeD="1"/>
</file>

<file path=xl/ctrlProps/ctrlProp54.xml><?xml version="1.0" encoding="utf-8"?>
<formControlPr xmlns="http://schemas.microsoft.com/office/spreadsheetml/2009/9/main" objectType="CheckBox" fmlaLink="$L$75" lockText="1" noThreeD="1"/>
</file>

<file path=xl/ctrlProps/ctrlProp55.xml><?xml version="1.0" encoding="utf-8"?>
<formControlPr xmlns="http://schemas.microsoft.com/office/spreadsheetml/2009/9/main" objectType="CheckBox" fmlaLink="$M$73" lockText="1" noThreeD="1"/>
</file>

<file path=xl/ctrlProps/ctrlProp56.xml><?xml version="1.0" encoding="utf-8"?>
<formControlPr xmlns="http://schemas.microsoft.com/office/spreadsheetml/2009/9/main" objectType="CheckBox" fmlaLink="$L$109" lockText="1" noThreeD="1"/>
</file>

<file path=xl/ctrlProps/ctrlProp57.xml><?xml version="1.0" encoding="utf-8"?>
<formControlPr xmlns="http://schemas.microsoft.com/office/spreadsheetml/2009/9/main" objectType="CheckBox" fmlaLink="$L$110" lockText="1" noThreeD="1"/>
</file>

<file path=xl/ctrlProps/ctrlProp58.xml><?xml version="1.0" encoding="utf-8"?>
<formControlPr xmlns="http://schemas.microsoft.com/office/spreadsheetml/2009/9/main" objectType="CheckBox" fmlaLink="$L$111" lockText="1" noThreeD="1"/>
</file>

<file path=xl/ctrlProps/ctrlProp59.xml><?xml version="1.0" encoding="utf-8"?>
<formControlPr xmlns="http://schemas.microsoft.com/office/spreadsheetml/2009/9/main" objectType="CheckBox" fmlaLink="$M$109" lockText="1" noThreeD="1"/>
</file>

<file path=xl/ctrlProps/ctrlProp6.xml><?xml version="1.0" encoding="utf-8"?>
<formControlPr xmlns="http://schemas.microsoft.com/office/spreadsheetml/2009/9/main" objectType="Drop" dropLines="59" dropStyle="combo" dx="16" fmlaLink="Calculation!$M$18" fmlaRange="Calculation!$M$9:$M$17" sel="2" val="0"/>
</file>

<file path=xl/ctrlProps/ctrlProp60.xml><?xml version="1.0" encoding="utf-8"?>
<formControlPr xmlns="http://schemas.microsoft.com/office/spreadsheetml/2009/9/main" objectType="CheckBox" fmlaLink="$M$110" lockText="1" noThreeD="1"/>
</file>

<file path=xl/ctrlProps/ctrlProp61.xml><?xml version="1.0" encoding="utf-8"?>
<formControlPr xmlns="http://schemas.microsoft.com/office/spreadsheetml/2009/9/main" objectType="CheckBox" fmlaLink="$M$75" lockText="1" noThreeD="1"/>
</file>

<file path=xl/ctrlProps/ctrlProp62.xml><?xml version="1.0" encoding="utf-8"?>
<formControlPr xmlns="http://schemas.microsoft.com/office/spreadsheetml/2009/9/main" objectType="CheckBox" fmlaLink="$M$111" lockText="1" noThreeD="1"/>
</file>

<file path=xl/ctrlProps/ctrlProp63.xml><?xml version="1.0" encoding="utf-8"?>
<formControlPr xmlns="http://schemas.microsoft.com/office/spreadsheetml/2009/9/main" objectType="CheckBox" fmlaLink="$M$94" lockText="1" noThreeD="1"/>
</file>

<file path=xl/ctrlProps/ctrlProp64.xml><?xml version="1.0" encoding="utf-8"?>
<formControlPr xmlns="http://schemas.microsoft.com/office/spreadsheetml/2009/9/main" objectType="CheckBox" fmlaLink="$M$74" lockText="1" noThreeD="1"/>
</file>

<file path=xl/ctrlProps/ctrlProp65.xml><?xml version="1.0" encoding="utf-8"?>
<formControlPr xmlns="http://schemas.microsoft.com/office/spreadsheetml/2009/9/main" objectType="Drop" dropLines="4" dropStyle="combo" dx="16" fmlaLink="$L$35" fmlaRange="$Y$20:$Y$23" sel="4" val="0"/>
</file>

<file path=xl/ctrlProps/ctrlProp66.xml><?xml version="1.0" encoding="utf-8"?>
<formControlPr xmlns="http://schemas.microsoft.com/office/spreadsheetml/2009/9/main" objectType="Drop" dropLines="4" dropStyle="combo" dx="16" fmlaLink="$L$36" fmlaRange="$Y$20:$Y$23" sel="4" val="0"/>
</file>

<file path=xl/ctrlProps/ctrlProp67.xml><?xml version="1.0" encoding="utf-8"?>
<formControlPr xmlns="http://schemas.microsoft.com/office/spreadsheetml/2009/9/main" objectType="Drop" dropLines="4" dropStyle="combo" dx="16" fmlaLink="$L$37" fmlaRange="$Y$20:$Y$23" sel="4" val="0"/>
</file>

<file path=xl/ctrlProps/ctrlProp68.xml><?xml version="1.0" encoding="utf-8"?>
<formControlPr xmlns="http://schemas.microsoft.com/office/spreadsheetml/2009/9/main" objectType="Drop" dropLines="4" dropStyle="combo" dx="16" fmlaLink="$L$38" fmlaRange="$Y$20:$Y$23" sel="4" val="0"/>
</file>

<file path=xl/ctrlProps/ctrlProp69.xml><?xml version="1.0" encoding="utf-8"?>
<formControlPr xmlns="http://schemas.microsoft.com/office/spreadsheetml/2009/9/main" objectType="CheckBox" fmlaLink="$L$73" lockText="1" noThreeD="1"/>
</file>

<file path=xl/ctrlProps/ctrlProp7.xml><?xml version="1.0" encoding="utf-8"?>
<formControlPr xmlns="http://schemas.microsoft.com/office/spreadsheetml/2009/9/main" objectType="Drop" dropLines="59" dropStyle="combo" dx="16" fmlaLink="Calculation!$M$25" fmlaRange="Calculation!$M$22:$M$23" val="0"/>
</file>

<file path=xl/ctrlProps/ctrlProp70.xml><?xml version="1.0" encoding="utf-8"?>
<formControlPr xmlns="http://schemas.microsoft.com/office/spreadsheetml/2009/9/main" objectType="Drop" dropStyle="combo" dx="16" fmlaLink="$L$71" fmlaRange="$Z$40:$Z$41" sel="2" val="0"/>
</file>

<file path=xl/ctrlProps/ctrlProp71.xml><?xml version="1.0" encoding="utf-8"?>
<formControlPr xmlns="http://schemas.microsoft.com/office/spreadsheetml/2009/9/main" objectType="Drop" dropLines="5" dropStyle="combo" dx="16" fmlaLink="$L$78" fmlaRange="$Z$32:$Z$36" noThreeD="1" val="0"/>
</file>

<file path=xl/ctrlProps/ctrlProp72.xml><?xml version="1.0" encoding="utf-8"?>
<formControlPr xmlns="http://schemas.microsoft.com/office/spreadsheetml/2009/9/main" objectType="Drop" dropStyle="combo" dx="16" fmlaLink="$L$90" fmlaRange="$Z$40:$Z$41" sel="2" val="0"/>
</file>

<file path=xl/ctrlProps/ctrlProp73.xml><?xml version="1.0" encoding="utf-8"?>
<formControlPr xmlns="http://schemas.microsoft.com/office/spreadsheetml/2009/9/main" objectType="Drop" dropStyle="combo" dx="16" fmlaLink="$L$107" fmlaRange="$Z$40:$Z$41" sel="2" val="0"/>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Drop" dropStyle="combo" dx="16" fmlaLink="$L$62" fmlaRange="$Z$40:$Z$41" sel="2" val="0"/>
</file>

<file path=xl/ctrlProps/ctrlProp76.xml><?xml version="1.0" encoding="utf-8"?>
<formControlPr xmlns="http://schemas.microsoft.com/office/spreadsheetml/2009/9/main" objectType="CheckBox" fmlaLink="$L$93" lockText="1" noThreeD="1"/>
</file>

<file path=xl/ctrlProps/ctrlProp77.xml><?xml version="1.0" encoding="utf-8"?>
<formControlPr xmlns="http://schemas.microsoft.com/office/spreadsheetml/2009/9/main" objectType="CheckBox" fmlaLink="$L$94" lockText="1" noThreeD="1"/>
</file>

<file path=xl/ctrlProps/ctrlProp78.xml><?xml version="1.0" encoding="utf-8"?>
<formControlPr xmlns="http://schemas.microsoft.com/office/spreadsheetml/2009/9/main" objectType="CheckBox" fmlaLink="$L$95" lockText="1" noThreeD="1"/>
</file>

<file path=xl/ctrlProps/ctrlProp79.xml><?xml version="1.0" encoding="utf-8"?>
<formControlPr xmlns="http://schemas.microsoft.com/office/spreadsheetml/2009/9/main" objectType="CheckBox" fmlaLink="$M$93" lockText="1" noThreeD="1"/>
</file>

<file path=xl/ctrlProps/ctrlProp8.xml><?xml version="1.0" encoding="utf-8"?>
<formControlPr xmlns="http://schemas.microsoft.com/office/spreadsheetml/2009/9/main" objectType="Drop" dropStyle="combo" dx="16" fmlaLink="Calculation!$M$31" fmlaRange="Calculation!$M$28:$M$30" val="0"/>
</file>

<file path=xl/ctrlProps/ctrlProp80.xml><?xml version="1.0" encoding="utf-8"?>
<formControlPr xmlns="http://schemas.microsoft.com/office/spreadsheetml/2009/9/main" objectType="CheckBox" fmlaLink="$M$95" lockText="1" noThreeD="1"/>
</file>

<file path=xl/ctrlProps/ctrlProp81.xml><?xml version="1.0" encoding="utf-8"?>
<formControlPr xmlns="http://schemas.microsoft.com/office/spreadsheetml/2009/9/main" objectType="CheckBox" fmlaLink="$L$74" lockText="1" noThreeD="1"/>
</file>

<file path=xl/ctrlProps/ctrlProp82.xml><?xml version="1.0" encoding="utf-8"?>
<formControlPr xmlns="http://schemas.microsoft.com/office/spreadsheetml/2009/9/main" objectType="CheckBox" fmlaLink="$L$75" lockText="1" noThreeD="1"/>
</file>

<file path=xl/ctrlProps/ctrlProp83.xml><?xml version="1.0" encoding="utf-8"?>
<formControlPr xmlns="http://schemas.microsoft.com/office/spreadsheetml/2009/9/main" objectType="CheckBox" fmlaLink="$M$73" lockText="1" noThreeD="1"/>
</file>

<file path=xl/ctrlProps/ctrlProp84.xml><?xml version="1.0" encoding="utf-8"?>
<formControlPr xmlns="http://schemas.microsoft.com/office/spreadsheetml/2009/9/main" objectType="CheckBox" fmlaLink="$L$109" lockText="1" noThreeD="1"/>
</file>

<file path=xl/ctrlProps/ctrlProp85.xml><?xml version="1.0" encoding="utf-8"?>
<formControlPr xmlns="http://schemas.microsoft.com/office/spreadsheetml/2009/9/main" objectType="CheckBox" fmlaLink="$L$110" lockText="1" noThreeD="1"/>
</file>

<file path=xl/ctrlProps/ctrlProp86.xml><?xml version="1.0" encoding="utf-8"?>
<formControlPr xmlns="http://schemas.microsoft.com/office/spreadsheetml/2009/9/main" objectType="CheckBox" fmlaLink="$L$111" lockText="1" noThreeD="1"/>
</file>

<file path=xl/ctrlProps/ctrlProp87.xml><?xml version="1.0" encoding="utf-8"?>
<formControlPr xmlns="http://schemas.microsoft.com/office/spreadsheetml/2009/9/main" objectType="CheckBox" fmlaLink="$M$109" lockText="1" noThreeD="1"/>
</file>

<file path=xl/ctrlProps/ctrlProp88.xml><?xml version="1.0" encoding="utf-8"?>
<formControlPr xmlns="http://schemas.microsoft.com/office/spreadsheetml/2009/9/main" objectType="CheckBox" fmlaLink="$M$110" lockText="1" noThreeD="1"/>
</file>

<file path=xl/ctrlProps/ctrlProp89.xml><?xml version="1.0" encoding="utf-8"?>
<formControlPr xmlns="http://schemas.microsoft.com/office/spreadsheetml/2009/9/main" objectType="CheckBox" fmlaLink="$M$75" lockText="1" noThreeD="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CheckBox" fmlaLink="$M$111" lockText="1" noThreeD="1"/>
</file>

<file path=xl/ctrlProps/ctrlProp91.xml><?xml version="1.0" encoding="utf-8"?>
<formControlPr xmlns="http://schemas.microsoft.com/office/spreadsheetml/2009/9/main" objectType="CheckBox" fmlaLink="$M$94" lockText="1" noThreeD="1"/>
</file>

<file path=xl/ctrlProps/ctrlProp92.xml><?xml version="1.0" encoding="utf-8"?>
<formControlPr xmlns="http://schemas.microsoft.com/office/spreadsheetml/2009/9/main" objectType="CheckBox" fmlaLink="$M$74" lockText="1" noThreeD="1"/>
</file>

<file path=xl/ctrlProps/ctrlProp93.xml><?xml version="1.0" encoding="utf-8"?>
<formControlPr xmlns="http://schemas.microsoft.com/office/spreadsheetml/2009/9/main" objectType="Drop" dropLines="4" dropStyle="combo" dx="16" fmlaLink="$L$35" fmlaRange="$Y$20:$Y$23" sel="4" val="0"/>
</file>

<file path=xl/ctrlProps/ctrlProp94.xml><?xml version="1.0" encoding="utf-8"?>
<formControlPr xmlns="http://schemas.microsoft.com/office/spreadsheetml/2009/9/main" objectType="Drop" dropLines="4" dropStyle="combo" dx="16" fmlaLink="$L$36" fmlaRange="$Y$20:$Y$23" sel="4" val="0"/>
</file>

<file path=xl/ctrlProps/ctrlProp95.xml><?xml version="1.0" encoding="utf-8"?>
<formControlPr xmlns="http://schemas.microsoft.com/office/spreadsheetml/2009/9/main" objectType="Drop" dropLines="4" dropStyle="combo" dx="16" fmlaLink="$L$37" fmlaRange="$Y$20:$Y$23" sel="4" val="0"/>
</file>

<file path=xl/ctrlProps/ctrlProp96.xml><?xml version="1.0" encoding="utf-8"?>
<formControlPr xmlns="http://schemas.microsoft.com/office/spreadsheetml/2009/9/main" objectType="Drop" dropLines="4" dropStyle="combo" dx="16" fmlaLink="$L$38" fmlaRange="$Y$20:$Y$23" sel="4" val="0"/>
</file>

<file path=xl/ctrlProps/ctrlProp97.xml><?xml version="1.0" encoding="utf-8"?>
<formControlPr xmlns="http://schemas.microsoft.com/office/spreadsheetml/2009/9/main" objectType="Drop" dropStyle="combo" dx="16" fmlaLink="$B$83" fmlaRange="cities_rainfall" noThreeD="1" val="0"/>
</file>

<file path=xl/ctrlProps/ctrlProp98.xml><?xml version="1.0" encoding="utf-8"?>
<formControlPr xmlns="http://schemas.microsoft.com/office/spreadsheetml/2009/9/main" objectType="Drop" dropLines="5" dropStyle="combo" dx="16" fmlaLink="$L$79" fmlaRange="$Z$32:$Z$36" noThreeD="1" val="0"/>
</file>

<file path=xl/ctrlProps/ctrlProp99.xml><?xml version="1.0" encoding="utf-8"?>
<formControlPr xmlns="http://schemas.microsoft.com/office/spreadsheetml/2009/9/main" objectType="Drop" dropLines="5" dropStyle="combo" dx="16" fmlaLink="$L$80" fmlaRange="$Z$32:$Z$36" noThreeD="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4" Type="http://schemas.openxmlformats.org/officeDocument/2006/relationships/image" Target="../media/image7.jpeg"/></Relationships>
</file>

<file path=xl/drawings/_rels/drawing2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3333750</xdr:colOff>
      <xdr:row>9</xdr:row>
      <xdr:rowOff>66675</xdr:rowOff>
    </xdr:to>
    <xdr:pic>
      <xdr:nvPicPr>
        <xdr:cNvPr id="7294" name="Picture 63"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71450"/>
          <a:ext cx="330517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20</xdr:row>
      <xdr:rowOff>85725</xdr:rowOff>
    </xdr:from>
    <xdr:to>
      <xdr:col>1</xdr:col>
      <xdr:colOff>2466975</xdr:colOff>
      <xdr:row>27</xdr:row>
      <xdr:rowOff>142875</xdr:rowOff>
    </xdr:to>
    <xdr:pic>
      <xdr:nvPicPr>
        <xdr:cNvPr id="7295" name="Picture 64" descr="GSSA Office Design v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4714875"/>
          <a:ext cx="243840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3162300</xdr:colOff>
      <xdr:row>20</xdr:row>
      <xdr:rowOff>85725</xdr:rowOff>
    </xdr:from>
    <xdr:to>
      <xdr:col>2</xdr:col>
      <xdr:colOff>19050</xdr:colOff>
      <xdr:row>27</xdr:row>
      <xdr:rowOff>142875</xdr:rowOff>
    </xdr:to>
    <xdr:pic>
      <xdr:nvPicPr>
        <xdr:cNvPr id="7296" name="Picture 65" descr="GSSA Office As Built v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19475" y="4714875"/>
          <a:ext cx="24479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15</xdr:row>
          <xdr:rowOff>104775</xdr:rowOff>
        </xdr:from>
        <xdr:to>
          <xdr:col>8</xdr:col>
          <xdr:colOff>9525</xdr:colOff>
          <xdr:row>17</xdr:row>
          <xdr:rowOff>57150</xdr:rowOff>
        </xdr:to>
        <xdr:sp macro="" textlink="">
          <xdr:nvSpPr>
            <xdr:cNvPr id="49153" name="Button 1" hidden="1">
              <a:extLst>
                <a:ext uri="{63B3BB69-23CF-44E3-9099-C40C66FF867C}">
                  <a14:compatExt spid="_x0000_s4915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26</xdr:row>
          <xdr:rowOff>104775</xdr:rowOff>
        </xdr:from>
        <xdr:to>
          <xdr:col>8</xdr:col>
          <xdr:colOff>19050</xdr:colOff>
          <xdr:row>28</xdr:row>
          <xdr:rowOff>57150</xdr:rowOff>
        </xdr:to>
        <xdr:sp macro="" textlink="">
          <xdr:nvSpPr>
            <xdr:cNvPr id="48129" name="Button 1" hidden="1">
              <a:extLst>
                <a:ext uri="{63B3BB69-23CF-44E3-9099-C40C66FF867C}">
                  <a14:compatExt spid="_x0000_s4812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14</xdr:row>
          <xdr:rowOff>104775</xdr:rowOff>
        </xdr:from>
        <xdr:to>
          <xdr:col>8</xdr:col>
          <xdr:colOff>9525</xdr:colOff>
          <xdr:row>16</xdr:row>
          <xdr:rowOff>57150</xdr:rowOff>
        </xdr:to>
        <xdr:sp macro="" textlink="">
          <xdr:nvSpPr>
            <xdr:cNvPr id="47105" name="Button 1" hidden="1">
              <a:extLst>
                <a:ext uri="{63B3BB69-23CF-44E3-9099-C40C66FF867C}">
                  <a14:compatExt spid="_x0000_s4710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152400</xdr:colOff>
          <xdr:row>5</xdr:row>
          <xdr:rowOff>2000250</xdr:rowOff>
        </xdr:from>
        <xdr:to>
          <xdr:col>3</xdr:col>
          <xdr:colOff>3143250</xdr:colOff>
          <xdr:row>5</xdr:row>
          <xdr:rowOff>2266950</xdr:rowOff>
        </xdr:to>
        <xdr:sp macro="" textlink="">
          <xdr:nvSpPr>
            <xdr:cNvPr id="47106" name="Button 2" hidden="1">
              <a:extLst>
                <a:ext uri="{63B3BB69-23CF-44E3-9099-C40C66FF867C}">
                  <a14:compatExt spid="_x0000_s4710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Go to Energy Calculator</a:t>
              </a:r>
              <a:endParaRPr lang="en-GB"/>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180975</xdr:colOff>
          <xdr:row>79</xdr:row>
          <xdr:rowOff>76200</xdr:rowOff>
        </xdr:from>
        <xdr:to>
          <xdr:col>8</xdr:col>
          <xdr:colOff>28575</xdr:colOff>
          <xdr:row>81</xdr:row>
          <xdr:rowOff>28575</xdr:rowOff>
        </xdr:to>
        <xdr:sp macro="" textlink="">
          <xdr:nvSpPr>
            <xdr:cNvPr id="62471" name="Button 7" hidden="1">
              <a:extLst>
                <a:ext uri="{63B3BB69-23CF-44E3-9099-C40C66FF867C}">
                  <a14:compatExt spid="_x0000_s6247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Energy Credits</a:t>
              </a:r>
              <a:endParaRPr lang="en-GB"/>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11</xdr:row>
          <xdr:rowOff>104775</xdr:rowOff>
        </xdr:from>
        <xdr:to>
          <xdr:col>8</xdr:col>
          <xdr:colOff>9525</xdr:colOff>
          <xdr:row>13</xdr:row>
          <xdr:rowOff>57150</xdr:rowOff>
        </xdr:to>
        <xdr:sp macro="" textlink="">
          <xdr:nvSpPr>
            <xdr:cNvPr id="46081" name="Button 1" hidden="1">
              <a:extLst>
                <a:ext uri="{63B3BB69-23CF-44E3-9099-C40C66FF867C}">
                  <a14:compatExt spid="_x0000_s4608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1219200</xdr:colOff>
          <xdr:row>8</xdr:row>
          <xdr:rowOff>1076325</xdr:rowOff>
        </xdr:from>
        <xdr:to>
          <xdr:col>3</xdr:col>
          <xdr:colOff>3162300</xdr:colOff>
          <xdr:row>8</xdr:row>
          <xdr:rowOff>1352550</xdr:rowOff>
        </xdr:to>
        <xdr:sp macro="" textlink="">
          <xdr:nvSpPr>
            <xdr:cNvPr id="46082" name="Button 2" hidden="1">
              <a:extLst>
                <a:ext uri="{63B3BB69-23CF-44E3-9099-C40C66FF867C}">
                  <a14:compatExt spid="_x0000_s4608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Transport Calculator</a:t>
              </a:r>
              <a:endParaRPr lang="en-GB"/>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695325</xdr:colOff>
          <xdr:row>27</xdr:row>
          <xdr:rowOff>85725</xdr:rowOff>
        </xdr:from>
        <xdr:to>
          <xdr:col>4</xdr:col>
          <xdr:colOff>0</xdr:colOff>
          <xdr:row>27</xdr:row>
          <xdr:rowOff>561975</xdr:rowOff>
        </xdr:to>
        <xdr:sp macro="" textlink="">
          <xdr:nvSpPr>
            <xdr:cNvPr id="39937" name="Button 1" hidden="1">
              <a:extLst>
                <a:ext uri="{63B3BB69-23CF-44E3-9099-C40C66FF867C}">
                  <a14:compatExt spid="_x0000_s3993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Back to Transport Credits</a:t>
              </a:r>
              <a:endParaRPr lang="en-GB"/>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876300</xdr:colOff>
          <xdr:row>11</xdr:row>
          <xdr:rowOff>104775</xdr:rowOff>
        </xdr:from>
        <xdr:to>
          <xdr:col>8</xdr:col>
          <xdr:colOff>0</xdr:colOff>
          <xdr:row>13</xdr:row>
          <xdr:rowOff>57150</xdr:rowOff>
        </xdr:to>
        <xdr:sp macro="" textlink="">
          <xdr:nvSpPr>
            <xdr:cNvPr id="45057" name="Button 1" hidden="1">
              <a:extLst>
                <a:ext uri="{63B3BB69-23CF-44E3-9099-C40C66FF867C}">
                  <a14:compatExt spid="_x0000_s4505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257175</xdr:colOff>
          <xdr:row>4</xdr:row>
          <xdr:rowOff>885825</xdr:rowOff>
        </xdr:from>
        <xdr:to>
          <xdr:col>3</xdr:col>
          <xdr:colOff>3248025</xdr:colOff>
          <xdr:row>4</xdr:row>
          <xdr:rowOff>1295400</xdr:rowOff>
        </xdr:to>
        <xdr:sp macro="" textlink="">
          <xdr:nvSpPr>
            <xdr:cNvPr id="45058" name="Button 2" hidden="1">
              <a:extLst>
                <a:ext uri="{63B3BB69-23CF-44E3-9099-C40C66FF867C}">
                  <a14:compatExt spid="_x0000_s4505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Go to Water Calculator</a:t>
              </a:r>
              <a:endParaRPr lang="en-GB"/>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1</xdr:col>
      <xdr:colOff>600075</xdr:colOff>
      <xdr:row>145</xdr:row>
      <xdr:rowOff>9525</xdr:rowOff>
    </xdr:from>
    <xdr:to>
      <xdr:col>6</xdr:col>
      <xdr:colOff>495300</xdr:colOff>
      <xdr:row>145</xdr:row>
      <xdr:rowOff>1457325</xdr:rowOff>
    </xdr:to>
    <xdr:graphicFrame macro="">
      <xdr:nvGraphicFramePr>
        <xdr:cNvPr id="55986"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1066800</xdr:colOff>
          <xdr:row>72</xdr:row>
          <xdr:rowOff>0</xdr:rowOff>
        </xdr:from>
        <xdr:to>
          <xdr:col>1</xdr:col>
          <xdr:colOff>1371600</xdr:colOff>
          <xdr:row>73</xdr:row>
          <xdr:rowOff>0</xdr:rowOff>
        </xdr:to>
        <xdr:sp macro="" textlink="">
          <xdr:nvSpPr>
            <xdr:cNvPr id="55297" name="Check Box 1" hidden="1">
              <a:extLst>
                <a:ext uri="{63B3BB69-23CF-44E3-9099-C40C66FF867C}">
                  <a14:compatExt spid="_x0000_s55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70</xdr:row>
          <xdr:rowOff>76200</xdr:rowOff>
        </xdr:from>
        <xdr:to>
          <xdr:col>7</xdr:col>
          <xdr:colOff>314325</xdr:colOff>
          <xdr:row>70</xdr:row>
          <xdr:rowOff>295275</xdr:rowOff>
        </xdr:to>
        <xdr:sp macro="" textlink="">
          <xdr:nvSpPr>
            <xdr:cNvPr id="55304" name="Drop Down 8" hidden="1">
              <a:extLst>
                <a:ext uri="{63B3BB69-23CF-44E3-9099-C40C66FF867C}">
                  <a14:compatExt spid="_x0000_s55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89</xdr:row>
          <xdr:rowOff>104775</xdr:rowOff>
        </xdr:from>
        <xdr:to>
          <xdr:col>7</xdr:col>
          <xdr:colOff>342900</xdr:colOff>
          <xdr:row>89</xdr:row>
          <xdr:rowOff>314325</xdr:rowOff>
        </xdr:to>
        <xdr:sp macro="" textlink="">
          <xdr:nvSpPr>
            <xdr:cNvPr id="55306" name="Drop Down 10" hidden="1">
              <a:extLst>
                <a:ext uri="{63B3BB69-23CF-44E3-9099-C40C66FF867C}">
                  <a14:compatExt spid="_x0000_s55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106</xdr:row>
          <xdr:rowOff>19050</xdr:rowOff>
        </xdr:from>
        <xdr:to>
          <xdr:col>7</xdr:col>
          <xdr:colOff>314325</xdr:colOff>
          <xdr:row>106</xdr:row>
          <xdr:rowOff>371475</xdr:rowOff>
        </xdr:to>
        <xdr:sp macro="" textlink="">
          <xdr:nvSpPr>
            <xdr:cNvPr id="55307" name="Drop Down 11" hidden="1">
              <a:extLst>
                <a:ext uri="{63B3BB69-23CF-44E3-9099-C40C66FF867C}">
                  <a14:compatExt spid="_x0000_s55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581025</xdr:colOff>
          <xdr:row>166</xdr:row>
          <xdr:rowOff>152400</xdr:rowOff>
        </xdr:from>
        <xdr:to>
          <xdr:col>8</xdr:col>
          <xdr:colOff>247650</xdr:colOff>
          <xdr:row>167</xdr:row>
          <xdr:rowOff>209550</xdr:rowOff>
        </xdr:to>
        <xdr:sp macro="" textlink="">
          <xdr:nvSpPr>
            <xdr:cNvPr id="55308" name="Button 12" hidden="1">
              <a:extLst>
                <a:ext uri="{63B3BB69-23CF-44E3-9099-C40C66FF867C}">
                  <a14:compatExt spid="_x0000_s5530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Water Credits</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61</xdr:row>
          <xdr:rowOff>266700</xdr:rowOff>
        </xdr:from>
        <xdr:to>
          <xdr:col>7</xdr:col>
          <xdr:colOff>381000</xdr:colOff>
          <xdr:row>61</xdr:row>
          <xdr:rowOff>533400</xdr:rowOff>
        </xdr:to>
        <xdr:sp macro="" textlink="">
          <xdr:nvSpPr>
            <xdr:cNvPr id="55322" name="Drop Down 26" hidden="1">
              <a:extLst>
                <a:ext uri="{63B3BB69-23CF-44E3-9099-C40C66FF867C}">
                  <a14:compatExt spid="_x0000_s55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90</xdr:row>
          <xdr:rowOff>238125</xdr:rowOff>
        </xdr:from>
        <xdr:to>
          <xdr:col>1</xdr:col>
          <xdr:colOff>1362075</xdr:colOff>
          <xdr:row>92</xdr:row>
          <xdr:rowOff>0</xdr:rowOff>
        </xdr:to>
        <xdr:sp macro="" textlink="">
          <xdr:nvSpPr>
            <xdr:cNvPr id="55325" name="Check Box 29" hidden="1">
              <a:extLst>
                <a:ext uri="{63B3BB69-23CF-44E3-9099-C40C66FF867C}">
                  <a14:compatExt spid="_x0000_s55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92</xdr:row>
          <xdr:rowOff>28575</xdr:rowOff>
        </xdr:from>
        <xdr:to>
          <xdr:col>1</xdr:col>
          <xdr:colOff>1362075</xdr:colOff>
          <xdr:row>93</xdr:row>
          <xdr:rowOff>0</xdr:rowOff>
        </xdr:to>
        <xdr:sp macro="" textlink="">
          <xdr:nvSpPr>
            <xdr:cNvPr id="55326" name="Check Box 30" hidden="1">
              <a:extLst>
                <a:ext uri="{63B3BB69-23CF-44E3-9099-C40C66FF867C}">
                  <a14:compatExt spid="_x0000_s55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93</xdr:row>
          <xdr:rowOff>28575</xdr:rowOff>
        </xdr:from>
        <xdr:to>
          <xdr:col>1</xdr:col>
          <xdr:colOff>1362075</xdr:colOff>
          <xdr:row>93</xdr:row>
          <xdr:rowOff>238125</xdr:rowOff>
        </xdr:to>
        <xdr:sp macro="" textlink="">
          <xdr:nvSpPr>
            <xdr:cNvPr id="55327" name="Check Box 31" hidden="1">
              <a:extLst>
                <a:ext uri="{63B3BB69-23CF-44E3-9099-C40C66FF867C}">
                  <a14:compatExt spid="_x0000_s55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90</xdr:row>
          <xdr:rowOff>238125</xdr:rowOff>
        </xdr:from>
        <xdr:to>
          <xdr:col>4</xdr:col>
          <xdr:colOff>104775</xdr:colOff>
          <xdr:row>92</xdr:row>
          <xdr:rowOff>0</xdr:rowOff>
        </xdr:to>
        <xdr:sp macro="" textlink="">
          <xdr:nvSpPr>
            <xdr:cNvPr id="55328" name="Check Box 32" hidden="1">
              <a:extLst>
                <a:ext uri="{63B3BB69-23CF-44E3-9099-C40C66FF867C}">
                  <a14:compatExt spid="_x0000_s55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93</xdr:row>
          <xdr:rowOff>28575</xdr:rowOff>
        </xdr:from>
        <xdr:to>
          <xdr:col>4</xdr:col>
          <xdr:colOff>104775</xdr:colOff>
          <xdr:row>93</xdr:row>
          <xdr:rowOff>228600</xdr:rowOff>
        </xdr:to>
        <xdr:sp macro="" textlink="">
          <xdr:nvSpPr>
            <xdr:cNvPr id="55330" name="Check Box 34" hidden="1">
              <a:extLst>
                <a:ext uri="{63B3BB69-23CF-44E3-9099-C40C66FF867C}">
                  <a14:compatExt spid="_x0000_s55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73</xdr:row>
          <xdr:rowOff>9525</xdr:rowOff>
        </xdr:from>
        <xdr:to>
          <xdr:col>1</xdr:col>
          <xdr:colOff>1371600</xdr:colOff>
          <xdr:row>73</xdr:row>
          <xdr:rowOff>247650</xdr:rowOff>
        </xdr:to>
        <xdr:sp macro="" textlink="">
          <xdr:nvSpPr>
            <xdr:cNvPr id="55331" name="Check Box 35" hidden="1">
              <a:extLst>
                <a:ext uri="{63B3BB69-23CF-44E3-9099-C40C66FF867C}">
                  <a14:compatExt spid="_x0000_s55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74</xdr:row>
          <xdr:rowOff>28575</xdr:rowOff>
        </xdr:from>
        <xdr:to>
          <xdr:col>1</xdr:col>
          <xdr:colOff>1371600</xdr:colOff>
          <xdr:row>74</xdr:row>
          <xdr:rowOff>238125</xdr:rowOff>
        </xdr:to>
        <xdr:sp macro="" textlink="">
          <xdr:nvSpPr>
            <xdr:cNvPr id="55332" name="Check Box 36" hidden="1">
              <a:extLst>
                <a:ext uri="{63B3BB69-23CF-44E3-9099-C40C66FF867C}">
                  <a14:compatExt spid="_x0000_s55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72</xdr:row>
          <xdr:rowOff>0</xdr:rowOff>
        </xdr:from>
        <xdr:to>
          <xdr:col>4</xdr:col>
          <xdr:colOff>200025</xdr:colOff>
          <xdr:row>73</xdr:row>
          <xdr:rowOff>0</xdr:rowOff>
        </xdr:to>
        <xdr:sp macro="" textlink="">
          <xdr:nvSpPr>
            <xdr:cNvPr id="55333" name="Check Box 37" hidden="1">
              <a:extLst>
                <a:ext uri="{63B3BB69-23CF-44E3-9099-C40C66FF867C}">
                  <a14:compatExt spid="_x0000_s55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9525</xdr:rowOff>
        </xdr:from>
        <xdr:to>
          <xdr:col>1</xdr:col>
          <xdr:colOff>1343025</xdr:colOff>
          <xdr:row>109</xdr:row>
          <xdr:rowOff>0</xdr:rowOff>
        </xdr:to>
        <xdr:sp macro="" textlink="">
          <xdr:nvSpPr>
            <xdr:cNvPr id="55336" name="Check Box 40" hidden="1">
              <a:extLst>
                <a:ext uri="{63B3BB69-23CF-44E3-9099-C40C66FF867C}">
                  <a14:compatExt spid="_x0000_s55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190500</xdr:rowOff>
        </xdr:from>
        <xdr:to>
          <xdr:col>1</xdr:col>
          <xdr:colOff>1343025</xdr:colOff>
          <xdr:row>110</xdr:row>
          <xdr:rowOff>0</xdr:rowOff>
        </xdr:to>
        <xdr:sp macro="" textlink="">
          <xdr:nvSpPr>
            <xdr:cNvPr id="55337" name="Check Box 41" hidden="1">
              <a:extLst>
                <a:ext uri="{63B3BB69-23CF-44E3-9099-C40C66FF867C}">
                  <a14:compatExt spid="_x0000_s55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109</xdr:row>
          <xdr:rowOff>209550</xdr:rowOff>
        </xdr:from>
        <xdr:to>
          <xdr:col>1</xdr:col>
          <xdr:colOff>1343025</xdr:colOff>
          <xdr:row>110</xdr:row>
          <xdr:rowOff>190500</xdr:rowOff>
        </xdr:to>
        <xdr:sp macro="" textlink="">
          <xdr:nvSpPr>
            <xdr:cNvPr id="55338" name="Check Box 42" hidden="1">
              <a:extLst>
                <a:ext uri="{63B3BB69-23CF-44E3-9099-C40C66FF867C}">
                  <a14:compatExt spid="_x0000_s55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107</xdr:row>
          <xdr:rowOff>247650</xdr:rowOff>
        </xdr:from>
        <xdr:to>
          <xdr:col>4</xdr:col>
          <xdr:colOff>133350</xdr:colOff>
          <xdr:row>108</xdr:row>
          <xdr:rowOff>209550</xdr:rowOff>
        </xdr:to>
        <xdr:sp macro="" textlink="">
          <xdr:nvSpPr>
            <xdr:cNvPr id="55339" name="Check Box 43" hidden="1">
              <a:extLst>
                <a:ext uri="{63B3BB69-23CF-44E3-9099-C40C66FF867C}">
                  <a14:compatExt spid="_x0000_s55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108</xdr:row>
          <xdr:rowOff>209550</xdr:rowOff>
        </xdr:from>
        <xdr:to>
          <xdr:col>4</xdr:col>
          <xdr:colOff>142875</xdr:colOff>
          <xdr:row>110</xdr:row>
          <xdr:rowOff>19050</xdr:rowOff>
        </xdr:to>
        <xdr:sp macro="" textlink="">
          <xdr:nvSpPr>
            <xdr:cNvPr id="55340" name="Check Box 44" hidden="1">
              <a:extLst>
                <a:ext uri="{63B3BB69-23CF-44E3-9099-C40C66FF867C}">
                  <a14:compatExt spid="_x0000_s55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74</xdr:row>
          <xdr:rowOff>28575</xdr:rowOff>
        </xdr:from>
        <xdr:to>
          <xdr:col>4</xdr:col>
          <xdr:colOff>200025</xdr:colOff>
          <xdr:row>74</xdr:row>
          <xdr:rowOff>228600</xdr:rowOff>
        </xdr:to>
        <xdr:sp macro="" textlink="">
          <xdr:nvSpPr>
            <xdr:cNvPr id="55345" name="Check Box 49" hidden="1">
              <a:extLst>
                <a:ext uri="{63B3BB69-23CF-44E3-9099-C40C66FF867C}">
                  <a14:compatExt spid="_x0000_s55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110</xdr:row>
          <xdr:rowOff>9525</xdr:rowOff>
        </xdr:from>
        <xdr:to>
          <xdr:col>4</xdr:col>
          <xdr:colOff>133350</xdr:colOff>
          <xdr:row>110</xdr:row>
          <xdr:rowOff>209550</xdr:rowOff>
        </xdr:to>
        <xdr:sp macro="" textlink="">
          <xdr:nvSpPr>
            <xdr:cNvPr id="55346" name="Check Box 50" hidden="1">
              <a:extLst>
                <a:ext uri="{63B3BB69-23CF-44E3-9099-C40C66FF867C}">
                  <a14:compatExt spid="_x0000_s55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92</xdr:row>
          <xdr:rowOff>28575</xdr:rowOff>
        </xdr:from>
        <xdr:to>
          <xdr:col>4</xdr:col>
          <xdr:colOff>104775</xdr:colOff>
          <xdr:row>93</xdr:row>
          <xdr:rowOff>0</xdr:rowOff>
        </xdr:to>
        <xdr:sp macro="" textlink="">
          <xdr:nvSpPr>
            <xdr:cNvPr id="55347" name="Check Box 51" hidden="1">
              <a:extLst>
                <a:ext uri="{63B3BB69-23CF-44E3-9099-C40C66FF867C}">
                  <a14:compatExt spid="_x0000_s55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73</xdr:row>
          <xdr:rowOff>9525</xdr:rowOff>
        </xdr:from>
        <xdr:to>
          <xdr:col>4</xdr:col>
          <xdr:colOff>200025</xdr:colOff>
          <xdr:row>73</xdr:row>
          <xdr:rowOff>247650</xdr:rowOff>
        </xdr:to>
        <xdr:sp macro="" textlink="">
          <xdr:nvSpPr>
            <xdr:cNvPr id="55348" name="Check Box 52" hidden="1">
              <a:extLst>
                <a:ext uri="{63B3BB69-23CF-44E3-9099-C40C66FF867C}">
                  <a14:compatExt spid="_x0000_s55348"/>
                </a:ext>
              </a:extLst>
            </xdr:cNvPr>
            <xdr:cNvSpPr/>
          </xdr:nvSpPr>
          <xdr:spPr>
            <a:xfrm>
              <a:off x="0" y="0"/>
              <a:ext cx="0" cy="0"/>
            </a:xfrm>
            <a:prstGeom prst="rect">
              <a:avLst/>
            </a:prstGeom>
          </xdr:spPr>
        </xdr:sp>
        <xdr:clientData/>
      </xdr:twoCellAnchor>
    </mc:Choice>
    <mc:Fallback/>
  </mc:AlternateContent>
  <xdr:twoCellAnchor>
    <xdr:from>
      <xdr:col>1</xdr:col>
      <xdr:colOff>600075</xdr:colOff>
      <xdr:row>145</xdr:row>
      <xdr:rowOff>9525</xdr:rowOff>
    </xdr:from>
    <xdr:to>
      <xdr:col>6</xdr:col>
      <xdr:colOff>495300</xdr:colOff>
      <xdr:row>145</xdr:row>
      <xdr:rowOff>1457325</xdr:rowOff>
    </xdr:to>
    <xdr:graphicFrame macro="">
      <xdr:nvGraphicFramePr>
        <xdr:cNvPr id="55987"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1066800</xdr:colOff>
          <xdr:row>72</xdr:row>
          <xdr:rowOff>0</xdr:rowOff>
        </xdr:from>
        <xdr:to>
          <xdr:col>1</xdr:col>
          <xdr:colOff>1371600</xdr:colOff>
          <xdr:row>73</xdr:row>
          <xdr:rowOff>0</xdr:rowOff>
        </xdr:to>
        <xdr:sp macro="" textlink="">
          <xdr:nvSpPr>
            <xdr:cNvPr id="55416" name="Check Box 120" hidden="1">
              <a:extLst>
                <a:ext uri="{63B3BB69-23CF-44E3-9099-C40C66FF867C}">
                  <a14:compatExt spid="_x0000_s55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70</xdr:row>
          <xdr:rowOff>76200</xdr:rowOff>
        </xdr:from>
        <xdr:to>
          <xdr:col>7</xdr:col>
          <xdr:colOff>314325</xdr:colOff>
          <xdr:row>70</xdr:row>
          <xdr:rowOff>295275</xdr:rowOff>
        </xdr:to>
        <xdr:sp macro="" textlink="">
          <xdr:nvSpPr>
            <xdr:cNvPr id="55417" name="Drop Down 121" hidden="1">
              <a:extLst>
                <a:ext uri="{63B3BB69-23CF-44E3-9099-C40C66FF867C}">
                  <a14:compatExt spid="_x0000_s55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89</xdr:row>
          <xdr:rowOff>104775</xdr:rowOff>
        </xdr:from>
        <xdr:to>
          <xdr:col>7</xdr:col>
          <xdr:colOff>342900</xdr:colOff>
          <xdr:row>89</xdr:row>
          <xdr:rowOff>314325</xdr:rowOff>
        </xdr:to>
        <xdr:sp macro="" textlink="">
          <xdr:nvSpPr>
            <xdr:cNvPr id="55419" name="Drop Down 123" hidden="1">
              <a:extLst>
                <a:ext uri="{63B3BB69-23CF-44E3-9099-C40C66FF867C}">
                  <a14:compatExt spid="_x0000_s55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106</xdr:row>
          <xdr:rowOff>19050</xdr:rowOff>
        </xdr:from>
        <xdr:to>
          <xdr:col>7</xdr:col>
          <xdr:colOff>314325</xdr:colOff>
          <xdr:row>106</xdr:row>
          <xdr:rowOff>371475</xdr:rowOff>
        </xdr:to>
        <xdr:sp macro="" textlink="">
          <xdr:nvSpPr>
            <xdr:cNvPr id="55420" name="Drop Down 124" hidden="1">
              <a:extLst>
                <a:ext uri="{63B3BB69-23CF-44E3-9099-C40C66FF867C}">
                  <a14:compatExt spid="_x0000_s55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581025</xdr:colOff>
          <xdr:row>166</xdr:row>
          <xdr:rowOff>152400</xdr:rowOff>
        </xdr:from>
        <xdr:to>
          <xdr:col>8</xdr:col>
          <xdr:colOff>247650</xdr:colOff>
          <xdr:row>167</xdr:row>
          <xdr:rowOff>209550</xdr:rowOff>
        </xdr:to>
        <xdr:sp macro="" textlink="">
          <xdr:nvSpPr>
            <xdr:cNvPr id="55421" name="Button 125" hidden="1">
              <a:extLst>
                <a:ext uri="{63B3BB69-23CF-44E3-9099-C40C66FF867C}">
                  <a14:compatExt spid="_x0000_s5542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Water Credits</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61</xdr:row>
          <xdr:rowOff>266700</xdr:rowOff>
        </xdr:from>
        <xdr:to>
          <xdr:col>7</xdr:col>
          <xdr:colOff>381000</xdr:colOff>
          <xdr:row>61</xdr:row>
          <xdr:rowOff>533400</xdr:rowOff>
        </xdr:to>
        <xdr:sp macro="" textlink="">
          <xdr:nvSpPr>
            <xdr:cNvPr id="55422" name="Drop Down 126" hidden="1">
              <a:extLst>
                <a:ext uri="{63B3BB69-23CF-44E3-9099-C40C66FF867C}">
                  <a14:compatExt spid="_x0000_s55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90</xdr:row>
          <xdr:rowOff>238125</xdr:rowOff>
        </xdr:from>
        <xdr:to>
          <xdr:col>1</xdr:col>
          <xdr:colOff>1362075</xdr:colOff>
          <xdr:row>92</xdr:row>
          <xdr:rowOff>0</xdr:rowOff>
        </xdr:to>
        <xdr:sp macro="" textlink="">
          <xdr:nvSpPr>
            <xdr:cNvPr id="55423" name="Check Box 127" hidden="1">
              <a:extLst>
                <a:ext uri="{63B3BB69-23CF-44E3-9099-C40C66FF867C}">
                  <a14:compatExt spid="_x0000_s55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92</xdr:row>
          <xdr:rowOff>28575</xdr:rowOff>
        </xdr:from>
        <xdr:to>
          <xdr:col>1</xdr:col>
          <xdr:colOff>1362075</xdr:colOff>
          <xdr:row>93</xdr:row>
          <xdr:rowOff>0</xdr:rowOff>
        </xdr:to>
        <xdr:sp macro="" textlink="">
          <xdr:nvSpPr>
            <xdr:cNvPr id="55424" name="Check Box 128" hidden="1">
              <a:extLst>
                <a:ext uri="{63B3BB69-23CF-44E3-9099-C40C66FF867C}">
                  <a14:compatExt spid="_x0000_s55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93</xdr:row>
          <xdr:rowOff>28575</xdr:rowOff>
        </xdr:from>
        <xdr:to>
          <xdr:col>1</xdr:col>
          <xdr:colOff>1362075</xdr:colOff>
          <xdr:row>93</xdr:row>
          <xdr:rowOff>238125</xdr:rowOff>
        </xdr:to>
        <xdr:sp macro="" textlink="">
          <xdr:nvSpPr>
            <xdr:cNvPr id="55425" name="Check Box 129" hidden="1">
              <a:extLst>
                <a:ext uri="{63B3BB69-23CF-44E3-9099-C40C66FF867C}">
                  <a14:compatExt spid="_x0000_s55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90</xdr:row>
          <xdr:rowOff>238125</xdr:rowOff>
        </xdr:from>
        <xdr:to>
          <xdr:col>4</xdr:col>
          <xdr:colOff>104775</xdr:colOff>
          <xdr:row>92</xdr:row>
          <xdr:rowOff>0</xdr:rowOff>
        </xdr:to>
        <xdr:sp macro="" textlink="">
          <xdr:nvSpPr>
            <xdr:cNvPr id="55426" name="Check Box 130" hidden="1">
              <a:extLst>
                <a:ext uri="{63B3BB69-23CF-44E3-9099-C40C66FF867C}">
                  <a14:compatExt spid="_x0000_s55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93</xdr:row>
          <xdr:rowOff>28575</xdr:rowOff>
        </xdr:from>
        <xdr:to>
          <xdr:col>4</xdr:col>
          <xdr:colOff>104775</xdr:colOff>
          <xdr:row>93</xdr:row>
          <xdr:rowOff>228600</xdr:rowOff>
        </xdr:to>
        <xdr:sp macro="" textlink="">
          <xdr:nvSpPr>
            <xdr:cNvPr id="55427" name="Check Box 131" hidden="1">
              <a:extLst>
                <a:ext uri="{63B3BB69-23CF-44E3-9099-C40C66FF867C}">
                  <a14:compatExt spid="_x0000_s55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73</xdr:row>
          <xdr:rowOff>9525</xdr:rowOff>
        </xdr:from>
        <xdr:to>
          <xdr:col>1</xdr:col>
          <xdr:colOff>1371600</xdr:colOff>
          <xdr:row>73</xdr:row>
          <xdr:rowOff>247650</xdr:rowOff>
        </xdr:to>
        <xdr:sp macro="" textlink="">
          <xdr:nvSpPr>
            <xdr:cNvPr id="55428" name="Check Box 132" hidden="1">
              <a:extLst>
                <a:ext uri="{63B3BB69-23CF-44E3-9099-C40C66FF867C}">
                  <a14:compatExt spid="_x0000_s55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74</xdr:row>
          <xdr:rowOff>28575</xdr:rowOff>
        </xdr:from>
        <xdr:to>
          <xdr:col>1</xdr:col>
          <xdr:colOff>1371600</xdr:colOff>
          <xdr:row>74</xdr:row>
          <xdr:rowOff>238125</xdr:rowOff>
        </xdr:to>
        <xdr:sp macro="" textlink="">
          <xdr:nvSpPr>
            <xdr:cNvPr id="55429" name="Check Box 133" hidden="1">
              <a:extLst>
                <a:ext uri="{63B3BB69-23CF-44E3-9099-C40C66FF867C}">
                  <a14:compatExt spid="_x0000_s55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72</xdr:row>
          <xdr:rowOff>0</xdr:rowOff>
        </xdr:from>
        <xdr:to>
          <xdr:col>4</xdr:col>
          <xdr:colOff>200025</xdr:colOff>
          <xdr:row>73</xdr:row>
          <xdr:rowOff>0</xdr:rowOff>
        </xdr:to>
        <xdr:sp macro="" textlink="">
          <xdr:nvSpPr>
            <xdr:cNvPr id="55430" name="Check Box 134" hidden="1">
              <a:extLst>
                <a:ext uri="{63B3BB69-23CF-44E3-9099-C40C66FF867C}">
                  <a14:compatExt spid="_x0000_s55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9525</xdr:rowOff>
        </xdr:from>
        <xdr:to>
          <xdr:col>1</xdr:col>
          <xdr:colOff>1343025</xdr:colOff>
          <xdr:row>109</xdr:row>
          <xdr:rowOff>0</xdr:rowOff>
        </xdr:to>
        <xdr:sp macro="" textlink="">
          <xdr:nvSpPr>
            <xdr:cNvPr id="55431" name="Check Box 135" hidden="1">
              <a:extLst>
                <a:ext uri="{63B3BB69-23CF-44E3-9099-C40C66FF867C}">
                  <a14:compatExt spid="_x0000_s55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190500</xdr:rowOff>
        </xdr:from>
        <xdr:to>
          <xdr:col>1</xdr:col>
          <xdr:colOff>1343025</xdr:colOff>
          <xdr:row>110</xdr:row>
          <xdr:rowOff>0</xdr:rowOff>
        </xdr:to>
        <xdr:sp macro="" textlink="">
          <xdr:nvSpPr>
            <xdr:cNvPr id="55432" name="Check Box 136" hidden="1">
              <a:extLst>
                <a:ext uri="{63B3BB69-23CF-44E3-9099-C40C66FF867C}">
                  <a14:compatExt spid="_x0000_s55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109</xdr:row>
          <xdr:rowOff>209550</xdr:rowOff>
        </xdr:from>
        <xdr:to>
          <xdr:col>1</xdr:col>
          <xdr:colOff>1343025</xdr:colOff>
          <xdr:row>110</xdr:row>
          <xdr:rowOff>190500</xdr:rowOff>
        </xdr:to>
        <xdr:sp macro="" textlink="">
          <xdr:nvSpPr>
            <xdr:cNvPr id="55433" name="Check Box 137" hidden="1">
              <a:extLst>
                <a:ext uri="{63B3BB69-23CF-44E3-9099-C40C66FF867C}">
                  <a14:compatExt spid="_x0000_s55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107</xdr:row>
          <xdr:rowOff>247650</xdr:rowOff>
        </xdr:from>
        <xdr:to>
          <xdr:col>4</xdr:col>
          <xdr:colOff>133350</xdr:colOff>
          <xdr:row>108</xdr:row>
          <xdr:rowOff>209550</xdr:rowOff>
        </xdr:to>
        <xdr:sp macro="" textlink="">
          <xdr:nvSpPr>
            <xdr:cNvPr id="55434" name="Check Box 138" hidden="1">
              <a:extLst>
                <a:ext uri="{63B3BB69-23CF-44E3-9099-C40C66FF867C}">
                  <a14:compatExt spid="_x0000_s55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108</xdr:row>
          <xdr:rowOff>209550</xdr:rowOff>
        </xdr:from>
        <xdr:to>
          <xdr:col>4</xdr:col>
          <xdr:colOff>142875</xdr:colOff>
          <xdr:row>110</xdr:row>
          <xdr:rowOff>19050</xdr:rowOff>
        </xdr:to>
        <xdr:sp macro="" textlink="">
          <xdr:nvSpPr>
            <xdr:cNvPr id="55435" name="Check Box 139" hidden="1">
              <a:extLst>
                <a:ext uri="{63B3BB69-23CF-44E3-9099-C40C66FF867C}">
                  <a14:compatExt spid="_x0000_s55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74</xdr:row>
          <xdr:rowOff>28575</xdr:rowOff>
        </xdr:from>
        <xdr:to>
          <xdr:col>4</xdr:col>
          <xdr:colOff>200025</xdr:colOff>
          <xdr:row>74</xdr:row>
          <xdr:rowOff>228600</xdr:rowOff>
        </xdr:to>
        <xdr:sp macro="" textlink="">
          <xdr:nvSpPr>
            <xdr:cNvPr id="55436" name="Check Box 140" hidden="1">
              <a:extLst>
                <a:ext uri="{63B3BB69-23CF-44E3-9099-C40C66FF867C}">
                  <a14:compatExt spid="_x0000_s55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110</xdr:row>
          <xdr:rowOff>9525</xdr:rowOff>
        </xdr:from>
        <xdr:to>
          <xdr:col>4</xdr:col>
          <xdr:colOff>133350</xdr:colOff>
          <xdr:row>110</xdr:row>
          <xdr:rowOff>209550</xdr:rowOff>
        </xdr:to>
        <xdr:sp macro="" textlink="">
          <xdr:nvSpPr>
            <xdr:cNvPr id="55437" name="Check Box 141" hidden="1">
              <a:extLst>
                <a:ext uri="{63B3BB69-23CF-44E3-9099-C40C66FF867C}">
                  <a14:compatExt spid="_x0000_s55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92</xdr:row>
          <xdr:rowOff>28575</xdr:rowOff>
        </xdr:from>
        <xdr:to>
          <xdr:col>4</xdr:col>
          <xdr:colOff>104775</xdr:colOff>
          <xdr:row>93</xdr:row>
          <xdr:rowOff>0</xdr:rowOff>
        </xdr:to>
        <xdr:sp macro="" textlink="">
          <xdr:nvSpPr>
            <xdr:cNvPr id="55438" name="Check Box 142" hidden="1">
              <a:extLst>
                <a:ext uri="{63B3BB69-23CF-44E3-9099-C40C66FF867C}">
                  <a14:compatExt spid="_x0000_s55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73</xdr:row>
          <xdr:rowOff>9525</xdr:rowOff>
        </xdr:from>
        <xdr:to>
          <xdr:col>4</xdr:col>
          <xdr:colOff>200025</xdr:colOff>
          <xdr:row>73</xdr:row>
          <xdr:rowOff>247650</xdr:rowOff>
        </xdr:to>
        <xdr:sp macro="" textlink="">
          <xdr:nvSpPr>
            <xdr:cNvPr id="55439" name="Check Box 143" hidden="1">
              <a:extLst>
                <a:ext uri="{63B3BB69-23CF-44E3-9099-C40C66FF867C}">
                  <a14:compatExt spid="_x0000_s55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3</xdr:col>
          <xdr:colOff>1066800</xdr:colOff>
          <xdr:row>35</xdr:row>
          <xdr:rowOff>9525</xdr:rowOff>
        </xdr:to>
        <xdr:sp macro="" textlink="">
          <xdr:nvSpPr>
            <xdr:cNvPr id="55440" name="Drop Down 144" hidden="1">
              <a:extLst>
                <a:ext uri="{63B3BB69-23CF-44E3-9099-C40C66FF867C}">
                  <a14:compatExt spid="_x0000_s5544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3</xdr:col>
          <xdr:colOff>1066800</xdr:colOff>
          <xdr:row>36</xdr:row>
          <xdr:rowOff>0</xdr:rowOff>
        </xdr:to>
        <xdr:sp macro="" textlink="">
          <xdr:nvSpPr>
            <xdr:cNvPr id="55441" name="Drop Down 145" hidden="1">
              <a:extLst>
                <a:ext uri="{63B3BB69-23CF-44E3-9099-C40C66FF867C}">
                  <a14:compatExt spid="_x0000_s5544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3</xdr:col>
          <xdr:colOff>1066800</xdr:colOff>
          <xdr:row>37</xdr:row>
          <xdr:rowOff>0</xdr:rowOff>
        </xdr:to>
        <xdr:sp macro="" textlink="">
          <xdr:nvSpPr>
            <xdr:cNvPr id="55442" name="Drop Down 146" hidden="1">
              <a:extLst>
                <a:ext uri="{63B3BB69-23CF-44E3-9099-C40C66FF867C}">
                  <a14:compatExt spid="_x0000_s554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1066800</xdr:colOff>
          <xdr:row>38</xdr:row>
          <xdr:rowOff>0</xdr:rowOff>
        </xdr:to>
        <xdr:sp macro="" textlink="">
          <xdr:nvSpPr>
            <xdr:cNvPr id="55443" name="Drop Down 147" hidden="1">
              <a:extLst>
                <a:ext uri="{63B3BB69-23CF-44E3-9099-C40C66FF867C}">
                  <a14:compatExt spid="_x0000_s55443"/>
                </a:ext>
              </a:extLst>
            </xdr:cNvPr>
            <xdr:cNvSpPr/>
          </xdr:nvSpPr>
          <xdr:spPr>
            <a:xfrm>
              <a:off x="0" y="0"/>
              <a:ext cx="0" cy="0"/>
            </a:xfrm>
            <a:prstGeom prst="rect">
              <a:avLst/>
            </a:prstGeom>
          </xdr:spPr>
        </xdr:sp>
        <xdr:clientData fLocksWithSheet="0"/>
      </xdr:twoCellAnchor>
    </mc:Choice>
    <mc:Fallback/>
  </mc:AlternateContent>
  <xdr:twoCellAnchor>
    <xdr:from>
      <xdr:col>1</xdr:col>
      <xdr:colOff>1428750</xdr:colOff>
      <xdr:row>52</xdr:row>
      <xdr:rowOff>38100</xdr:rowOff>
    </xdr:from>
    <xdr:to>
      <xdr:col>5</xdr:col>
      <xdr:colOff>704850</xdr:colOff>
      <xdr:row>52</xdr:row>
      <xdr:rowOff>1400175</xdr:rowOff>
    </xdr:to>
    <xdr:graphicFrame macro="">
      <xdr:nvGraphicFramePr>
        <xdr:cNvPr id="55988"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600075</xdr:colOff>
      <xdr:row>145</xdr:row>
      <xdr:rowOff>9525</xdr:rowOff>
    </xdr:from>
    <xdr:to>
      <xdr:col>6</xdr:col>
      <xdr:colOff>495300</xdr:colOff>
      <xdr:row>145</xdr:row>
      <xdr:rowOff>1457325</xdr:rowOff>
    </xdr:to>
    <xdr:graphicFrame macro="">
      <xdr:nvGraphicFramePr>
        <xdr:cNvPr id="55989"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1066800</xdr:colOff>
          <xdr:row>72</xdr:row>
          <xdr:rowOff>0</xdr:rowOff>
        </xdr:from>
        <xdr:to>
          <xdr:col>1</xdr:col>
          <xdr:colOff>1371600</xdr:colOff>
          <xdr:row>73</xdr:row>
          <xdr:rowOff>0</xdr:rowOff>
        </xdr:to>
        <xdr:sp macro="" textlink="">
          <xdr:nvSpPr>
            <xdr:cNvPr id="55475" name="Check Box 179" hidden="1">
              <a:extLst>
                <a:ext uri="{63B3BB69-23CF-44E3-9099-C40C66FF867C}">
                  <a14:compatExt spid="_x0000_s55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70</xdr:row>
          <xdr:rowOff>76200</xdr:rowOff>
        </xdr:from>
        <xdr:to>
          <xdr:col>7</xdr:col>
          <xdr:colOff>314325</xdr:colOff>
          <xdr:row>70</xdr:row>
          <xdr:rowOff>295275</xdr:rowOff>
        </xdr:to>
        <xdr:sp macro="" textlink="">
          <xdr:nvSpPr>
            <xdr:cNvPr id="55476" name="Drop Down 180" hidden="1">
              <a:extLst>
                <a:ext uri="{63B3BB69-23CF-44E3-9099-C40C66FF867C}">
                  <a14:compatExt spid="_x0000_s55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9525</xdr:rowOff>
        </xdr:from>
        <xdr:to>
          <xdr:col>5</xdr:col>
          <xdr:colOff>590550</xdr:colOff>
          <xdr:row>77</xdr:row>
          <xdr:rowOff>238125</xdr:rowOff>
        </xdr:to>
        <xdr:sp macro="" textlink="">
          <xdr:nvSpPr>
            <xdr:cNvPr id="55477" name="Drop Down 181" hidden="1">
              <a:extLst>
                <a:ext uri="{63B3BB69-23CF-44E3-9099-C40C66FF867C}">
                  <a14:compatExt spid="_x0000_s55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89</xdr:row>
          <xdr:rowOff>104775</xdr:rowOff>
        </xdr:from>
        <xdr:to>
          <xdr:col>7</xdr:col>
          <xdr:colOff>342900</xdr:colOff>
          <xdr:row>89</xdr:row>
          <xdr:rowOff>314325</xdr:rowOff>
        </xdr:to>
        <xdr:sp macro="" textlink="">
          <xdr:nvSpPr>
            <xdr:cNvPr id="55478" name="Drop Down 182" hidden="1">
              <a:extLst>
                <a:ext uri="{63B3BB69-23CF-44E3-9099-C40C66FF867C}">
                  <a14:compatExt spid="_x0000_s55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106</xdr:row>
          <xdr:rowOff>19050</xdr:rowOff>
        </xdr:from>
        <xdr:to>
          <xdr:col>7</xdr:col>
          <xdr:colOff>314325</xdr:colOff>
          <xdr:row>106</xdr:row>
          <xdr:rowOff>371475</xdr:rowOff>
        </xdr:to>
        <xdr:sp macro="" textlink="">
          <xdr:nvSpPr>
            <xdr:cNvPr id="55479" name="Drop Down 183" hidden="1">
              <a:extLst>
                <a:ext uri="{63B3BB69-23CF-44E3-9099-C40C66FF867C}">
                  <a14:compatExt spid="_x0000_s55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581025</xdr:colOff>
          <xdr:row>166</xdr:row>
          <xdr:rowOff>152400</xdr:rowOff>
        </xdr:from>
        <xdr:to>
          <xdr:col>8</xdr:col>
          <xdr:colOff>247650</xdr:colOff>
          <xdr:row>167</xdr:row>
          <xdr:rowOff>209550</xdr:rowOff>
        </xdr:to>
        <xdr:sp macro="" textlink="">
          <xdr:nvSpPr>
            <xdr:cNvPr id="55480" name="Button 184" hidden="1">
              <a:extLst>
                <a:ext uri="{63B3BB69-23CF-44E3-9099-C40C66FF867C}">
                  <a14:compatExt spid="_x0000_s5548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Water Credits</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61</xdr:row>
          <xdr:rowOff>266700</xdr:rowOff>
        </xdr:from>
        <xdr:to>
          <xdr:col>7</xdr:col>
          <xdr:colOff>381000</xdr:colOff>
          <xdr:row>61</xdr:row>
          <xdr:rowOff>533400</xdr:rowOff>
        </xdr:to>
        <xdr:sp macro="" textlink="">
          <xdr:nvSpPr>
            <xdr:cNvPr id="55481" name="Drop Down 185" hidden="1">
              <a:extLst>
                <a:ext uri="{63B3BB69-23CF-44E3-9099-C40C66FF867C}">
                  <a14:compatExt spid="_x0000_s55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90</xdr:row>
          <xdr:rowOff>238125</xdr:rowOff>
        </xdr:from>
        <xdr:to>
          <xdr:col>1</xdr:col>
          <xdr:colOff>1362075</xdr:colOff>
          <xdr:row>92</xdr:row>
          <xdr:rowOff>0</xdr:rowOff>
        </xdr:to>
        <xdr:sp macro="" textlink="">
          <xdr:nvSpPr>
            <xdr:cNvPr id="55482" name="Check Box 186" hidden="1">
              <a:extLst>
                <a:ext uri="{63B3BB69-23CF-44E3-9099-C40C66FF867C}">
                  <a14:compatExt spid="_x0000_s55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92</xdr:row>
          <xdr:rowOff>28575</xdr:rowOff>
        </xdr:from>
        <xdr:to>
          <xdr:col>1</xdr:col>
          <xdr:colOff>1362075</xdr:colOff>
          <xdr:row>93</xdr:row>
          <xdr:rowOff>0</xdr:rowOff>
        </xdr:to>
        <xdr:sp macro="" textlink="">
          <xdr:nvSpPr>
            <xdr:cNvPr id="55483" name="Check Box 187" hidden="1">
              <a:extLst>
                <a:ext uri="{63B3BB69-23CF-44E3-9099-C40C66FF867C}">
                  <a14:compatExt spid="_x0000_s55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1057275</xdr:colOff>
          <xdr:row>93</xdr:row>
          <xdr:rowOff>28575</xdr:rowOff>
        </xdr:from>
        <xdr:to>
          <xdr:col>1</xdr:col>
          <xdr:colOff>1362075</xdr:colOff>
          <xdr:row>93</xdr:row>
          <xdr:rowOff>238125</xdr:rowOff>
        </xdr:to>
        <xdr:sp macro="" textlink="">
          <xdr:nvSpPr>
            <xdr:cNvPr id="55484" name="Check Box 188" hidden="1">
              <a:extLst>
                <a:ext uri="{63B3BB69-23CF-44E3-9099-C40C66FF867C}">
                  <a14:compatExt spid="_x0000_s55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90</xdr:row>
          <xdr:rowOff>238125</xdr:rowOff>
        </xdr:from>
        <xdr:to>
          <xdr:col>4</xdr:col>
          <xdr:colOff>104775</xdr:colOff>
          <xdr:row>92</xdr:row>
          <xdr:rowOff>0</xdr:rowOff>
        </xdr:to>
        <xdr:sp macro="" textlink="">
          <xdr:nvSpPr>
            <xdr:cNvPr id="55485" name="Check Box 189" hidden="1">
              <a:extLst>
                <a:ext uri="{63B3BB69-23CF-44E3-9099-C40C66FF867C}">
                  <a14:compatExt spid="_x0000_s55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93</xdr:row>
          <xdr:rowOff>28575</xdr:rowOff>
        </xdr:from>
        <xdr:to>
          <xdr:col>4</xdr:col>
          <xdr:colOff>104775</xdr:colOff>
          <xdr:row>93</xdr:row>
          <xdr:rowOff>228600</xdr:rowOff>
        </xdr:to>
        <xdr:sp macro="" textlink="">
          <xdr:nvSpPr>
            <xdr:cNvPr id="55486" name="Check Box 190" hidden="1">
              <a:extLst>
                <a:ext uri="{63B3BB69-23CF-44E3-9099-C40C66FF867C}">
                  <a14:compatExt spid="_x0000_s55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73</xdr:row>
          <xdr:rowOff>9525</xdr:rowOff>
        </xdr:from>
        <xdr:to>
          <xdr:col>1</xdr:col>
          <xdr:colOff>1371600</xdr:colOff>
          <xdr:row>73</xdr:row>
          <xdr:rowOff>247650</xdr:rowOff>
        </xdr:to>
        <xdr:sp macro="" textlink="">
          <xdr:nvSpPr>
            <xdr:cNvPr id="55487" name="Check Box 191" hidden="1">
              <a:extLst>
                <a:ext uri="{63B3BB69-23CF-44E3-9099-C40C66FF867C}">
                  <a14:compatExt spid="_x0000_s55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74</xdr:row>
          <xdr:rowOff>28575</xdr:rowOff>
        </xdr:from>
        <xdr:to>
          <xdr:col>1</xdr:col>
          <xdr:colOff>1371600</xdr:colOff>
          <xdr:row>74</xdr:row>
          <xdr:rowOff>238125</xdr:rowOff>
        </xdr:to>
        <xdr:sp macro="" textlink="">
          <xdr:nvSpPr>
            <xdr:cNvPr id="55488" name="Check Box 192" hidden="1">
              <a:extLst>
                <a:ext uri="{63B3BB69-23CF-44E3-9099-C40C66FF867C}">
                  <a14:compatExt spid="_x0000_s55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72</xdr:row>
          <xdr:rowOff>0</xdr:rowOff>
        </xdr:from>
        <xdr:to>
          <xdr:col>4</xdr:col>
          <xdr:colOff>200025</xdr:colOff>
          <xdr:row>73</xdr:row>
          <xdr:rowOff>0</xdr:rowOff>
        </xdr:to>
        <xdr:sp macro="" textlink="">
          <xdr:nvSpPr>
            <xdr:cNvPr id="55489" name="Check Box 193" hidden="1">
              <a:extLst>
                <a:ext uri="{63B3BB69-23CF-44E3-9099-C40C66FF867C}">
                  <a14:compatExt spid="_x0000_s55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9525</xdr:rowOff>
        </xdr:from>
        <xdr:to>
          <xdr:col>1</xdr:col>
          <xdr:colOff>1343025</xdr:colOff>
          <xdr:row>109</xdr:row>
          <xdr:rowOff>0</xdr:rowOff>
        </xdr:to>
        <xdr:sp macro="" textlink="">
          <xdr:nvSpPr>
            <xdr:cNvPr id="55490" name="Check Box 194" hidden="1">
              <a:extLst>
                <a:ext uri="{63B3BB69-23CF-44E3-9099-C40C66FF867C}">
                  <a14:compatExt spid="_x0000_s55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108</xdr:row>
          <xdr:rowOff>190500</xdr:rowOff>
        </xdr:from>
        <xdr:to>
          <xdr:col>1</xdr:col>
          <xdr:colOff>1343025</xdr:colOff>
          <xdr:row>110</xdr:row>
          <xdr:rowOff>0</xdr:rowOff>
        </xdr:to>
        <xdr:sp macro="" textlink="">
          <xdr:nvSpPr>
            <xdr:cNvPr id="55491" name="Check Box 195" hidden="1">
              <a:extLst>
                <a:ext uri="{63B3BB69-23CF-44E3-9099-C40C66FF867C}">
                  <a14:compatExt spid="_x0000_s55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1028700</xdr:colOff>
          <xdr:row>109</xdr:row>
          <xdr:rowOff>209550</xdr:rowOff>
        </xdr:from>
        <xdr:to>
          <xdr:col>1</xdr:col>
          <xdr:colOff>1343025</xdr:colOff>
          <xdr:row>110</xdr:row>
          <xdr:rowOff>190500</xdr:rowOff>
        </xdr:to>
        <xdr:sp macro="" textlink="">
          <xdr:nvSpPr>
            <xdr:cNvPr id="55492" name="Check Box 196" hidden="1">
              <a:extLst>
                <a:ext uri="{63B3BB69-23CF-44E3-9099-C40C66FF867C}">
                  <a14:compatExt spid="_x0000_s55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107</xdr:row>
          <xdr:rowOff>247650</xdr:rowOff>
        </xdr:from>
        <xdr:to>
          <xdr:col>4</xdr:col>
          <xdr:colOff>133350</xdr:colOff>
          <xdr:row>108</xdr:row>
          <xdr:rowOff>209550</xdr:rowOff>
        </xdr:to>
        <xdr:sp macro="" textlink="">
          <xdr:nvSpPr>
            <xdr:cNvPr id="55493" name="Check Box 197" hidden="1">
              <a:extLst>
                <a:ext uri="{63B3BB69-23CF-44E3-9099-C40C66FF867C}">
                  <a14:compatExt spid="_x0000_s55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108</xdr:row>
          <xdr:rowOff>209550</xdr:rowOff>
        </xdr:from>
        <xdr:to>
          <xdr:col>4</xdr:col>
          <xdr:colOff>142875</xdr:colOff>
          <xdr:row>110</xdr:row>
          <xdr:rowOff>19050</xdr:rowOff>
        </xdr:to>
        <xdr:sp macro="" textlink="">
          <xdr:nvSpPr>
            <xdr:cNvPr id="55494" name="Check Box 198" hidden="1">
              <a:extLst>
                <a:ext uri="{63B3BB69-23CF-44E3-9099-C40C66FF867C}">
                  <a14:compatExt spid="_x0000_s55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74</xdr:row>
          <xdr:rowOff>28575</xdr:rowOff>
        </xdr:from>
        <xdr:to>
          <xdr:col>4</xdr:col>
          <xdr:colOff>200025</xdr:colOff>
          <xdr:row>74</xdr:row>
          <xdr:rowOff>228600</xdr:rowOff>
        </xdr:to>
        <xdr:sp macro="" textlink="">
          <xdr:nvSpPr>
            <xdr:cNvPr id="55495" name="Check Box 199" hidden="1">
              <a:extLst>
                <a:ext uri="{63B3BB69-23CF-44E3-9099-C40C66FF867C}">
                  <a14:compatExt spid="_x0000_s55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110</xdr:row>
          <xdr:rowOff>9525</xdr:rowOff>
        </xdr:from>
        <xdr:to>
          <xdr:col>4</xdr:col>
          <xdr:colOff>133350</xdr:colOff>
          <xdr:row>110</xdr:row>
          <xdr:rowOff>209550</xdr:rowOff>
        </xdr:to>
        <xdr:sp macro="" textlink="">
          <xdr:nvSpPr>
            <xdr:cNvPr id="55496" name="Check Box 200" hidden="1">
              <a:extLst>
                <a:ext uri="{63B3BB69-23CF-44E3-9099-C40C66FF867C}">
                  <a14:compatExt spid="_x0000_s55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92</xdr:row>
          <xdr:rowOff>28575</xdr:rowOff>
        </xdr:from>
        <xdr:to>
          <xdr:col>4</xdr:col>
          <xdr:colOff>104775</xdr:colOff>
          <xdr:row>93</xdr:row>
          <xdr:rowOff>0</xdr:rowOff>
        </xdr:to>
        <xdr:sp macro="" textlink="">
          <xdr:nvSpPr>
            <xdr:cNvPr id="55497" name="Check Box 201" hidden="1">
              <a:extLst>
                <a:ext uri="{63B3BB69-23CF-44E3-9099-C40C66FF867C}">
                  <a14:compatExt spid="_x0000_s55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73</xdr:row>
          <xdr:rowOff>9525</xdr:rowOff>
        </xdr:from>
        <xdr:to>
          <xdr:col>4</xdr:col>
          <xdr:colOff>200025</xdr:colOff>
          <xdr:row>73</xdr:row>
          <xdr:rowOff>247650</xdr:rowOff>
        </xdr:to>
        <xdr:sp macro="" textlink="">
          <xdr:nvSpPr>
            <xdr:cNvPr id="55498" name="Check Box 202" hidden="1">
              <a:extLst>
                <a:ext uri="{63B3BB69-23CF-44E3-9099-C40C66FF867C}">
                  <a14:compatExt spid="_x0000_s55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3</xdr:col>
          <xdr:colOff>1066800</xdr:colOff>
          <xdr:row>35</xdr:row>
          <xdr:rowOff>9525</xdr:rowOff>
        </xdr:to>
        <xdr:sp macro="" textlink="">
          <xdr:nvSpPr>
            <xdr:cNvPr id="55499" name="Drop Down 203" hidden="1">
              <a:extLst>
                <a:ext uri="{63B3BB69-23CF-44E3-9099-C40C66FF867C}">
                  <a14:compatExt spid="_x0000_s554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3</xdr:col>
          <xdr:colOff>1066800</xdr:colOff>
          <xdr:row>36</xdr:row>
          <xdr:rowOff>0</xdr:rowOff>
        </xdr:to>
        <xdr:sp macro="" textlink="">
          <xdr:nvSpPr>
            <xdr:cNvPr id="55500" name="Drop Down 204" hidden="1">
              <a:extLst>
                <a:ext uri="{63B3BB69-23CF-44E3-9099-C40C66FF867C}">
                  <a14:compatExt spid="_x0000_s555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3</xdr:col>
          <xdr:colOff>1066800</xdr:colOff>
          <xdr:row>37</xdr:row>
          <xdr:rowOff>0</xdr:rowOff>
        </xdr:to>
        <xdr:sp macro="" textlink="">
          <xdr:nvSpPr>
            <xdr:cNvPr id="55501" name="Drop Down 205" hidden="1">
              <a:extLst>
                <a:ext uri="{63B3BB69-23CF-44E3-9099-C40C66FF867C}">
                  <a14:compatExt spid="_x0000_s555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3</xdr:col>
          <xdr:colOff>1066800</xdr:colOff>
          <xdr:row>38</xdr:row>
          <xdr:rowOff>0</xdr:rowOff>
        </xdr:to>
        <xdr:sp macro="" textlink="">
          <xdr:nvSpPr>
            <xdr:cNvPr id="55502" name="Drop Down 206" hidden="1">
              <a:extLst>
                <a:ext uri="{63B3BB69-23CF-44E3-9099-C40C66FF867C}">
                  <a14:compatExt spid="_x0000_s555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152400</xdr:rowOff>
        </xdr:from>
        <xdr:to>
          <xdr:col>2</xdr:col>
          <xdr:colOff>9525</xdr:colOff>
          <xdr:row>83</xdr:row>
          <xdr:rowOff>9525</xdr:rowOff>
        </xdr:to>
        <xdr:sp macro="" textlink="">
          <xdr:nvSpPr>
            <xdr:cNvPr id="55671" name="Drop Down 375" hidden="1">
              <a:extLst>
                <a:ext uri="{63B3BB69-23CF-44E3-9099-C40C66FF867C}">
                  <a14:compatExt spid="_x0000_s5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78</xdr:row>
          <xdr:rowOff>9525</xdr:rowOff>
        </xdr:from>
        <xdr:to>
          <xdr:col>5</xdr:col>
          <xdr:colOff>590550</xdr:colOff>
          <xdr:row>78</xdr:row>
          <xdr:rowOff>238125</xdr:rowOff>
        </xdr:to>
        <xdr:sp macro="" textlink="">
          <xdr:nvSpPr>
            <xdr:cNvPr id="55704" name="Drop Down 408" hidden="1">
              <a:extLst>
                <a:ext uri="{63B3BB69-23CF-44E3-9099-C40C66FF867C}">
                  <a14:compatExt spid="_x0000_s557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9525</xdr:rowOff>
        </xdr:from>
        <xdr:to>
          <xdr:col>5</xdr:col>
          <xdr:colOff>590550</xdr:colOff>
          <xdr:row>79</xdr:row>
          <xdr:rowOff>238125</xdr:rowOff>
        </xdr:to>
        <xdr:sp macro="" textlink="">
          <xdr:nvSpPr>
            <xdr:cNvPr id="55705" name="Drop Down 409" hidden="1">
              <a:extLst>
                <a:ext uri="{63B3BB69-23CF-44E3-9099-C40C66FF867C}">
                  <a14:compatExt spid="_x0000_s557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127</xdr:row>
          <xdr:rowOff>0</xdr:rowOff>
        </xdr:from>
        <xdr:to>
          <xdr:col>1</xdr:col>
          <xdr:colOff>1371600</xdr:colOff>
          <xdr:row>127</xdr:row>
          <xdr:rowOff>228600</xdr:rowOff>
        </xdr:to>
        <xdr:sp macro="" textlink="">
          <xdr:nvSpPr>
            <xdr:cNvPr id="55926" name="Check Box 630" hidden="1">
              <a:extLst>
                <a:ext uri="{63B3BB69-23CF-44E3-9099-C40C66FF867C}">
                  <a14:compatExt spid="_x0000_s559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128</xdr:row>
          <xdr:rowOff>9525</xdr:rowOff>
        </xdr:from>
        <xdr:to>
          <xdr:col>1</xdr:col>
          <xdr:colOff>1371600</xdr:colOff>
          <xdr:row>128</xdr:row>
          <xdr:rowOff>247650</xdr:rowOff>
        </xdr:to>
        <xdr:sp macro="" textlink="">
          <xdr:nvSpPr>
            <xdr:cNvPr id="55927" name="Check Box 631" hidden="1">
              <a:extLst>
                <a:ext uri="{63B3BB69-23CF-44E3-9099-C40C66FF867C}">
                  <a14:compatExt spid="_x0000_s559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129</xdr:row>
          <xdr:rowOff>28575</xdr:rowOff>
        </xdr:from>
        <xdr:to>
          <xdr:col>1</xdr:col>
          <xdr:colOff>1371600</xdr:colOff>
          <xdr:row>129</xdr:row>
          <xdr:rowOff>238125</xdr:rowOff>
        </xdr:to>
        <xdr:sp macro="" textlink="">
          <xdr:nvSpPr>
            <xdr:cNvPr id="55928" name="Check Box 632" hidden="1">
              <a:extLst>
                <a:ext uri="{63B3BB69-23CF-44E3-9099-C40C66FF867C}">
                  <a14:compatExt spid="_x0000_s559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127</xdr:row>
          <xdr:rowOff>0</xdr:rowOff>
        </xdr:from>
        <xdr:to>
          <xdr:col>4</xdr:col>
          <xdr:colOff>200025</xdr:colOff>
          <xdr:row>127</xdr:row>
          <xdr:rowOff>228600</xdr:rowOff>
        </xdr:to>
        <xdr:sp macro="" textlink="">
          <xdr:nvSpPr>
            <xdr:cNvPr id="55929" name="Check Box 633" hidden="1">
              <a:extLst>
                <a:ext uri="{63B3BB69-23CF-44E3-9099-C40C66FF867C}">
                  <a14:compatExt spid="_x0000_s559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129</xdr:row>
          <xdr:rowOff>28575</xdr:rowOff>
        </xdr:from>
        <xdr:to>
          <xdr:col>4</xdr:col>
          <xdr:colOff>200025</xdr:colOff>
          <xdr:row>129</xdr:row>
          <xdr:rowOff>228600</xdr:rowOff>
        </xdr:to>
        <xdr:sp macro="" textlink="">
          <xdr:nvSpPr>
            <xdr:cNvPr id="55930" name="Check Box 634" hidden="1">
              <a:extLst>
                <a:ext uri="{63B3BB69-23CF-44E3-9099-C40C66FF867C}">
                  <a14:compatExt spid="_x0000_s559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128</xdr:row>
          <xdr:rowOff>9525</xdr:rowOff>
        </xdr:from>
        <xdr:to>
          <xdr:col>4</xdr:col>
          <xdr:colOff>200025</xdr:colOff>
          <xdr:row>128</xdr:row>
          <xdr:rowOff>247650</xdr:rowOff>
        </xdr:to>
        <xdr:sp macro="" textlink="">
          <xdr:nvSpPr>
            <xdr:cNvPr id="55931" name="Check Box 635" hidden="1">
              <a:extLst>
                <a:ext uri="{63B3BB69-23CF-44E3-9099-C40C66FF867C}">
                  <a14:compatExt spid="_x0000_s55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127</xdr:row>
          <xdr:rowOff>0</xdr:rowOff>
        </xdr:from>
        <xdr:to>
          <xdr:col>1</xdr:col>
          <xdr:colOff>1371600</xdr:colOff>
          <xdr:row>127</xdr:row>
          <xdr:rowOff>228600</xdr:rowOff>
        </xdr:to>
        <xdr:sp macro="" textlink="">
          <xdr:nvSpPr>
            <xdr:cNvPr id="55932" name="Check Box 636" hidden="1">
              <a:extLst>
                <a:ext uri="{63B3BB69-23CF-44E3-9099-C40C66FF867C}">
                  <a14:compatExt spid="_x0000_s55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128</xdr:row>
          <xdr:rowOff>9525</xdr:rowOff>
        </xdr:from>
        <xdr:to>
          <xdr:col>1</xdr:col>
          <xdr:colOff>1371600</xdr:colOff>
          <xdr:row>128</xdr:row>
          <xdr:rowOff>247650</xdr:rowOff>
        </xdr:to>
        <xdr:sp macro="" textlink="">
          <xdr:nvSpPr>
            <xdr:cNvPr id="55933" name="Check Box 637" hidden="1">
              <a:extLst>
                <a:ext uri="{63B3BB69-23CF-44E3-9099-C40C66FF867C}">
                  <a14:compatExt spid="_x0000_s559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129</xdr:row>
          <xdr:rowOff>28575</xdr:rowOff>
        </xdr:from>
        <xdr:to>
          <xdr:col>1</xdr:col>
          <xdr:colOff>1371600</xdr:colOff>
          <xdr:row>129</xdr:row>
          <xdr:rowOff>238125</xdr:rowOff>
        </xdr:to>
        <xdr:sp macro="" textlink="">
          <xdr:nvSpPr>
            <xdr:cNvPr id="55934" name="Check Box 638" hidden="1">
              <a:extLst>
                <a:ext uri="{63B3BB69-23CF-44E3-9099-C40C66FF867C}">
                  <a14:compatExt spid="_x0000_s559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127</xdr:row>
          <xdr:rowOff>0</xdr:rowOff>
        </xdr:from>
        <xdr:to>
          <xdr:col>4</xdr:col>
          <xdr:colOff>200025</xdr:colOff>
          <xdr:row>127</xdr:row>
          <xdr:rowOff>228600</xdr:rowOff>
        </xdr:to>
        <xdr:sp macro="" textlink="">
          <xdr:nvSpPr>
            <xdr:cNvPr id="55935" name="Check Box 639" hidden="1">
              <a:extLst>
                <a:ext uri="{63B3BB69-23CF-44E3-9099-C40C66FF867C}">
                  <a14:compatExt spid="_x0000_s559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129</xdr:row>
          <xdr:rowOff>28575</xdr:rowOff>
        </xdr:from>
        <xdr:to>
          <xdr:col>4</xdr:col>
          <xdr:colOff>200025</xdr:colOff>
          <xdr:row>129</xdr:row>
          <xdr:rowOff>228600</xdr:rowOff>
        </xdr:to>
        <xdr:sp macro="" textlink="">
          <xdr:nvSpPr>
            <xdr:cNvPr id="55936" name="Check Box 640" hidden="1">
              <a:extLst>
                <a:ext uri="{63B3BB69-23CF-44E3-9099-C40C66FF867C}">
                  <a14:compatExt spid="_x0000_s55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128</xdr:row>
          <xdr:rowOff>9525</xdr:rowOff>
        </xdr:from>
        <xdr:to>
          <xdr:col>4</xdr:col>
          <xdr:colOff>200025</xdr:colOff>
          <xdr:row>128</xdr:row>
          <xdr:rowOff>247650</xdr:rowOff>
        </xdr:to>
        <xdr:sp macro="" textlink="">
          <xdr:nvSpPr>
            <xdr:cNvPr id="55937" name="Check Box 641" hidden="1">
              <a:extLst>
                <a:ext uri="{63B3BB69-23CF-44E3-9099-C40C66FF867C}">
                  <a14:compatExt spid="_x0000_s559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127</xdr:row>
          <xdr:rowOff>0</xdr:rowOff>
        </xdr:from>
        <xdr:to>
          <xdr:col>1</xdr:col>
          <xdr:colOff>1371600</xdr:colOff>
          <xdr:row>127</xdr:row>
          <xdr:rowOff>228600</xdr:rowOff>
        </xdr:to>
        <xdr:sp macro="" textlink="">
          <xdr:nvSpPr>
            <xdr:cNvPr id="55938" name="Check Box 642" hidden="1">
              <a:extLst>
                <a:ext uri="{63B3BB69-23CF-44E3-9099-C40C66FF867C}">
                  <a14:compatExt spid="_x0000_s559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128</xdr:row>
          <xdr:rowOff>9525</xdr:rowOff>
        </xdr:from>
        <xdr:to>
          <xdr:col>1</xdr:col>
          <xdr:colOff>1371600</xdr:colOff>
          <xdr:row>128</xdr:row>
          <xdr:rowOff>247650</xdr:rowOff>
        </xdr:to>
        <xdr:sp macro="" textlink="">
          <xdr:nvSpPr>
            <xdr:cNvPr id="55939" name="Check Box 643" hidden="1">
              <a:extLst>
                <a:ext uri="{63B3BB69-23CF-44E3-9099-C40C66FF867C}">
                  <a14:compatExt spid="_x0000_s559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129</xdr:row>
          <xdr:rowOff>28575</xdr:rowOff>
        </xdr:from>
        <xdr:to>
          <xdr:col>1</xdr:col>
          <xdr:colOff>1371600</xdr:colOff>
          <xdr:row>129</xdr:row>
          <xdr:rowOff>238125</xdr:rowOff>
        </xdr:to>
        <xdr:sp macro="" textlink="">
          <xdr:nvSpPr>
            <xdr:cNvPr id="55940" name="Check Box 644" hidden="1">
              <a:extLst>
                <a:ext uri="{63B3BB69-23CF-44E3-9099-C40C66FF867C}">
                  <a14:compatExt spid="_x0000_s559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127</xdr:row>
          <xdr:rowOff>0</xdr:rowOff>
        </xdr:from>
        <xdr:to>
          <xdr:col>4</xdr:col>
          <xdr:colOff>200025</xdr:colOff>
          <xdr:row>127</xdr:row>
          <xdr:rowOff>228600</xdr:rowOff>
        </xdr:to>
        <xdr:sp macro="" textlink="">
          <xdr:nvSpPr>
            <xdr:cNvPr id="55941" name="Check Box 645" hidden="1">
              <a:extLst>
                <a:ext uri="{63B3BB69-23CF-44E3-9099-C40C66FF867C}">
                  <a14:compatExt spid="_x0000_s559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129</xdr:row>
          <xdr:rowOff>28575</xdr:rowOff>
        </xdr:from>
        <xdr:to>
          <xdr:col>4</xdr:col>
          <xdr:colOff>200025</xdr:colOff>
          <xdr:row>129</xdr:row>
          <xdr:rowOff>228600</xdr:rowOff>
        </xdr:to>
        <xdr:sp macro="" textlink="">
          <xdr:nvSpPr>
            <xdr:cNvPr id="55942" name="Check Box 646" hidden="1">
              <a:extLst>
                <a:ext uri="{63B3BB69-23CF-44E3-9099-C40C66FF867C}">
                  <a14:compatExt spid="_x0000_s559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1000125</xdr:colOff>
          <xdr:row>128</xdr:row>
          <xdr:rowOff>9525</xdr:rowOff>
        </xdr:from>
        <xdr:to>
          <xdr:col>4</xdr:col>
          <xdr:colOff>200025</xdr:colOff>
          <xdr:row>128</xdr:row>
          <xdr:rowOff>247650</xdr:rowOff>
        </xdr:to>
        <xdr:sp macro="" textlink="">
          <xdr:nvSpPr>
            <xdr:cNvPr id="55943" name="Check Box 647" hidden="1">
              <a:extLst>
                <a:ext uri="{63B3BB69-23CF-44E3-9099-C40C66FF867C}">
                  <a14:compatExt spid="_x0000_s559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125</xdr:row>
          <xdr:rowOff>19050</xdr:rowOff>
        </xdr:from>
        <xdr:to>
          <xdr:col>7</xdr:col>
          <xdr:colOff>314325</xdr:colOff>
          <xdr:row>125</xdr:row>
          <xdr:rowOff>371475</xdr:rowOff>
        </xdr:to>
        <xdr:sp macro="" textlink="">
          <xdr:nvSpPr>
            <xdr:cNvPr id="55999" name="Drop Down 703" hidden="1">
              <a:extLst>
                <a:ext uri="{63B3BB69-23CF-44E3-9099-C40C66FF867C}">
                  <a14:compatExt spid="_x0000_s559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125</xdr:row>
          <xdr:rowOff>19050</xdr:rowOff>
        </xdr:from>
        <xdr:to>
          <xdr:col>7</xdr:col>
          <xdr:colOff>314325</xdr:colOff>
          <xdr:row>125</xdr:row>
          <xdr:rowOff>371475</xdr:rowOff>
        </xdr:to>
        <xdr:sp macro="" textlink="">
          <xdr:nvSpPr>
            <xdr:cNvPr id="56000" name="Drop Down 704" hidden="1">
              <a:extLst>
                <a:ext uri="{63B3BB69-23CF-44E3-9099-C40C66FF867C}">
                  <a14:compatExt spid="_x0000_s560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125</xdr:row>
          <xdr:rowOff>19050</xdr:rowOff>
        </xdr:from>
        <xdr:to>
          <xdr:col>7</xdr:col>
          <xdr:colOff>314325</xdr:colOff>
          <xdr:row>125</xdr:row>
          <xdr:rowOff>371475</xdr:rowOff>
        </xdr:to>
        <xdr:sp macro="" textlink="">
          <xdr:nvSpPr>
            <xdr:cNvPr id="56001" name="Drop Down 705" hidden="1">
              <a:extLst>
                <a:ext uri="{63B3BB69-23CF-44E3-9099-C40C66FF867C}">
                  <a14:compatExt spid="_x0000_s56001"/>
                </a:ext>
              </a:extLst>
            </xdr:cNvPr>
            <xdr:cNvSpPr/>
          </xdr:nvSpPr>
          <xdr:spPr>
            <a:xfrm>
              <a:off x="0" y="0"/>
              <a:ext cx="0" cy="0"/>
            </a:xfrm>
            <a:prstGeom prst="rect">
              <a:avLst/>
            </a:prstGeom>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876300</xdr:colOff>
          <xdr:row>24</xdr:row>
          <xdr:rowOff>104775</xdr:rowOff>
        </xdr:from>
        <xdr:to>
          <xdr:col>8</xdr:col>
          <xdr:colOff>0</xdr:colOff>
          <xdr:row>26</xdr:row>
          <xdr:rowOff>57150</xdr:rowOff>
        </xdr:to>
        <xdr:sp macro="" textlink="">
          <xdr:nvSpPr>
            <xdr:cNvPr id="44033" name="Button 1" hidden="1">
              <a:extLst>
                <a:ext uri="{63B3BB69-23CF-44E3-9099-C40C66FF867C}">
                  <a14:compatExt spid="_x0000_s4403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12</xdr:row>
          <xdr:rowOff>104775</xdr:rowOff>
        </xdr:from>
        <xdr:to>
          <xdr:col>8</xdr:col>
          <xdr:colOff>9525</xdr:colOff>
          <xdr:row>14</xdr:row>
          <xdr:rowOff>57150</xdr:rowOff>
        </xdr:to>
        <xdr:sp macro="" textlink="">
          <xdr:nvSpPr>
            <xdr:cNvPr id="43009" name="Button 1" hidden="1">
              <a:extLst>
                <a:ext uri="{63B3BB69-23CF-44E3-9099-C40C66FF867C}">
                  <a14:compatExt spid="_x0000_s4300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342900</xdr:colOff>
          <xdr:row>10</xdr:row>
          <xdr:rowOff>2152650</xdr:rowOff>
        </xdr:from>
        <xdr:to>
          <xdr:col>3</xdr:col>
          <xdr:colOff>4400550</xdr:colOff>
          <xdr:row>10</xdr:row>
          <xdr:rowOff>2524125</xdr:rowOff>
        </xdr:to>
        <xdr:sp macro="" textlink="">
          <xdr:nvSpPr>
            <xdr:cNvPr id="43014" name="Button 6" hidden="1">
              <a:extLst>
                <a:ext uri="{63B3BB69-23CF-44E3-9099-C40C66FF867C}">
                  <a14:compatExt spid="_x0000_s4301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Change of Ecological Value Calculator</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390525</xdr:rowOff>
        </xdr:from>
        <xdr:to>
          <xdr:col>6</xdr:col>
          <xdr:colOff>885825</xdr:colOff>
          <xdr:row>5</xdr:row>
          <xdr:rowOff>695325</xdr:rowOff>
        </xdr:to>
        <xdr:sp macro="" textlink="">
          <xdr:nvSpPr>
            <xdr:cNvPr id="43018" name="ComboBox1" hidden="1">
              <a:extLst>
                <a:ext uri="{63B3BB69-23CF-44E3-9099-C40C66FF867C}">
                  <a14:compatExt spid="_x0000_s4301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2514600</xdr:colOff>
      <xdr:row>76</xdr:row>
      <xdr:rowOff>85725</xdr:rowOff>
    </xdr:from>
    <xdr:to>
      <xdr:col>1</xdr:col>
      <xdr:colOff>4391025</xdr:colOff>
      <xdr:row>79</xdr:row>
      <xdr:rowOff>57150</xdr:rowOff>
    </xdr:to>
    <xdr:pic>
      <xdr:nvPicPr>
        <xdr:cNvPr id="6640" name="Picture 35" descr="SA Citie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7497425"/>
          <a:ext cx="18764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6076950</xdr:colOff>
      <xdr:row>0</xdr:row>
      <xdr:rowOff>57150</xdr:rowOff>
    </xdr:from>
    <xdr:to>
      <xdr:col>1</xdr:col>
      <xdr:colOff>7839075</xdr:colOff>
      <xdr:row>3</xdr:row>
      <xdr:rowOff>28575</xdr:rowOff>
    </xdr:to>
    <xdr:pic>
      <xdr:nvPicPr>
        <xdr:cNvPr id="6641" name="Picture 301" descr="GSSA Office v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3412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3571875</xdr:colOff>
      <xdr:row>9</xdr:row>
      <xdr:rowOff>123825</xdr:rowOff>
    </xdr:from>
    <xdr:to>
      <xdr:col>2</xdr:col>
      <xdr:colOff>76200</xdr:colOff>
      <xdr:row>19</xdr:row>
      <xdr:rowOff>47625</xdr:rowOff>
    </xdr:to>
    <xdr:pic>
      <xdr:nvPicPr>
        <xdr:cNvPr id="6642" name="Picture 3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29050" y="2305050"/>
          <a:ext cx="43529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1</xdr:col>
      <xdr:colOff>1885950</xdr:colOff>
      <xdr:row>1</xdr:row>
      <xdr:rowOff>0</xdr:rowOff>
    </xdr:to>
    <xdr:pic>
      <xdr:nvPicPr>
        <xdr:cNvPr id="6643" name="Picture 303" descr="Green Building Council of South Africa logo (high res)"/>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6715125</xdr:colOff>
          <xdr:row>24</xdr:row>
          <xdr:rowOff>0</xdr:rowOff>
        </xdr:from>
        <xdr:to>
          <xdr:col>2</xdr:col>
          <xdr:colOff>0</xdr:colOff>
          <xdr:row>24</xdr:row>
          <xdr:rowOff>171450</xdr:rowOff>
        </xdr:to>
        <xdr:sp macro="" textlink="">
          <xdr:nvSpPr>
            <xdr:cNvPr id="6448" name="Button 304" hidden="1">
              <a:extLst>
                <a:ext uri="{63B3BB69-23CF-44E3-9099-C40C66FF867C}">
                  <a14:compatExt spid="_x0000_s644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800" b="1" i="0" u="none" strike="noStrike" baseline="0">
                  <a:solidFill>
                    <a:srgbClr val="000000"/>
                  </a:solidFill>
                  <a:latin typeface="Arial"/>
                  <a:cs typeface="Arial"/>
                </a:rPr>
                <a:t>Back to Top</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6696075</xdr:colOff>
          <xdr:row>39</xdr:row>
          <xdr:rowOff>152400</xdr:rowOff>
        </xdr:from>
        <xdr:to>
          <xdr:col>1</xdr:col>
          <xdr:colOff>7829550</xdr:colOff>
          <xdr:row>40</xdr:row>
          <xdr:rowOff>161925</xdr:rowOff>
        </xdr:to>
        <xdr:sp macro="" textlink="">
          <xdr:nvSpPr>
            <xdr:cNvPr id="6449" name="Button 305" hidden="1">
              <a:extLst>
                <a:ext uri="{63B3BB69-23CF-44E3-9099-C40C66FF867C}">
                  <a14:compatExt spid="_x0000_s64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800" b="1" i="0" u="none" strike="noStrike" baseline="0">
                  <a:solidFill>
                    <a:srgbClr val="000000"/>
                  </a:solidFill>
                  <a:latin typeface="Arial"/>
                  <a:cs typeface="Arial"/>
                </a:rPr>
                <a:t>Back to Top</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6696075</xdr:colOff>
          <xdr:row>53</xdr:row>
          <xdr:rowOff>19050</xdr:rowOff>
        </xdr:from>
        <xdr:to>
          <xdr:col>1</xdr:col>
          <xdr:colOff>7829550</xdr:colOff>
          <xdr:row>53</xdr:row>
          <xdr:rowOff>190500</xdr:rowOff>
        </xdr:to>
        <xdr:sp macro="" textlink="">
          <xdr:nvSpPr>
            <xdr:cNvPr id="6450" name="Button 306" hidden="1">
              <a:extLst>
                <a:ext uri="{63B3BB69-23CF-44E3-9099-C40C66FF867C}">
                  <a14:compatExt spid="_x0000_s645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800" b="1" i="0" u="none" strike="noStrike" baseline="0">
                  <a:solidFill>
                    <a:srgbClr val="000000"/>
                  </a:solidFill>
                  <a:latin typeface="Arial"/>
                  <a:cs typeface="Arial"/>
                </a:rPr>
                <a:t>Back to Top</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6696075</xdr:colOff>
          <xdr:row>65</xdr:row>
          <xdr:rowOff>171450</xdr:rowOff>
        </xdr:from>
        <xdr:to>
          <xdr:col>1</xdr:col>
          <xdr:colOff>7829550</xdr:colOff>
          <xdr:row>66</xdr:row>
          <xdr:rowOff>161925</xdr:rowOff>
        </xdr:to>
        <xdr:sp macro="" textlink="">
          <xdr:nvSpPr>
            <xdr:cNvPr id="6451" name="Button 307" hidden="1">
              <a:extLst>
                <a:ext uri="{63B3BB69-23CF-44E3-9099-C40C66FF867C}">
                  <a14:compatExt spid="_x0000_s645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800" b="1" i="0" u="none" strike="noStrike" baseline="0">
                  <a:solidFill>
                    <a:srgbClr val="000000"/>
                  </a:solidFill>
                  <a:latin typeface="Arial"/>
                  <a:cs typeface="Arial"/>
                </a:rPr>
                <a:t>Back to Top</a:t>
              </a:r>
              <a:endParaRPr lang="en-GB"/>
            </a:p>
          </xdr:txBody>
        </xdr:sp>
        <xdr:clientData fPrintsWithSheet="0"/>
      </xdr:twoCellAnchor>
    </mc:Choice>
    <mc:Fallback/>
  </mc:AlternateContent>
  <xdr:twoCellAnchor>
    <xdr:from>
      <xdr:col>0</xdr:col>
      <xdr:colOff>238125</xdr:colOff>
      <xdr:row>12</xdr:row>
      <xdr:rowOff>0</xdr:rowOff>
    </xdr:from>
    <xdr:to>
      <xdr:col>1</xdr:col>
      <xdr:colOff>3009900</xdr:colOff>
      <xdr:row>12</xdr:row>
      <xdr:rowOff>228600</xdr:rowOff>
    </xdr:to>
    <xdr:sp macro="[0]!GreenStarSAIntro2" textlink="">
      <xdr:nvSpPr>
        <xdr:cNvPr id="6644" name="Rectangle 309"/>
        <xdr:cNvSpPr>
          <a:spLocks noChangeArrowheads="1"/>
        </xdr:cNvSpPr>
      </xdr:nvSpPr>
      <xdr:spPr bwMode="auto">
        <a:xfrm>
          <a:off x="238125" y="2724150"/>
          <a:ext cx="30289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10</xdr:row>
      <xdr:rowOff>19050</xdr:rowOff>
    </xdr:from>
    <xdr:to>
      <xdr:col>1</xdr:col>
      <xdr:colOff>1743075</xdr:colOff>
      <xdr:row>11</xdr:row>
      <xdr:rowOff>0</xdr:rowOff>
    </xdr:to>
    <xdr:sp macro="[0]!GreenStarSAIntro1" textlink="">
      <xdr:nvSpPr>
        <xdr:cNvPr id="6645" name="Rectangle 310"/>
        <xdr:cNvSpPr>
          <a:spLocks noChangeArrowheads="1"/>
        </xdr:cNvSpPr>
      </xdr:nvSpPr>
      <xdr:spPr bwMode="auto">
        <a:xfrm>
          <a:off x="266700" y="2362200"/>
          <a:ext cx="1733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247650</xdr:colOff>
      <xdr:row>13</xdr:row>
      <xdr:rowOff>133350</xdr:rowOff>
    </xdr:from>
    <xdr:to>
      <xdr:col>1</xdr:col>
      <xdr:colOff>2933700</xdr:colOff>
      <xdr:row>14</xdr:row>
      <xdr:rowOff>228600</xdr:rowOff>
    </xdr:to>
    <xdr:sp macro="[0]!GreenStarSAIntro3" textlink="">
      <xdr:nvSpPr>
        <xdr:cNvPr id="6646" name="Rectangle 311"/>
        <xdr:cNvSpPr>
          <a:spLocks noChangeArrowheads="1"/>
        </xdr:cNvSpPr>
      </xdr:nvSpPr>
      <xdr:spPr bwMode="auto">
        <a:xfrm>
          <a:off x="247650" y="3124200"/>
          <a:ext cx="29432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6696075</xdr:colOff>
          <xdr:row>45</xdr:row>
          <xdr:rowOff>142875</xdr:rowOff>
        </xdr:from>
        <xdr:to>
          <xdr:col>1</xdr:col>
          <xdr:colOff>7829550</xdr:colOff>
          <xdr:row>46</xdr:row>
          <xdr:rowOff>152400</xdr:rowOff>
        </xdr:to>
        <xdr:sp macro="" textlink="">
          <xdr:nvSpPr>
            <xdr:cNvPr id="6456" name="Button 312" hidden="1">
              <a:extLst>
                <a:ext uri="{63B3BB69-23CF-44E3-9099-C40C66FF867C}">
                  <a14:compatExt spid="_x0000_s645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800" b="1" i="0" u="none" strike="noStrike" baseline="0">
                  <a:solidFill>
                    <a:srgbClr val="000000"/>
                  </a:solidFill>
                  <a:latin typeface="Arial"/>
                  <a:cs typeface="Arial"/>
                </a:rPr>
                <a:t>Back to Top</a:t>
              </a:r>
              <a:endParaRPr lang="en-GB"/>
            </a:p>
          </xdr:txBody>
        </xdr:sp>
        <xdr:clientData fPrintsWithSheet="0"/>
      </xdr:twoCellAnchor>
    </mc:Choice>
    <mc:Fallback/>
  </mc:AlternateContent>
  <xdr:twoCellAnchor>
    <xdr:from>
      <xdr:col>1</xdr:col>
      <xdr:colOff>0</xdr:colOff>
      <xdr:row>16</xdr:row>
      <xdr:rowOff>19050</xdr:rowOff>
    </xdr:from>
    <xdr:to>
      <xdr:col>1</xdr:col>
      <xdr:colOff>2800350</xdr:colOff>
      <xdr:row>17</xdr:row>
      <xdr:rowOff>38100</xdr:rowOff>
    </xdr:to>
    <xdr:sp macro="[0]!GreenStarSAIntro4" textlink="">
      <xdr:nvSpPr>
        <xdr:cNvPr id="6647" name="Rectangle 313"/>
        <xdr:cNvSpPr>
          <a:spLocks noChangeArrowheads="1"/>
        </xdr:cNvSpPr>
      </xdr:nvSpPr>
      <xdr:spPr bwMode="auto">
        <a:xfrm>
          <a:off x="257175" y="3581400"/>
          <a:ext cx="28003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247650</xdr:colOff>
      <xdr:row>18</xdr:row>
      <xdr:rowOff>19050</xdr:rowOff>
    </xdr:from>
    <xdr:to>
      <xdr:col>1</xdr:col>
      <xdr:colOff>1514475</xdr:colOff>
      <xdr:row>19</xdr:row>
      <xdr:rowOff>19050</xdr:rowOff>
    </xdr:to>
    <xdr:sp macro="[0]!GreenStarSAIntro5" textlink="">
      <xdr:nvSpPr>
        <xdr:cNvPr id="6648" name="Rectangle 314"/>
        <xdr:cNvSpPr>
          <a:spLocks noChangeArrowheads="1"/>
        </xdr:cNvSpPr>
      </xdr:nvSpPr>
      <xdr:spPr bwMode="auto">
        <a:xfrm>
          <a:off x="247650" y="3962400"/>
          <a:ext cx="15240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3028950</xdr:colOff>
          <xdr:row>41</xdr:row>
          <xdr:rowOff>57150</xdr:rowOff>
        </xdr:from>
        <xdr:to>
          <xdr:col>10</xdr:col>
          <xdr:colOff>647700</xdr:colOff>
          <xdr:row>43</xdr:row>
          <xdr:rowOff>9525</xdr:rowOff>
        </xdr:to>
        <xdr:sp macro="" textlink="">
          <xdr:nvSpPr>
            <xdr:cNvPr id="64514" name="Button 2" hidden="1">
              <a:extLst>
                <a:ext uri="{63B3BB69-23CF-44E3-9099-C40C66FF867C}">
                  <a14:compatExt spid="_x0000_s6451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Back to Ecology Credits</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57150</xdr:rowOff>
        </xdr:from>
        <xdr:to>
          <xdr:col>5</xdr:col>
          <xdr:colOff>781050</xdr:colOff>
          <xdr:row>5</xdr:row>
          <xdr:rowOff>266700</xdr:rowOff>
        </xdr:to>
        <xdr:sp macro="" textlink="">
          <xdr:nvSpPr>
            <xdr:cNvPr id="64515" name="Drop Down 3" hidden="1">
              <a:extLst>
                <a:ext uri="{63B3BB69-23CF-44E3-9099-C40C66FF867C}">
                  <a14:compatExt spid="_x0000_s645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161925</xdr:rowOff>
        </xdr:from>
        <xdr:to>
          <xdr:col>7</xdr:col>
          <xdr:colOff>123825</xdr:colOff>
          <xdr:row>9</xdr:row>
          <xdr:rowOff>28575</xdr:rowOff>
        </xdr:to>
        <xdr:sp macro="" textlink="">
          <xdr:nvSpPr>
            <xdr:cNvPr id="64517" name="Drop Down 5" hidden="1">
              <a:extLst>
                <a:ext uri="{63B3BB69-23CF-44E3-9099-C40C66FF867C}">
                  <a14:compatExt spid="_x0000_s64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161925</xdr:rowOff>
        </xdr:from>
        <xdr:to>
          <xdr:col>7</xdr:col>
          <xdr:colOff>123825</xdr:colOff>
          <xdr:row>15</xdr:row>
          <xdr:rowOff>28575</xdr:rowOff>
        </xdr:to>
        <xdr:sp macro="" textlink="">
          <xdr:nvSpPr>
            <xdr:cNvPr id="64518" name="Drop Down 6" hidden="1">
              <a:extLst>
                <a:ext uri="{63B3BB69-23CF-44E3-9099-C40C66FF867C}">
                  <a14:compatExt spid="_x0000_s64518"/>
                </a:ext>
              </a:extLst>
            </xdr:cNvPr>
            <xdr:cNvSpPr/>
          </xdr:nvSpPr>
          <xdr:spPr>
            <a:xfrm>
              <a:off x="0" y="0"/>
              <a:ext cx="0" cy="0"/>
            </a:xfrm>
            <a:prstGeom prst="rect">
              <a:avLst/>
            </a:prstGeom>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876300</xdr:colOff>
          <xdr:row>18</xdr:row>
          <xdr:rowOff>104775</xdr:rowOff>
        </xdr:from>
        <xdr:to>
          <xdr:col>8</xdr:col>
          <xdr:colOff>0</xdr:colOff>
          <xdr:row>20</xdr:row>
          <xdr:rowOff>57150</xdr:rowOff>
        </xdr:to>
        <xdr:sp macro="" textlink="">
          <xdr:nvSpPr>
            <xdr:cNvPr id="41985" name="Button 1" hidden="1">
              <a:extLst>
                <a:ext uri="{63B3BB69-23CF-44E3-9099-C40C66FF867C}">
                  <a14:compatExt spid="_x0000_s4198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771525</xdr:colOff>
          <xdr:row>12</xdr:row>
          <xdr:rowOff>1828800</xdr:rowOff>
        </xdr:from>
        <xdr:to>
          <xdr:col>3</xdr:col>
          <xdr:colOff>3762375</xdr:colOff>
          <xdr:row>12</xdr:row>
          <xdr:rowOff>2085975</xdr:rowOff>
        </xdr:to>
        <xdr:sp macro="" textlink="">
          <xdr:nvSpPr>
            <xdr:cNvPr id="41986" name="Button 2" hidden="1">
              <a:extLst>
                <a:ext uri="{63B3BB69-23CF-44E3-9099-C40C66FF867C}">
                  <a14:compatExt spid="_x0000_s4198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Go to Sewage Calculator</a:t>
              </a:r>
              <a:endParaRPr lang="en-GB"/>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2</xdr:col>
      <xdr:colOff>104775</xdr:colOff>
      <xdr:row>22</xdr:row>
      <xdr:rowOff>0</xdr:rowOff>
    </xdr:from>
    <xdr:to>
      <xdr:col>4</xdr:col>
      <xdr:colOff>1790700</xdr:colOff>
      <xdr:row>22</xdr:row>
      <xdr:rowOff>0</xdr:rowOff>
    </xdr:to>
    <xdr:graphicFrame macro="">
      <xdr:nvGraphicFramePr>
        <xdr:cNvPr id="574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85725</xdr:colOff>
      <xdr:row>13</xdr:row>
      <xdr:rowOff>0</xdr:rowOff>
    </xdr:from>
    <xdr:to>
      <xdr:col>4</xdr:col>
      <xdr:colOff>1819275</xdr:colOff>
      <xdr:row>13</xdr:row>
      <xdr:rowOff>0</xdr:rowOff>
    </xdr:to>
    <xdr:graphicFrame macro="">
      <xdr:nvGraphicFramePr>
        <xdr:cNvPr id="5749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3</xdr:col>
          <xdr:colOff>400050</xdr:colOff>
          <xdr:row>42</xdr:row>
          <xdr:rowOff>38100</xdr:rowOff>
        </xdr:from>
        <xdr:to>
          <xdr:col>4</xdr:col>
          <xdr:colOff>1895475</xdr:colOff>
          <xdr:row>43</xdr:row>
          <xdr:rowOff>114300</xdr:rowOff>
        </xdr:to>
        <xdr:sp macro="" textlink="">
          <xdr:nvSpPr>
            <xdr:cNvPr id="57347" name="Button 3" hidden="1">
              <a:extLst>
                <a:ext uri="{63B3BB69-23CF-44E3-9099-C40C66FF867C}">
                  <a14:compatExt spid="_x0000_s573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Emissions Credits</a:t>
              </a:r>
              <a:endParaRPr lang="en-GB"/>
            </a:p>
          </xdr:txBody>
        </xdr:sp>
        <xdr:clientData fPrintsWithSheet="0"/>
      </xdr:twoCellAnchor>
    </mc:Choice>
    <mc:Fallback/>
  </mc:AlternateContent>
  <xdr:twoCellAnchor>
    <xdr:from>
      <xdr:col>2</xdr:col>
      <xdr:colOff>104775</xdr:colOff>
      <xdr:row>22</xdr:row>
      <xdr:rowOff>0</xdr:rowOff>
    </xdr:from>
    <xdr:to>
      <xdr:col>4</xdr:col>
      <xdr:colOff>1790700</xdr:colOff>
      <xdr:row>22</xdr:row>
      <xdr:rowOff>0</xdr:rowOff>
    </xdr:to>
    <xdr:graphicFrame macro="">
      <xdr:nvGraphicFramePr>
        <xdr:cNvPr id="575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13</xdr:row>
      <xdr:rowOff>0</xdr:rowOff>
    </xdr:from>
    <xdr:to>
      <xdr:col>4</xdr:col>
      <xdr:colOff>1819275</xdr:colOff>
      <xdr:row>13</xdr:row>
      <xdr:rowOff>0</xdr:rowOff>
    </xdr:to>
    <xdr:graphicFrame macro="">
      <xdr:nvGraphicFramePr>
        <xdr:cNvPr id="57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xdr:from>
          <xdr:col>3</xdr:col>
          <xdr:colOff>400050</xdr:colOff>
          <xdr:row>42</xdr:row>
          <xdr:rowOff>38100</xdr:rowOff>
        </xdr:from>
        <xdr:to>
          <xdr:col>4</xdr:col>
          <xdr:colOff>1895475</xdr:colOff>
          <xdr:row>43</xdr:row>
          <xdr:rowOff>114300</xdr:rowOff>
        </xdr:to>
        <xdr:sp macro="" textlink="">
          <xdr:nvSpPr>
            <xdr:cNvPr id="57412" name="Button 68" hidden="1">
              <a:extLst>
                <a:ext uri="{63B3BB69-23CF-44E3-9099-C40C66FF867C}">
                  <a14:compatExt spid="_x0000_s57412"/>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HelveticaNeue-Roman"/>
                </a:rPr>
                <a:t>Back to Emissions Credits</a:t>
              </a:r>
              <a:endParaRPr lang="en-GB"/>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876300</xdr:colOff>
          <xdr:row>8</xdr:row>
          <xdr:rowOff>104775</xdr:rowOff>
        </xdr:from>
        <xdr:to>
          <xdr:col>7</xdr:col>
          <xdr:colOff>0</xdr:colOff>
          <xdr:row>10</xdr:row>
          <xdr:rowOff>57150</xdr:rowOff>
        </xdr:to>
        <xdr:sp macro="" textlink="">
          <xdr:nvSpPr>
            <xdr:cNvPr id="40961" name="Button 1" hidden="1">
              <a:extLst>
                <a:ext uri="{63B3BB69-23CF-44E3-9099-C40C66FF867C}">
                  <a14:compatExt spid="_x0000_s4096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GB" sz="1100" b="1" i="0" u="none" strike="noStrike" baseline="0">
                  <a:solidFill>
                    <a:srgbClr val="000000"/>
                  </a:solidFill>
                  <a:latin typeface="Arial"/>
                  <a:cs typeface="Arial"/>
                </a:rPr>
                <a:t>Go to Credit Summary</a:t>
              </a:r>
              <a:endParaRPr lang="en-GB"/>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1</xdr:col>
      <xdr:colOff>19050</xdr:colOff>
      <xdr:row>28</xdr:row>
      <xdr:rowOff>114300</xdr:rowOff>
    </xdr:from>
    <xdr:to>
      <xdr:col>9</xdr:col>
      <xdr:colOff>19050</xdr:colOff>
      <xdr:row>53</xdr:row>
      <xdr:rowOff>123825</xdr:rowOff>
    </xdr:to>
    <xdr:graphicFrame macro="">
      <xdr:nvGraphicFramePr>
        <xdr:cNvPr id="135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55</xdr:row>
      <xdr:rowOff>76200</xdr:rowOff>
    </xdr:from>
    <xdr:to>
      <xdr:col>9</xdr:col>
      <xdr:colOff>57150</xdr:colOff>
      <xdr:row>82</xdr:row>
      <xdr:rowOff>38100</xdr:rowOff>
    </xdr:to>
    <xdr:graphicFrame macro="">
      <xdr:nvGraphicFramePr>
        <xdr:cNvPr id="135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5</xdr:row>
      <xdr:rowOff>123825</xdr:rowOff>
    </xdr:from>
    <xdr:to>
      <xdr:col>9</xdr:col>
      <xdr:colOff>28575</xdr:colOff>
      <xdr:row>27</xdr:row>
      <xdr:rowOff>123825</xdr:rowOff>
    </xdr:to>
    <xdr:graphicFrame macro="">
      <xdr:nvGraphicFramePr>
        <xdr:cNvPr id="1358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581025</xdr:colOff>
      <xdr:row>22</xdr:row>
      <xdr:rowOff>19050</xdr:rowOff>
    </xdr:from>
    <xdr:to>
      <xdr:col>8</xdr:col>
      <xdr:colOff>85725</xdr:colOff>
      <xdr:row>23</xdr:row>
      <xdr:rowOff>152400</xdr:rowOff>
    </xdr:to>
    <xdr:sp macro="" textlink="">
      <xdr:nvSpPr>
        <xdr:cNvPr id="13583" name="Freeform 123"/>
        <xdr:cNvSpPr>
          <a:spLocks/>
        </xdr:cNvSpPr>
      </xdr:nvSpPr>
      <xdr:spPr bwMode="auto">
        <a:xfrm>
          <a:off x="5772150" y="4457700"/>
          <a:ext cx="323850" cy="295275"/>
        </a:xfrm>
        <a:custGeom>
          <a:avLst/>
          <a:gdLst>
            <a:gd name="T0" fmla="*/ 2147483647 w 205"/>
            <a:gd name="T1" fmla="*/ 2147483647 h 181"/>
            <a:gd name="T2" fmla="*/ 2147483647 w 205"/>
            <a:gd name="T3" fmla="*/ 2147483647 h 181"/>
            <a:gd name="T4" fmla="*/ 2147483647 w 205"/>
            <a:gd name="T5" fmla="*/ 2147483647 h 181"/>
            <a:gd name="T6" fmla="*/ 2147483647 w 205"/>
            <a:gd name="T7" fmla="*/ 0 h 181"/>
            <a:gd name="T8" fmla="*/ 2147483647 w 205"/>
            <a:gd name="T9" fmla="*/ 2147483647 h 181"/>
            <a:gd name="T10" fmla="*/ 2147483647 w 205"/>
            <a:gd name="T11" fmla="*/ 2147483647 h 181"/>
            <a:gd name="T12" fmla="*/ 2147483647 w 205"/>
            <a:gd name="T13" fmla="*/ 2147483647 h 181"/>
            <a:gd name="T14" fmla="*/ 2147483647 w 205"/>
            <a:gd name="T15" fmla="*/ 2147483647 h 181"/>
            <a:gd name="T16" fmla="*/ 2147483647 w 205"/>
            <a:gd name="T17" fmla="*/ 2147483647 h 181"/>
            <a:gd name="T18" fmla="*/ 2147483647 w 205"/>
            <a:gd name="T19" fmla="*/ 2147483647 h 181"/>
            <a:gd name="T20" fmla="*/ 2147483647 w 205"/>
            <a:gd name="T21" fmla="*/ 2147483647 h 181"/>
            <a:gd name="T22" fmla="*/ 0 w 205"/>
            <a:gd name="T23" fmla="*/ 2147483647 h 181"/>
            <a:gd name="T24" fmla="*/ 2147483647 w 205"/>
            <a:gd name="T25" fmla="*/ 2147483647 h 181"/>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a:srgbClr val="FFFFFF"/>
        </a:solidFill>
        <a:l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114300</xdr:colOff>
      <xdr:row>22</xdr:row>
      <xdr:rowOff>19050</xdr:rowOff>
    </xdr:from>
    <xdr:to>
      <xdr:col>6</xdr:col>
      <xdr:colOff>438150</xdr:colOff>
      <xdr:row>23</xdr:row>
      <xdr:rowOff>152400</xdr:rowOff>
    </xdr:to>
    <xdr:sp macro="" textlink="">
      <xdr:nvSpPr>
        <xdr:cNvPr id="13584" name="Freeform 124"/>
        <xdr:cNvSpPr>
          <a:spLocks/>
        </xdr:cNvSpPr>
      </xdr:nvSpPr>
      <xdr:spPr bwMode="auto">
        <a:xfrm>
          <a:off x="4486275" y="4457700"/>
          <a:ext cx="323850" cy="295275"/>
        </a:xfrm>
        <a:custGeom>
          <a:avLst/>
          <a:gdLst>
            <a:gd name="T0" fmla="*/ 2147483647 w 205"/>
            <a:gd name="T1" fmla="*/ 2147483647 h 181"/>
            <a:gd name="T2" fmla="*/ 2147483647 w 205"/>
            <a:gd name="T3" fmla="*/ 2147483647 h 181"/>
            <a:gd name="T4" fmla="*/ 2147483647 w 205"/>
            <a:gd name="T5" fmla="*/ 2147483647 h 181"/>
            <a:gd name="T6" fmla="*/ 2147483647 w 205"/>
            <a:gd name="T7" fmla="*/ 0 h 181"/>
            <a:gd name="T8" fmla="*/ 2147483647 w 205"/>
            <a:gd name="T9" fmla="*/ 2147483647 h 181"/>
            <a:gd name="T10" fmla="*/ 2147483647 w 205"/>
            <a:gd name="T11" fmla="*/ 2147483647 h 181"/>
            <a:gd name="T12" fmla="*/ 2147483647 w 205"/>
            <a:gd name="T13" fmla="*/ 2147483647 h 181"/>
            <a:gd name="T14" fmla="*/ 2147483647 w 205"/>
            <a:gd name="T15" fmla="*/ 2147483647 h 181"/>
            <a:gd name="T16" fmla="*/ 2147483647 w 205"/>
            <a:gd name="T17" fmla="*/ 2147483647 h 181"/>
            <a:gd name="T18" fmla="*/ 2147483647 w 205"/>
            <a:gd name="T19" fmla="*/ 2147483647 h 181"/>
            <a:gd name="T20" fmla="*/ 2147483647 w 205"/>
            <a:gd name="T21" fmla="*/ 2147483647 h 181"/>
            <a:gd name="T22" fmla="*/ 0 w 205"/>
            <a:gd name="T23" fmla="*/ 2147483647 h 181"/>
            <a:gd name="T24" fmla="*/ 2147483647 w 205"/>
            <a:gd name="T25" fmla="*/ 2147483647 h 181"/>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a:srgbClr val="FFFFFF"/>
        </a:solidFill>
        <a:l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809625</xdr:colOff>
      <xdr:row>22</xdr:row>
      <xdr:rowOff>19050</xdr:rowOff>
    </xdr:from>
    <xdr:to>
      <xdr:col>5</xdr:col>
      <xdr:colOff>314325</xdr:colOff>
      <xdr:row>23</xdr:row>
      <xdr:rowOff>152400</xdr:rowOff>
    </xdr:to>
    <xdr:sp macro="" textlink="">
      <xdr:nvSpPr>
        <xdr:cNvPr id="13585" name="Freeform 125"/>
        <xdr:cNvSpPr>
          <a:spLocks/>
        </xdr:cNvSpPr>
      </xdr:nvSpPr>
      <xdr:spPr bwMode="auto">
        <a:xfrm>
          <a:off x="3543300" y="4457700"/>
          <a:ext cx="323850" cy="295275"/>
        </a:xfrm>
        <a:custGeom>
          <a:avLst/>
          <a:gdLst>
            <a:gd name="T0" fmla="*/ 2147483647 w 205"/>
            <a:gd name="T1" fmla="*/ 2147483647 h 181"/>
            <a:gd name="T2" fmla="*/ 2147483647 w 205"/>
            <a:gd name="T3" fmla="*/ 2147483647 h 181"/>
            <a:gd name="T4" fmla="*/ 2147483647 w 205"/>
            <a:gd name="T5" fmla="*/ 2147483647 h 181"/>
            <a:gd name="T6" fmla="*/ 2147483647 w 205"/>
            <a:gd name="T7" fmla="*/ 0 h 181"/>
            <a:gd name="T8" fmla="*/ 2147483647 w 205"/>
            <a:gd name="T9" fmla="*/ 2147483647 h 181"/>
            <a:gd name="T10" fmla="*/ 2147483647 w 205"/>
            <a:gd name="T11" fmla="*/ 2147483647 h 181"/>
            <a:gd name="T12" fmla="*/ 2147483647 w 205"/>
            <a:gd name="T13" fmla="*/ 2147483647 h 181"/>
            <a:gd name="T14" fmla="*/ 2147483647 w 205"/>
            <a:gd name="T15" fmla="*/ 2147483647 h 181"/>
            <a:gd name="T16" fmla="*/ 2147483647 w 205"/>
            <a:gd name="T17" fmla="*/ 2147483647 h 181"/>
            <a:gd name="T18" fmla="*/ 2147483647 w 205"/>
            <a:gd name="T19" fmla="*/ 2147483647 h 181"/>
            <a:gd name="T20" fmla="*/ 2147483647 w 205"/>
            <a:gd name="T21" fmla="*/ 2147483647 h 181"/>
            <a:gd name="T22" fmla="*/ 0 w 205"/>
            <a:gd name="T23" fmla="*/ 2147483647 h 181"/>
            <a:gd name="T24" fmla="*/ 2147483647 w 205"/>
            <a:gd name="T25" fmla="*/ 2147483647 h 181"/>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a:srgbClr val="FFFFFF"/>
        </a:solidFill>
        <a:l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83</xdr:row>
      <xdr:rowOff>38100</xdr:rowOff>
    </xdr:from>
    <xdr:to>
      <xdr:col>9</xdr:col>
      <xdr:colOff>114300</xdr:colOff>
      <xdr:row>108</xdr:row>
      <xdr:rowOff>95250</xdr:rowOff>
    </xdr:to>
    <xdr:graphicFrame macro="">
      <xdr:nvGraphicFramePr>
        <xdr:cNvPr id="13586" name="Chart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0.49161</cdr:x>
      <cdr:y>0.8925</cdr:y>
    </cdr:from>
    <cdr:to>
      <cdr:x>0.56488</cdr:x>
      <cdr:y>0.94256</cdr:y>
    </cdr:to>
    <cdr:sp macro="" textlink="">
      <cdr:nvSpPr>
        <cdr:cNvPr id="35841" name="Rectangle 1"/>
        <cdr:cNvSpPr>
          <a:spLocks xmlns:a="http://schemas.openxmlformats.org/drawingml/2006/main" noChangeArrowheads="1"/>
        </cdr:cNvSpPr>
      </cdr:nvSpPr>
      <cdr:spPr bwMode="auto">
        <a:xfrm xmlns:a="http://schemas.openxmlformats.org/drawingml/2006/main">
          <a:off x="3754218" y="3271660"/>
          <a:ext cx="561067" cy="174507"/>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0" i="0" strike="noStrike">
              <a:solidFill>
                <a:srgbClr val="000000"/>
              </a:solidFill>
              <a:latin typeface="Arial"/>
              <a:ea typeface="Arial"/>
              <a:cs typeface="Arial"/>
            </a:rPr>
            <a:t>4 Star</a:t>
          </a:r>
        </a:p>
      </cdr:txBody>
    </cdr:sp>
  </cdr:relSizeAnchor>
  <cdr:relSizeAnchor xmlns:cdr="http://schemas.openxmlformats.org/drawingml/2006/chartDrawing">
    <cdr:from>
      <cdr:x>0.63345</cdr:x>
      <cdr:y>0.8925</cdr:y>
    </cdr:from>
    <cdr:to>
      <cdr:x>0.70597</cdr:x>
      <cdr:y>0.94256</cdr:y>
    </cdr:to>
    <cdr:sp macro="" textlink="">
      <cdr:nvSpPr>
        <cdr:cNvPr id="35842" name="Rectangle 2"/>
        <cdr:cNvSpPr>
          <a:spLocks xmlns:a="http://schemas.openxmlformats.org/drawingml/2006/main" noChangeArrowheads="1"/>
        </cdr:cNvSpPr>
      </cdr:nvSpPr>
      <cdr:spPr bwMode="auto">
        <a:xfrm xmlns:a="http://schemas.openxmlformats.org/drawingml/2006/main">
          <a:off x="4838697" y="3271660"/>
          <a:ext cx="553536" cy="174507"/>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0" i="0" strike="noStrike">
              <a:solidFill>
                <a:srgbClr val="000000"/>
              </a:solidFill>
              <a:latin typeface="Arial"/>
              <a:ea typeface="Arial"/>
              <a:cs typeface="Arial"/>
            </a:rPr>
            <a:t>5 Star</a:t>
          </a:r>
        </a:p>
      </cdr:txBody>
    </cdr:sp>
  </cdr:relSizeAnchor>
  <cdr:relSizeAnchor xmlns:cdr="http://schemas.openxmlformats.org/drawingml/2006/chartDrawing">
    <cdr:from>
      <cdr:x>0.83523</cdr:x>
      <cdr:y>0.8925</cdr:y>
    </cdr:from>
    <cdr:to>
      <cdr:x>0.90677</cdr:x>
      <cdr:y>0.94256</cdr:y>
    </cdr:to>
    <cdr:sp macro="" textlink="">
      <cdr:nvSpPr>
        <cdr:cNvPr id="35843" name="Rectangle 3"/>
        <cdr:cNvSpPr>
          <a:spLocks xmlns:a="http://schemas.openxmlformats.org/drawingml/2006/main" noChangeArrowheads="1"/>
        </cdr:cNvSpPr>
      </cdr:nvSpPr>
      <cdr:spPr bwMode="auto">
        <a:xfrm xmlns:a="http://schemas.openxmlformats.org/drawingml/2006/main">
          <a:off x="6378807" y="3271660"/>
          <a:ext cx="546005" cy="174507"/>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0" i="0" strike="noStrike">
              <a:solidFill>
                <a:srgbClr val="000000"/>
              </a:solidFill>
              <a:latin typeface="Arial"/>
              <a:ea typeface="Arial"/>
              <a:cs typeface="Arial"/>
            </a:rPr>
            <a:t>6 Star</a:t>
          </a:r>
        </a:p>
      </cdr:txBody>
    </cdr:sp>
  </cdr:relSizeAnchor>
  <cdr:relSizeAnchor xmlns:cdr="http://schemas.openxmlformats.org/drawingml/2006/chartDrawing">
    <cdr:from>
      <cdr:x>0.12478</cdr:x>
      <cdr:y>0.72508</cdr:y>
    </cdr:from>
    <cdr:to>
      <cdr:x>0.17356</cdr:x>
      <cdr:y>0.80952</cdr:y>
    </cdr:to>
    <cdr:sp macro="" textlink="">
      <cdr:nvSpPr>
        <cdr:cNvPr id="300046" name="Freeform 1038"/>
        <cdr:cNvSpPr>
          <a:spLocks xmlns:a="http://schemas.openxmlformats.org/drawingml/2006/main"/>
        </cdr:cNvSpPr>
      </cdr:nvSpPr>
      <cdr:spPr bwMode="auto">
        <a:xfrm xmlns:a="http://schemas.openxmlformats.org/drawingml/2006/main">
          <a:off x="822046" y="2593082"/>
          <a:ext cx="320140" cy="301597"/>
        </a:xfrm>
        <a:custGeom xmlns:a="http://schemas.openxmlformats.org/drawingml/2006/main">
          <a:avLst/>
          <a:gdLst>
            <a:gd name="T0" fmla="*/ 75 w 205"/>
            <a:gd name="T1" fmla="*/ 72 h 181"/>
            <a:gd name="T2" fmla="*/ 76 w 205"/>
            <a:gd name="T3" fmla="*/ 70 h 181"/>
            <a:gd name="T4" fmla="*/ 78 w 205"/>
            <a:gd name="T5" fmla="*/ 67 h 181"/>
            <a:gd name="T6" fmla="*/ 101 w 205"/>
            <a:gd name="T7" fmla="*/ 0 h 181"/>
            <a:gd name="T8" fmla="*/ 127 w 205"/>
            <a:gd name="T9" fmla="*/ 71 h 181"/>
            <a:gd name="T10" fmla="*/ 205 w 205"/>
            <a:gd name="T11" fmla="*/ 71 h 181"/>
            <a:gd name="T12" fmla="*/ 141 w 205"/>
            <a:gd name="T13" fmla="*/ 112 h 181"/>
            <a:gd name="T14" fmla="*/ 168 w 205"/>
            <a:gd name="T15" fmla="*/ 181 h 181"/>
            <a:gd name="T16" fmla="*/ 103 w 205"/>
            <a:gd name="T17" fmla="*/ 138 h 181"/>
            <a:gd name="T18" fmla="*/ 39 w 205"/>
            <a:gd name="T19" fmla="*/ 181 h 181"/>
            <a:gd name="T20" fmla="*/ 60 w 205"/>
            <a:gd name="T21" fmla="*/ 112 h 181"/>
            <a:gd name="T22" fmla="*/ 0 w 205"/>
            <a:gd name="T23" fmla="*/ 74 h 181"/>
            <a:gd name="T24" fmla="*/ 75 w 205"/>
            <a:gd name="T25" fmla="*/ 72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xmlns:a="http://schemas.openxmlformats.org/drawingml/2006/main">
          <a:srgbClr val="FFFFFF"/>
        </a:solidFill>
        <a:ln xmlns:a="http://schemas.openxmlformats.org/drawingml/2006/mai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en-ZA"/>
        </a:p>
      </cdr:txBody>
    </cdr:sp>
  </cdr:relSizeAnchor>
  <cdr:relSizeAnchor xmlns:cdr="http://schemas.openxmlformats.org/drawingml/2006/chartDrawing">
    <cdr:from>
      <cdr:x>0.22357</cdr:x>
      <cdr:y>0.72679</cdr:y>
    </cdr:from>
    <cdr:to>
      <cdr:x>0.27235</cdr:x>
      <cdr:y>0.80903</cdr:y>
    </cdr:to>
    <cdr:sp macro="" textlink="">
      <cdr:nvSpPr>
        <cdr:cNvPr id="300047" name="Freeform 1039"/>
        <cdr:cNvSpPr>
          <a:spLocks xmlns:a="http://schemas.openxmlformats.org/drawingml/2006/main"/>
        </cdr:cNvSpPr>
      </cdr:nvSpPr>
      <cdr:spPr bwMode="auto">
        <a:xfrm xmlns:a="http://schemas.openxmlformats.org/drawingml/2006/main">
          <a:off x="1470411" y="2599166"/>
          <a:ext cx="320140" cy="293775"/>
        </a:xfrm>
        <a:custGeom xmlns:a="http://schemas.openxmlformats.org/drawingml/2006/main">
          <a:avLst/>
          <a:gdLst>
            <a:gd name="T0" fmla="*/ 75 w 205"/>
            <a:gd name="T1" fmla="*/ 72 h 181"/>
            <a:gd name="T2" fmla="*/ 76 w 205"/>
            <a:gd name="T3" fmla="*/ 70 h 181"/>
            <a:gd name="T4" fmla="*/ 78 w 205"/>
            <a:gd name="T5" fmla="*/ 67 h 181"/>
            <a:gd name="T6" fmla="*/ 101 w 205"/>
            <a:gd name="T7" fmla="*/ 0 h 181"/>
            <a:gd name="T8" fmla="*/ 127 w 205"/>
            <a:gd name="T9" fmla="*/ 71 h 181"/>
            <a:gd name="T10" fmla="*/ 205 w 205"/>
            <a:gd name="T11" fmla="*/ 71 h 181"/>
            <a:gd name="T12" fmla="*/ 141 w 205"/>
            <a:gd name="T13" fmla="*/ 112 h 181"/>
            <a:gd name="T14" fmla="*/ 168 w 205"/>
            <a:gd name="T15" fmla="*/ 181 h 181"/>
            <a:gd name="T16" fmla="*/ 103 w 205"/>
            <a:gd name="T17" fmla="*/ 138 h 181"/>
            <a:gd name="T18" fmla="*/ 39 w 205"/>
            <a:gd name="T19" fmla="*/ 181 h 181"/>
            <a:gd name="T20" fmla="*/ 60 w 205"/>
            <a:gd name="T21" fmla="*/ 112 h 181"/>
            <a:gd name="T22" fmla="*/ 0 w 205"/>
            <a:gd name="T23" fmla="*/ 74 h 181"/>
            <a:gd name="T24" fmla="*/ 75 w 205"/>
            <a:gd name="T25" fmla="*/ 72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xmlns:a="http://schemas.openxmlformats.org/drawingml/2006/main">
          <a:srgbClr val="FFFFFF"/>
        </a:solidFill>
        <a:ln xmlns:a="http://schemas.openxmlformats.org/drawingml/2006/mai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en-ZA"/>
        </a:p>
      </cdr:txBody>
    </cdr:sp>
  </cdr:relSizeAnchor>
  <cdr:relSizeAnchor xmlns:cdr="http://schemas.openxmlformats.org/drawingml/2006/chartDrawing">
    <cdr:from>
      <cdr:x>0.34676</cdr:x>
      <cdr:y>0.72752</cdr:y>
    </cdr:from>
    <cdr:to>
      <cdr:x>0.39652</cdr:x>
      <cdr:y>0.80952</cdr:y>
    </cdr:to>
    <cdr:sp macro="" textlink="">
      <cdr:nvSpPr>
        <cdr:cNvPr id="300048" name="Freeform 1040"/>
        <cdr:cNvSpPr>
          <a:spLocks xmlns:a="http://schemas.openxmlformats.org/drawingml/2006/main"/>
        </cdr:cNvSpPr>
      </cdr:nvSpPr>
      <cdr:spPr bwMode="auto">
        <a:xfrm xmlns:a="http://schemas.openxmlformats.org/drawingml/2006/main">
          <a:off x="2278845" y="2601774"/>
          <a:ext cx="326608" cy="292905"/>
        </a:xfrm>
        <a:custGeom xmlns:a="http://schemas.openxmlformats.org/drawingml/2006/main">
          <a:avLst/>
          <a:gdLst>
            <a:gd name="T0" fmla="*/ 75 w 205"/>
            <a:gd name="T1" fmla="*/ 72 h 181"/>
            <a:gd name="T2" fmla="*/ 76 w 205"/>
            <a:gd name="T3" fmla="*/ 70 h 181"/>
            <a:gd name="T4" fmla="*/ 78 w 205"/>
            <a:gd name="T5" fmla="*/ 67 h 181"/>
            <a:gd name="T6" fmla="*/ 101 w 205"/>
            <a:gd name="T7" fmla="*/ 0 h 181"/>
            <a:gd name="T8" fmla="*/ 127 w 205"/>
            <a:gd name="T9" fmla="*/ 71 h 181"/>
            <a:gd name="T10" fmla="*/ 205 w 205"/>
            <a:gd name="T11" fmla="*/ 71 h 181"/>
            <a:gd name="T12" fmla="*/ 141 w 205"/>
            <a:gd name="T13" fmla="*/ 112 h 181"/>
            <a:gd name="T14" fmla="*/ 168 w 205"/>
            <a:gd name="T15" fmla="*/ 181 h 181"/>
            <a:gd name="T16" fmla="*/ 103 w 205"/>
            <a:gd name="T17" fmla="*/ 138 h 181"/>
            <a:gd name="T18" fmla="*/ 39 w 205"/>
            <a:gd name="T19" fmla="*/ 181 h 181"/>
            <a:gd name="T20" fmla="*/ 60 w 205"/>
            <a:gd name="T21" fmla="*/ 112 h 181"/>
            <a:gd name="T22" fmla="*/ 0 w 205"/>
            <a:gd name="T23" fmla="*/ 74 h 181"/>
            <a:gd name="T24" fmla="*/ 75 w 205"/>
            <a:gd name="T25" fmla="*/ 72 h 1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05" h="181">
              <a:moveTo>
                <a:pt x="75" y="72"/>
              </a:moveTo>
              <a:cubicBezTo>
                <a:pt x="76" y="71"/>
                <a:pt x="76" y="70"/>
                <a:pt x="76" y="70"/>
              </a:cubicBezTo>
              <a:cubicBezTo>
                <a:pt x="77" y="69"/>
                <a:pt x="78" y="67"/>
                <a:pt x="78" y="67"/>
              </a:cubicBezTo>
              <a:lnTo>
                <a:pt x="101" y="0"/>
              </a:lnTo>
              <a:lnTo>
                <a:pt x="127" y="71"/>
              </a:lnTo>
              <a:lnTo>
                <a:pt x="205" y="71"/>
              </a:lnTo>
              <a:lnTo>
                <a:pt x="141" y="112"/>
              </a:lnTo>
              <a:lnTo>
                <a:pt x="168" y="181"/>
              </a:lnTo>
              <a:lnTo>
                <a:pt x="103" y="138"/>
              </a:lnTo>
              <a:lnTo>
                <a:pt x="39" y="181"/>
              </a:lnTo>
              <a:lnTo>
                <a:pt x="60" y="112"/>
              </a:lnTo>
              <a:lnTo>
                <a:pt x="0" y="74"/>
              </a:lnTo>
              <a:lnTo>
                <a:pt x="75" y="72"/>
              </a:lnTo>
              <a:close/>
            </a:path>
          </a:pathLst>
        </a:custGeom>
        <a:solidFill xmlns:a="http://schemas.openxmlformats.org/drawingml/2006/main">
          <a:srgbClr val="FFFFFF"/>
        </a:solidFill>
        <a:ln xmlns:a="http://schemas.openxmlformats.org/drawingml/2006/main" w="9525" cap="flat" cmpd="sng">
          <a:solidFill>
            <a:srgbClr xmlns:mc="http://schemas.openxmlformats.org/markup-compatibility/2006" xmlns:a14="http://schemas.microsoft.com/office/drawing/2010/main" val="808080" mc:Ignorable="a14" a14:legacySpreadsheetColorIndex="23"/>
          </a:solidFill>
          <a:prstDash val="solid"/>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en-ZA"/>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6076950</xdr:colOff>
      <xdr:row>0</xdr:row>
      <xdr:rowOff>57150</xdr:rowOff>
    </xdr:from>
    <xdr:to>
      <xdr:col>1</xdr:col>
      <xdr:colOff>7839075</xdr:colOff>
      <xdr:row>3</xdr:row>
      <xdr:rowOff>28575</xdr:rowOff>
    </xdr:to>
    <xdr:pic>
      <xdr:nvPicPr>
        <xdr:cNvPr id="3128" name="Picture 13"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1</xdr:col>
      <xdr:colOff>1885950</xdr:colOff>
      <xdr:row>1</xdr:row>
      <xdr:rowOff>0</xdr:rowOff>
    </xdr:to>
    <xdr:pic>
      <xdr:nvPicPr>
        <xdr:cNvPr id="3129" name="Picture 15"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6076950</xdr:colOff>
      <xdr:row>0</xdr:row>
      <xdr:rowOff>57150</xdr:rowOff>
    </xdr:from>
    <xdr:to>
      <xdr:col>1</xdr:col>
      <xdr:colOff>7839075</xdr:colOff>
      <xdr:row>3</xdr:row>
      <xdr:rowOff>28575</xdr:rowOff>
    </xdr:to>
    <xdr:pic>
      <xdr:nvPicPr>
        <xdr:cNvPr id="4153" name="Picture 15"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1</xdr:col>
      <xdr:colOff>1885950</xdr:colOff>
      <xdr:row>1</xdr:row>
      <xdr:rowOff>0</xdr:rowOff>
    </xdr:to>
    <xdr:pic>
      <xdr:nvPicPr>
        <xdr:cNvPr id="4154" name="Picture 16"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4752975</xdr:colOff>
      <xdr:row>0</xdr:row>
      <xdr:rowOff>57150</xdr:rowOff>
    </xdr:from>
    <xdr:to>
      <xdr:col>2</xdr:col>
      <xdr:colOff>6515100</xdr:colOff>
      <xdr:row>3</xdr:row>
      <xdr:rowOff>28575</xdr:rowOff>
    </xdr:to>
    <xdr:pic>
      <xdr:nvPicPr>
        <xdr:cNvPr id="322603" name="Picture 1"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2</xdr:col>
      <xdr:colOff>561975</xdr:colOff>
      <xdr:row>1</xdr:row>
      <xdr:rowOff>0</xdr:rowOff>
    </xdr:to>
    <xdr:pic>
      <xdr:nvPicPr>
        <xdr:cNvPr id="322604" name="Picture 2"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6315075</xdr:colOff>
      <xdr:row>0</xdr:row>
      <xdr:rowOff>57150</xdr:rowOff>
    </xdr:from>
    <xdr:to>
      <xdr:col>4</xdr:col>
      <xdr:colOff>590550</xdr:colOff>
      <xdr:row>3</xdr:row>
      <xdr:rowOff>28575</xdr:rowOff>
    </xdr:to>
    <xdr:pic>
      <xdr:nvPicPr>
        <xdr:cNvPr id="2" name="Picture 1"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757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2</xdr:col>
      <xdr:colOff>1190625</xdr:colOff>
      <xdr:row>1</xdr:row>
      <xdr:rowOff>0</xdr:rowOff>
    </xdr:to>
    <xdr:pic>
      <xdr:nvPicPr>
        <xdr:cNvPr id="3" name="Picture 2"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6315075</xdr:colOff>
      <xdr:row>0</xdr:row>
      <xdr:rowOff>47625</xdr:rowOff>
    </xdr:from>
    <xdr:to>
      <xdr:col>4</xdr:col>
      <xdr:colOff>590550</xdr:colOff>
      <xdr:row>3</xdr:row>
      <xdr:rowOff>19050</xdr:rowOff>
    </xdr:to>
    <xdr:pic>
      <xdr:nvPicPr>
        <xdr:cNvPr id="2" name="Picture 15"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7575" y="47625"/>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2</xdr:col>
      <xdr:colOff>1190625</xdr:colOff>
      <xdr:row>1</xdr:row>
      <xdr:rowOff>0</xdr:rowOff>
    </xdr:to>
    <xdr:pic>
      <xdr:nvPicPr>
        <xdr:cNvPr id="3" name="Picture 16"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6076950</xdr:colOff>
      <xdr:row>0</xdr:row>
      <xdr:rowOff>57150</xdr:rowOff>
    </xdr:from>
    <xdr:to>
      <xdr:col>1</xdr:col>
      <xdr:colOff>7839075</xdr:colOff>
      <xdr:row>3</xdr:row>
      <xdr:rowOff>28575</xdr:rowOff>
    </xdr:to>
    <xdr:pic>
      <xdr:nvPicPr>
        <xdr:cNvPr id="2" name="Picture 13" descr="GSSA Office v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4125" y="57150"/>
          <a:ext cx="17621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0</xdr:row>
      <xdr:rowOff>104775</xdr:rowOff>
    </xdr:from>
    <xdr:to>
      <xdr:col>1</xdr:col>
      <xdr:colOff>1885950</xdr:colOff>
      <xdr:row>1</xdr:row>
      <xdr:rowOff>0</xdr:rowOff>
    </xdr:to>
    <xdr:pic>
      <xdr:nvPicPr>
        <xdr:cNvPr id="3" name="Picture 15" descr="Green Building Council of South Africa logo (high re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5275" y="104775"/>
          <a:ext cx="18478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8</xdr:row>
          <xdr:rowOff>180975</xdr:rowOff>
        </xdr:from>
        <xdr:to>
          <xdr:col>2</xdr:col>
          <xdr:colOff>1743075</xdr:colOff>
          <xdr:row>10</xdr:row>
          <xdr:rowOff>9525</xdr:rowOff>
        </xdr:to>
        <xdr:sp macro="" textlink="">
          <xdr:nvSpPr>
            <xdr:cNvPr id="10241" name="Drop Down 1" hidden="1">
              <a:extLst>
                <a:ext uri="{63B3BB69-23CF-44E3-9099-C40C66FF867C}">
                  <a14:compatExt spid="_x0000_s1024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0</xdr:row>
          <xdr:rowOff>523875</xdr:rowOff>
        </xdr:from>
        <xdr:to>
          <xdr:col>2</xdr:col>
          <xdr:colOff>1790700</xdr:colOff>
          <xdr:row>2</xdr:row>
          <xdr:rowOff>0</xdr:rowOff>
        </xdr:to>
        <xdr:sp macro="" textlink="">
          <xdr:nvSpPr>
            <xdr:cNvPr id="10242" name="Drop Down 2" hidden="1">
              <a:extLst>
                <a:ext uri="{63B3BB69-23CF-44E3-9099-C40C66FF867C}">
                  <a14:compatExt spid="_x0000_s1024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180975</xdr:rowOff>
        </xdr:from>
        <xdr:to>
          <xdr:col>2</xdr:col>
          <xdr:colOff>1790700</xdr:colOff>
          <xdr:row>3</xdr:row>
          <xdr:rowOff>0</xdr:rowOff>
        </xdr:to>
        <xdr:sp macro="" textlink="">
          <xdr:nvSpPr>
            <xdr:cNvPr id="10248" name="Drop Down 8" hidden="1">
              <a:extLst>
                <a:ext uri="{63B3BB69-23CF-44E3-9099-C40C66FF867C}">
                  <a14:compatExt spid="_x0000_s10248"/>
                </a:ext>
              </a:extLst>
            </xdr:cNvPr>
            <xdr:cNvSpPr/>
          </xdr:nvSpPr>
          <xdr:spPr>
            <a:xfrm>
              <a:off x="0" y="0"/>
              <a:ext cx="0" cy="0"/>
            </a:xfrm>
            <a:prstGeom prst="rect">
              <a:avLst/>
            </a:prstGeom>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stel\GBCSASHARE\Documents%20and%20Settings\ZAMB00655\Local%20Settings\Temporary%20Internet%20Files\OLKA4\unlocked%20GBCSA%20&amp;%20GBCA%20docs\GSSA_Office_v1_20090401_UNLOCK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astel\GBCSASHARE\Documents%20and%20Settings\Ben\My%20Documents\Consulting\GBCA%20March%202007\Rebuilt%20-%20Office%20as%20Buil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stel\GBCSASHARE\Documents%20and%20Settings\jacob.knight\Local%20Settings\Temporary%20Internet%20Files\OLK8B4\Energy%20Calculator%20draft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stel\GBCSASHARE\Documents%20and%20Settings\jacob.knight\Local%20Settings\Temporary%20Internet%20Files\OLK8B4\Green%20Star%20-%20Office%20v3_UNLKD_Water%20Test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stel\GBCSASHARE\Documents%20and%20Settings\mhicks\Local%20Settings\Temporary%20Internet%20Files\OLK2BA\Rebuilt%20-%20Office%20as%20Buil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stel\GBCSASHARE\Green%20Star%20Rating%20System\Green%20Star%20-%20Office%20As%20Built\Version%202\Excel%20Tool\Green%20Star%20-%20Office%20As%20Built%20v2%20W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A"/>
      <sheetName val="Introduction"/>
      <sheetName val="How to Use"/>
      <sheetName val="Disclaimer"/>
      <sheetName val="Building Input"/>
      <sheetName val="Management"/>
      <sheetName val="IEQ"/>
      <sheetName val="Energy"/>
      <sheetName val="Energy Calculator"/>
      <sheetName val="Transport"/>
      <sheetName val="Transport Calculator"/>
      <sheetName val="Water"/>
      <sheetName val="Potable Water Calculator"/>
      <sheetName val="Materials"/>
      <sheetName val="Land Use &amp; Ecology"/>
      <sheetName val="Emissions"/>
      <sheetName val="Sewage Calculator"/>
      <sheetName val="Innovation"/>
      <sheetName val="Credit Summary"/>
      <sheetName val="Graphical Summary"/>
      <sheetName val="Calculation"/>
      <sheetName val="Ecology Calculator"/>
    </sheetNames>
    <sheetDataSet>
      <sheetData sheetId="0" refreshError="1"/>
      <sheetData sheetId="1" refreshError="1"/>
      <sheetData sheetId="2" refreshError="1"/>
      <sheetData sheetId="3" refreshError="1"/>
      <sheetData sheetId="4">
        <row r="36">
          <cell r="C36">
            <v>0</v>
          </cell>
        </row>
      </sheetData>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Calc"/>
      <sheetName val="Water"/>
      <sheetName val="WaterCalc"/>
      <sheetName val="Materials"/>
      <sheetName val="Land Use &amp; Ecology"/>
      <sheetName val="EcologyCalc"/>
      <sheetName val="Emissions"/>
      <sheetName val="SewerageCalc"/>
      <sheetName val="Innovation"/>
      <sheetName val="Summary"/>
      <sheetName val="Credit Summary"/>
      <sheetName val="Graphical Summary"/>
      <sheetName val="Calculation"/>
      <sheetName val="Rebuilt - Office as Buil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4">
          <cell r="B4" t="str">
            <v>Name of Building:</v>
          </cell>
          <cell r="C4" t="str">
            <v/>
          </cell>
        </row>
        <row r="5">
          <cell r="B5" t="str">
            <v>State:</v>
          </cell>
          <cell r="C5" t="str">
            <v>ACT</v>
          </cell>
        </row>
        <row r="6">
          <cell r="B6" t="str">
            <v>Type of Assessment:</v>
          </cell>
          <cell r="C6" t="str">
            <v>New Building</v>
          </cell>
        </row>
        <row r="38">
          <cell r="C38" t="str">
            <v>Points Available</v>
          </cell>
          <cell r="D38" t="str">
            <v>Points Achieved</v>
          </cell>
          <cell r="E38" t="str">
            <v>Category Score Achieved</v>
          </cell>
          <cell r="F38" t="str">
            <v>PointsTBC</v>
          </cell>
          <cell r="G38" t="str">
            <v>Potential Category Score</v>
          </cell>
        </row>
        <row r="39">
          <cell r="B39" t="str">
            <v>Management</v>
          </cell>
          <cell r="C39">
            <v>12</v>
          </cell>
          <cell r="D39">
            <v>0</v>
          </cell>
          <cell r="E39">
            <v>0</v>
          </cell>
          <cell r="F39">
            <v>0</v>
          </cell>
          <cell r="G39">
            <v>0</v>
          </cell>
        </row>
        <row r="40">
          <cell r="B40" t="str">
            <v>Indoor Environment Quality</v>
          </cell>
          <cell r="C40">
            <v>27</v>
          </cell>
          <cell r="D40">
            <v>0</v>
          </cell>
          <cell r="E40">
            <v>0</v>
          </cell>
          <cell r="F40">
            <v>0</v>
          </cell>
          <cell r="G40">
            <v>0</v>
          </cell>
        </row>
        <row r="41">
          <cell r="B41" t="str">
            <v>Energy</v>
          </cell>
          <cell r="C41">
            <v>24</v>
          </cell>
          <cell r="D41">
            <v>0</v>
          </cell>
          <cell r="E41">
            <v>0</v>
          </cell>
          <cell r="F41">
            <v>0</v>
          </cell>
          <cell r="G41">
            <v>0</v>
          </cell>
        </row>
        <row r="42">
          <cell r="B42" t="str">
            <v>Transport</v>
          </cell>
          <cell r="C42">
            <v>11</v>
          </cell>
          <cell r="D42">
            <v>0</v>
          </cell>
          <cell r="E42">
            <v>0</v>
          </cell>
          <cell r="F42">
            <v>0</v>
          </cell>
          <cell r="G42">
            <v>0</v>
          </cell>
        </row>
        <row r="43">
          <cell r="B43" t="str">
            <v>Water</v>
          </cell>
          <cell r="C43">
            <v>13</v>
          </cell>
          <cell r="D43">
            <v>0</v>
          </cell>
          <cell r="E43">
            <v>0</v>
          </cell>
          <cell r="F43">
            <v>0</v>
          </cell>
          <cell r="G43">
            <v>0</v>
          </cell>
        </row>
        <row r="44">
          <cell r="B44" t="str">
            <v>Materials</v>
          </cell>
          <cell r="C44">
            <v>20</v>
          </cell>
          <cell r="D44">
            <v>0</v>
          </cell>
          <cell r="E44">
            <v>0</v>
          </cell>
          <cell r="F44">
            <v>0</v>
          </cell>
          <cell r="G44">
            <v>0</v>
          </cell>
        </row>
        <row r="45">
          <cell r="B45" t="str">
            <v>Land Use and Ecology</v>
          </cell>
          <cell r="C45">
            <v>8</v>
          </cell>
          <cell r="D45">
            <v>0</v>
          </cell>
          <cell r="E45">
            <v>0</v>
          </cell>
          <cell r="F45">
            <v>0</v>
          </cell>
          <cell r="G45">
            <v>0</v>
          </cell>
        </row>
        <row r="46">
          <cell r="B46" t="str">
            <v>Emissions</v>
          </cell>
          <cell r="C46">
            <v>14</v>
          </cell>
          <cell r="D46">
            <v>0</v>
          </cell>
          <cell r="E46">
            <v>0</v>
          </cell>
          <cell r="F46">
            <v>0</v>
          </cell>
          <cell r="G46">
            <v>0</v>
          </cell>
        </row>
        <row r="48">
          <cell r="B48" t="str">
            <v>Innovation</v>
          </cell>
          <cell r="C48">
            <v>5</v>
          </cell>
          <cell r="D48">
            <v>0</v>
          </cell>
          <cell r="E48" t="str">
            <v>n/a</v>
          </cell>
          <cell r="F48">
            <v>0</v>
          </cell>
          <cell r="G48" t="str">
            <v>n/a</v>
          </cell>
        </row>
      </sheetData>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ilding Input"/>
      <sheetName val="Ene-1 Calculator"/>
    </sheetNames>
    <sheetDataSet>
      <sheetData sheetId="0">
        <row r="30">
          <cell r="C30">
            <v>1100</v>
          </cell>
        </row>
        <row r="31">
          <cell r="C31">
            <v>1000</v>
          </cell>
        </row>
        <row r="32">
          <cell r="C32">
            <v>0.90909090909090906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Ene-1 Calculator"/>
      <sheetName val="Transport"/>
      <sheetName val="Transport Calculator"/>
      <sheetName val="Water"/>
      <sheetName val="Potable Water Calculator"/>
      <sheetName val="Materials"/>
      <sheetName val="Land Use &amp; Ecology"/>
      <sheetName val="Ecology Calculator"/>
      <sheetName val="Emissions"/>
      <sheetName val="Sewerage Calculator"/>
      <sheetName val="Innovation"/>
      <sheetName val="Credit Summary"/>
      <sheetName val="Graphical Summary"/>
      <sheetName val="Calculation"/>
    </sheetNames>
    <sheetDataSet>
      <sheetData sheetId="0"/>
      <sheetData sheetId="1"/>
      <sheetData sheetId="2"/>
      <sheetData sheetId="3"/>
      <sheetData sheetId="4">
        <row r="30">
          <cell r="C30">
            <v>4000</v>
          </cell>
        </row>
        <row r="32">
          <cell r="C32">
            <v>0.81</v>
          </cell>
        </row>
      </sheetData>
      <sheetData sheetId="5"/>
      <sheetData sheetId="6"/>
      <sheetData sheetId="7"/>
      <sheetData sheetId="8"/>
      <sheetData sheetId="9"/>
      <sheetData sheetId="10">
        <row r="8">
          <cell r="B8" t="str">
            <v>No. of Bus, Tram or Ferry Services</v>
          </cell>
        </row>
        <row r="9">
          <cell r="B9" t="str">
            <v>Walking Distance from Building Entrance to Public Transport</v>
          </cell>
          <cell r="C9" t="str">
            <v>Frequency of Service During Peak Periods</v>
          </cell>
        </row>
        <row r="10">
          <cell r="C10" t="str">
            <v>15 min</v>
          </cell>
          <cell r="D10" t="str">
            <v>30 min</v>
          </cell>
        </row>
        <row r="11">
          <cell r="B11" t="str">
            <v>0-250m</v>
          </cell>
        </row>
        <row r="12">
          <cell r="B12" t="str">
            <v>250-500m</v>
          </cell>
        </row>
        <row r="13">
          <cell r="B13" t="str">
            <v>500-750m</v>
          </cell>
        </row>
        <row r="14">
          <cell r="B14" t="str">
            <v>750m-1km</v>
          </cell>
        </row>
        <row r="17">
          <cell r="B17" t="str">
            <v>No. of Train Services</v>
          </cell>
        </row>
        <row r="18">
          <cell r="B18" t="str">
            <v>Walking Distance from Building Entrance to Public Transport</v>
          </cell>
          <cell r="C18" t="str">
            <v>Frequency of Service During Peak Periods</v>
          </cell>
        </row>
        <row r="19">
          <cell r="C19" t="str">
            <v>15 min</v>
          </cell>
          <cell r="D19" t="str">
            <v>30 min</v>
          </cell>
        </row>
        <row r="20">
          <cell r="B20" t="str">
            <v>0-250m</v>
          </cell>
        </row>
        <row r="21">
          <cell r="B21" t="str">
            <v>250-500m</v>
          </cell>
        </row>
        <row r="22">
          <cell r="B22" t="str">
            <v>500-750m</v>
          </cell>
        </row>
        <row r="23">
          <cell r="B23" t="str">
            <v>750m-1km</v>
          </cell>
        </row>
        <row r="26">
          <cell r="D26">
            <v>0</v>
          </cell>
        </row>
      </sheetData>
      <sheetData sheetId="11"/>
      <sheetData sheetId="12"/>
      <sheetData sheetId="13"/>
      <sheetData sheetId="14"/>
      <sheetData sheetId="15">
        <row r="5">
          <cell r="B5" t="str">
            <v>Does the site contain any rare, threatened or vulnerable flora or fauna?</v>
          </cell>
        </row>
        <row r="7">
          <cell r="B7" t="str">
            <v>In which bio-region is the site located?</v>
          </cell>
        </row>
        <row r="9">
          <cell r="C9" t="str">
            <v>Hidden</v>
          </cell>
          <cell r="D9" t="str">
            <v>BEFORE</v>
          </cell>
          <cell r="E9" t="str">
            <v>Hidden</v>
          </cell>
          <cell r="F9" t="str">
            <v>AFTER</v>
          </cell>
        </row>
        <row r="10">
          <cell r="B10" t="str">
            <v>Land Type</v>
          </cell>
          <cell r="C10" t="str">
            <v>Ecological Value</v>
          </cell>
          <cell r="D10" t="str">
            <v>Land Types Before Construction / m2</v>
          </cell>
          <cell r="E10" t="str">
            <v>Ecological Score</v>
          </cell>
          <cell r="F10" t="str">
            <v>Land Types After Construction / m2</v>
          </cell>
        </row>
        <row r="11">
          <cell r="B11" t="str">
            <v>Building</v>
          </cell>
        </row>
        <row r="12">
          <cell r="B12" t="str">
            <v>Impermeable/concreted Area</v>
          </cell>
        </row>
        <row r="13">
          <cell r="B13" t="str">
            <v>Bare Ground</v>
          </cell>
        </row>
        <row r="14">
          <cell r="B14" t="str">
            <v>Weed Infestations</v>
          </cell>
        </row>
        <row r="15">
          <cell r="B15" t="str">
            <v>Exotic Garden</v>
          </cell>
        </row>
        <row r="16">
          <cell r="B16" t="str">
            <v>Native Garden</v>
          </cell>
        </row>
        <row r="17">
          <cell r="B17" t="str">
            <v>Exotic Grazing</v>
          </cell>
        </row>
        <row r="18">
          <cell r="B18" t="str">
            <v>Native Grazing*</v>
          </cell>
        </row>
        <row r="19">
          <cell r="B19" t="str">
            <v>Crop Farming</v>
          </cell>
        </row>
        <row r="20">
          <cell r="B20" t="str">
            <v>Existing Waterway*</v>
          </cell>
        </row>
        <row r="21">
          <cell r="B21" t="str">
            <v>Wetland*</v>
          </cell>
        </row>
        <row r="22">
          <cell r="B22" t="str">
            <v>Plantation Forest</v>
          </cell>
        </row>
        <row r="23">
          <cell r="B23" t="str">
            <v>Pine Plantation Forest</v>
          </cell>
        </row>
        <row r="24">
          <cell r="B24" t="str">
            <v>Blue Gum Plantation Forest</v>
          </cell>
        </row>
        <row r="25">
          <cell r="B25" t="str">
            <v>Regenerated Native Habitat(&lt; 10 years old)*</v>
          </cell>
        </row>
        <row r="26">
          <cell r="B26" t="str">
            <v>Indigenous Native Habitat (&gt; 10 years old)*</v>
          </cell>
        </row>
        <row r="27">
          <cell r="B27" t="str">
            <v>Indigenous Native Habitat (&gt; 20 years old)*</v>
          </cell>
        </row>
        <row r="28">
          <cell r="B28" t="str">
            <v>TOTAL</v>
          </cell>
          <cell r="D28">
            <v>0</v>
          </cell>
          <cell r="E28">
            <v>0</v>
          </cell>
          <cell r="F28">
            <v>0</v>
          </cell>
        </row>
        <row r="29">
          <cell r="B29" t="str">
            <v>ECOLOGICAL DIVERSITY INDEX:</v>
          </cell>
          <cell r="D29">
            <v>0</v>
          </cell>
          <cell r="F29">
            <v>0</v>
          </cell>
        </row>
        <row r="30">
          <cell r="B30" t="str">
            <v>CHANGE IN ECOLOGICAL DIVERSITY INDEX</v>
          </cell>
          <cell r="D30">
            <v>0</v>
          </cell>
        </row>
        <row r="31">
          <cell r="B31" t="str">
            <v>Points Achieved</v>
          </cell>
          <cell r="D31">
            <v>0</v>
          </cell>
          <cell r="F31" t="str">
            <v/>
          </cell>
        </row>
      </sheetData>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Calc"/>
      <sheetName val="Water"/>
      <sheetName val="WaterCalc"/>
      <sheetName val="Materials"/>
      <sheetName val="Land Use &amp; Ecology"/>
      <sheetName val="EcologyCalc"/>
      <sheetName val="Emissions"/>
      <sheetName val="SewerageCalc"/>
      <sheetName val="Innovation"/>
      <sheetName val="Summary"/>
      <sheetName val="Credit Summary"/>
      <sheetName val="Graphical Summary"/>
      <sheetName val="Calculation"/>
      <sheetName val="Rebuilt - Office as Buil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4">
          <cell r="B4" t="str">
            <v>Name of Building:</v>
          </cell>
          <cell r="C4" t="str">
            <v/>
          </cell>
        </row>
        <row r="5">
          <cell r="B5" t="str">
            <v>State:</v>
          </cell>
          <cell r="C5" t="str">
            <v>ACT</v>
          </cell>
        </row>
        <row r="6">
          <cell r="B6" t="str">
            <v>Type of Assessment:</v>
          </cell>
          <cell r="C6" t="str">
            <v>New Building</v>
          </cell>
        </row>
        <row r="38">
          <cell r="C38" t="str">
            <v>Points Available</v>
          </cell>
          <cell r="D38" t="str">
            <v>Points Achieved</v>
          </cell>
          <cell r="E38" t="str">
            <v>Category Score Achieved</v>
          </cell>
          <cell r="F38" t="str">
            <v>PointsTBC</v>
          </cell>
          <cell r="G38" t="str">
            <v>Potential Category Score</v>
          </cell>
        </row>
        <row r="39">
          <cell r="B39" t="str">
            <v>Management</v>
          </cell>
          <cell r="C39">
            <v>12</v>
          </cell>
          <cell r="D39">
            <v>0</v>
          </cell>
          <cell r="E39">
            <v>0</v>
          </cell>
          <cell r="F39">
            <v>0</v>
          </cell>
          <cell r="G39">
            <v>0</v>
          </cell>
        </row>
        <row r="40">
          <cell r="B40" t="str">
            <v>Indoor Environment Quality</v>
          </cell>
          <cell r="C40">
            <v>27</v>
          </cell>
          <cell r="D40">
            <v>0</v>
          </cell>
          <cell r="E40">
            <v>0</v>
          </cell>
          <cell r="F40">
            <v>0</v>
          </cell>
          <cell r="G40">
            <v>0</v>
          </cell>
        </row>
        <row r="41">
          <cell r="B41" t="str">
            <v>Energy</v>
          </cell>
          <cell r="C41">
            <v>24</v>
          </cell>
          <cell r="D41">
            <v>0</v>
          </cell>
          <cell r="E41">
            <v>0</v>
          </cell>
          <cell r="F41">
            <v>0</v>
          </cell>
          <cell r="G41">
            <v>0</v>
          </cell>
        </row>
        <row r="42">
          <cell r="B42" t="str">
            <v>Transport</v>
          </cell>
          <cell r="C42">
            <v>11</v>
          </cell>
          <cell r="D42">
            <v>0</v>
          </cell>
          <cell r="E42">
            <v>0</v>
          </cell>
          <cell r="F42">
            <v>0</v>
          </cell>
          <cell r="G42">
            <v>0</v>
          </cell>
        </row>
        <row r="43">
          <cell r="B43" t="str">
            <v>Water</v>
          </cell>
          <cell r="C43">
            <v>13</v>
          </cell>
          <cell r="D43">
            <v>0</v>
          </cell>
          <cell r="E43">
            <v>0</v>
          </cell>
          <cell r="F43">
            <v>0</v>
          </cell>
          <cell r="G43">
            <v>0</v>
          </cell>
        </row>
        <row r="44">
          <cell r="B44" t="str">
            <v>Materials</v>
          </cell>
          <cell r="C44">
            <v>20</v>
          </cell>
          <cell r="D44">
            <v>0</v>
          </cell>
          <cell r="E44">
            <v>0</v>
          </cell>
          <cell r="F44">
            <v>0</v>
          </cell>
          <cell r="G44">
            <v>0</v>
          </cell>
        </row>
        <row r="45">
          <cell r="B45" t="str">
            <v>Land Use and Ecology</v>
          </cell>
          <cell r="C45">
            <v>8</v>
          </cell>
          <cell r="D45">
            <v>0</v>
          </cell>
          <cell r="E45">
            <v>0</v>
          </cell>
          <cell r="F45">
            <v>0</v>
          </cell>
          <cell r="G45">
            <v>0</v>
          </cell>
        </row>
        <row r="46">
          <cell r="B46" t="str">
            <v>Emissions</v>
          </cell>
          <cell r="C46">
            <v>14</v>
          </cell>
          <cell r="D46">
            <v>0</v>
          </cell>
          <cell r="E46">
            <v>0</v>
          </cell>
          <cell r="F46">
            <v>0</v>
          </cell>
          <cell r="G46">
            <v>0</v>
          </cell>
        </row>
        <row r="48">
          <cell r="B48" t="str">
            <v>Innovation</v>
          </cell>
          <cell r="C48">
            <v>5</v>
          </cell>
          <cell r="D48">
            <v>0</v>
          </cell>
          <cell r="E48" t="str">
            <v>n/a</v>
          </cell>
          <cell r="F48">
            <v>0</v>
          </cell>
          <cell r="G48" t="str">
            <v>n/a</v>
          </cell>
        </row>
      </sheetData>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 Star"/>
      <sheetName val="Introduction"/>
      <sheetName val="How to Use"/>
      <sheetName val="Disclaimer"/>
      <sheetName val="Building Input"/>
      <sheetName val="Management"/>
      <sheetName val="IEQ"/>
      <sheetName val="Energy"/>
      <sheetName val="Transport"/>
      <sheetName val="Transport Calculator"/>
      <sheetName val="Water"/>
      <sheetName val="Water Calculator"/>
      <sheetName val="Materials"/>
      <sheetName val="Land Use &amp; Ecology"/>
      <sheetName val="Ecology Calculator"/>
      <sheetName val="Emissions"/>
      <sheetName val="Sewerage Calculator"/>
      <sheetName val="Innovation"/>
      <sheetName val="Credit Summary"/>
      <sheetName val="Graphical Summary"/>
      <sheetName val="Calculation"/>
    </sheetNames>
    <sheetDataSet>
      <sheetData sheetId="0"/>
      <sheetData sheetId="1"/>
      <sheetData sheetId="2"/>
      <sheetData sheetId="3"/>
      <sheetData sheetId="4"/>
      <sheetData sheetId="5"/>
      <sheetData sheetId="6"/>
      <sheetData sheetId="7"/>
      <sheetData sheetId="8"/>
      <sheetData sheetId="9">
        <row r="5">
          <cell r="B5" t="str">
            <v>No. of Bus, Tram or Ferry Services</v>
          </cell>
        </row>
        <row r="6">
          <cell r="B6" t="str">
            <v>Walking Distance from Building Entrance to Public Transport</v>
          </cell>
          <cell r="C6" t="str">
            <v>Frequency of Service During Peak Periods</v>
          </cell>
        </row>
        <row r="7">
          <cell r="C7" t="str">
            <v>15 min</v>
          </cell>
          <cell r="D7" t="str">
            <v>30 min</v>
          </cell>
        </row>
        <row r="8">
          <cell r="B8" t="str">
            <v>0-250m</v>
          </cell>
        </row>
        <row r="9">
          <cell r="B9" t="str">
            <v>250-500m</v>
          </cell>
        </row>
        <row r="10">
          <cell r="B10" t="str">
            <v>500-750m</v>
          </cell>
        </row>
        <row r="11">
          <cell r="B11" t="str">
            <v>750m-1km</v>
          </cell>
        </row>
        <row r="14">
          <cell r="B14" t="str">
            <v>No. of Train Services</v>
          </cell>
        </row>
        <row r="15">
          <cell r="B15" t="str">
            <v>Walking Distance from Building Entrance to Public Transport</v>
          </cell>
          <cell r="C15" t="str">
            <v>Frequency of Service During Peak Periods</v>
          </cell>
        </row>
        <row r="16">
          <cell r="C16" t="str">
            <v>15 min</v>
          </cell>
          <cell r="D16" t="str">
            <v>30 min</v>
          </cell>
        </row>
        <row r="17">
          <cell r="B17" t="str">
            <v>0-250m</v>
          </cell>
        </row>
        <row r="18">
          <cell r="B18" t="str">
            <v>250-500m</v>
          </cell>
        </row>
        <row r="19">
          <cell r="B19" t="str">
            <v>500-750m</v>
          </cell>
        </row>
        <row r="20">
          <cell r="B20" t="str">
            <v>750m-1km</v>
          </cell>
        </row>
        <row r="22">
          <cell r="D22">
            <v>0</v>
          </cell>
        </row>
      </sheetData>
      <sheetData sheetId="10"/>
      <sheetData sheetId="11"/>
      <sheetData sheetId="12"/>
      <sheetData sheetId="13"/>
      <sheetData sheetId="14">
        <row r="5">
          <cell r="B5" t="str">
            <v>Does the site contain any rare, threatened or vulnerable flora or fauna?</v>
          </cell>
        </row>
        <row r="7">
          <cell r="B7" t="str">
            <v>In which bio-region is the site located?</v>
          </cell>
        </row>
        <row r="9">
          <cell r="C9" t="str">
            <v>Hidden</v>
          </cell>
          <cell r="D9" t="str">
            <v>BEFORE</v>
          </cell>
          <cell r="E9" t="str">
            <v>Hidden</v>
          </cell>
          <cell r="F9" t="str">
            <v>AFTER</v>
          </cell>
        </row>
        <row r="10">
          <cell r="B10" t="str">
            <v>Land Type</v>
          </cell>
          <cell r="C10" t="str">
            <v>Ecological Value</v>
          </cell>
          <cell r="D10" t="str">
            <v>Land Types Before Construction / m2</v>
          </cell>
          <cell r="E10" t="str">
            <v>Ecological Score</v>
          </cell>
          <cell r="F10" t="str">
            <v>Land Types After Construction / m2</v>
          </cell>
        </row>
        <row r="11">
          <cell r="B11" t="str">
            <v>Building</v>
          </cell>
        </row>
        <row r="12">
          <cell r="B12" t="str">
            <v>Impermeable/concreted Area</v>
          </cell>
        </row>
        <row r="13">
          <cell r="B13" t="str">
            <v>Bare Ground</v>
          </cell>
        </row>
        <row r="14">
          <cell r="B14" t="str">
            <v>Weed Infestations</v>
          </cell>
        </row>
        <row r="15">
          <cell r="B15" t="str">
            <v>Exotic Garden</v>
          </cell>
        </row>
        <row r="16">
          <cell r="B16" t="str">
            <v>Native Garden</v>
          </cell>
        </row>
        <row r="17">
          <cell r="B17" t="str">
            <v>Exotic Grazing</v>
          </cell>
        </row>
        <row r="18">
          <cell r="B18" t="str">
            <v>Native Grazing*</v>
          </cell>
        </row>
        <row r="19">
          <cell r="B19" t="str">
            <v>Crop Farming</v>
          </cell>
        </row>
        <row r="20">
          <cell r="B20" t="str">
            <v>Existing Waterway*</v>
          </cell>
        </row>
        <row r="21">
          <cell r="B21" t="str">
            <v>Wetland*</v>
          </cell>
        </row>
        <row r="22">
          <cell r="B22" t="str">
            <v>Plantation Forest</v>
          </cell>
        </row>
        <row r="23">
          <cell r="B23" t="str">
            <v>Pine Plantation Forest</v>
          </cell>
        </row>
        <row r="24">
          <cell r="B24" t="str">
            <v>Blue Gum Plantation Forest</v>
          </cell>
        </row>
        <row r="25">
          <cell r="B25" t="str">
            <v>Regenerated Native Habitat(&lt; 10 years old)*</v>
          </cell>
        </row>
        <row r="26">
          <cell r="B26" t="str">
            <v>Indigenous Native Habitat (&gt; 10 years old)*</v>
          </cell>
        </row>
        <row r="27">
          <cell r="B27" t="str">
            <v>Indigenous Native Habitat (&gt; 20 years old)*</v>
          </cell>
        </row>
        <row r="28">
          <cell r="B28" t="str">
            <v>TOTAL</v>
          </cell>
          <cell r="D28">
            <v>0</v>
          </cell>
          <cell r="E28">
            <v>0</v>
          </cell>
          <cell r="F28">
            <v>0</v>
          </cell>
        </row>
        <row r="29">
          <cell r="B29" t="str">
            <v>ECOLOGICAL DIVERSITY INDEX:</v>
          </cell>
          <cell r="D29">
            <v>0</v>
          </cell>
          <cell r="F29">
            <v>0</v>
          </cell>
        </row>
        <row r="30">
          <cell r="B30" t="str">
            <v>CHANGE IN ECOLOGICAL DIVERSITY INDEX</v>
          </cell>
          <cell r="D30">
            <v>0</v>
          </cell>
        </row>
        <row r="31">
          <cell r="B31" t="str">
            <v>Points Achieved</v>
          </cell>
          <cell r="D31">
            <v>0</v>
          </cell>
          <cell r="F31" t="str">
            <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2.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3.xml"/><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ctrlProp" Target="../ctrlProps/ctrlProp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omments" Target="../comments7.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41.xml"/><Relationship Id="rId21" Type="http://schemas.openxmlformats.org/officeDocument/2006/relationships/ctrlProp" Target="../ctrlProps/ctrlProp36.xml"/><Relationship Id="rId42" Type="http://schemas.openxmlformats.org/officeDocument/2006/relationships/ctrlProp" Target="../ctrlProps/ctrlProp57.xml"/><Relationship Id="rId47" Type="http://schemas.openxmlformats.org/officeDocument/2006/relationships/ctrlProp" Target="../ctrlProps/ctrlProp62.xml"/><Relationship Id="rId63" Type="http://schemas.openxmlformats.org/officeDocument/2006/relationships/ctrlProp" Target="../ctrlProps/ctrlProp78.xml"/><Relationship Id="rId68" Type="http://schemas.openxmlformats.org/officeDocument/2006/relationships/ctrlProp" Target="../ctrlProps/ctrlProp83.xml"/><Relationship Id="rId84" Type="http://schemas.openxmlformats.org/officeDocument/2006/relationships/ctrlProp" Target="../ctrlProps/ctrlProp99.xml"/><Relationship Id="rId89" Type="http://schemas.openxmlformats.org/officeDocument/2006/relationships/ctrlProp" Target="../ctrlProps/ctrlProp104.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2" Type="http://schemas.openxmlformats.org/officeDocument/2006/relationships/drawing" Target="../drawings/drawing17.xml"/><Relationship Id="rId16" Type="http://schemas.openxmlformats.org/officeDocument/2006/relationships/ctrlProp" Target="../ctrlProps/ctrlProp31.xml"/><Relationship Id="rId29" Type="http://schemas.openxmlformats.org/officeDocument/2006/relationships/ctrlProp" Target="../ctrlProps/ctrlProp44.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37" Type="http://schemas.openxmlformats.org/officeDocument/2006/relationships/ctrlProp" Target="../ctrlProps/ctrlProp52.xml"/><Relationship Id="rId40" Type="http://schemas.openxmlformats.org/officeDocument/2006/relationships/ctrlProp" Target="../ctrlProps/ctrlProp55.xml"/><Relationship Id="rId45" Type="http://schemas.openxmlformats.org/officeDocument/2006/relationships/ctrlProp" Target="../ctrlProps/ctrlProp60.xml"/><Relationship Id="rId53" Type="http://schemas.openxmlformats.org/officeDocument/2006/relationships/ctrlProp" Target="../ctrlProps/ctrlProp68.xml"/><Relationship Id="rId58" Type="http://schemas.openxmlformats.org/officeDocument/2006/relationships/ctrlProp" Target="../ctrlProps/ctrlProp73.xml"/><Relationship Id="rId66" Type="http://schemas.openxmlformats.org/officeDocument/2006/relationships/ctrlProp" Target="../ctrlProps/ctrlProp81.xml"/><Relationship Id="rId74" Type="http://schemas.openxmlformats.org/officeDocument/2006/relationships/ctrlProp" Target="../ctrlProps/ctrlProp89.xml"/><Relationship Id="rId79" Type="http://schemas.openxmlformats.org/officeDocument/2006/relationships/ctrlProp" Target="../ctrlProps/ctrlProp94.xml"/><Relationship Id="rId87" Type="http://schemas.openxmlformats.org/officeDocument/2006/relationships/ctrlProp" Target="../ctrlProps/ctrlProp102.xml"/><Relationship Id="rId102" Type="http://schemas.openxmlformats.org/officeDocument/2006/relationships/ctrlProp" Target="../ctrlProps/ctrlProp117.xml"/><Relationship Id="rId5" Type="http://schemas.openxmlformats.org/officeDocument/2006/relationships/ctrlProp" Target="../ctrlProps/ctrlProp20.xml"/><Relationship Id="rId61" Type="http://schemas.openxmlformats.org/officeDocument/2006/relationships/ctrlProp" Target="../ctrlProps/ctrlProp76.xml"/><Relationship Id="rId82" Type="http://schemas.openxmlformats.org/officeDocument/2006/relationships/ctrlProp" Target="../ctrlProps/ctrlProp97.xml"/><Relationship Id="rId90" Type="http://schemas.openxmlformats.org/officeDocument/2006/relationships/ctrlProp" Target="../ctrlProps/ctrlProp105.xml"/><Relationship Id="rId95" Type="http://schemas.openxmlformats.org/officeDocument/2006/relationships/ctrlProp" Target="../ctrlProps/ctrlProp110.xml"/><Relationship Id="rId19" Type="http://schemas.openxmlformats.org/officeDocument/2006/relationships/ctrlProp" Target="../ctrlProps/ctrlProp3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43" Type="http://schemas.openxmlformats.org/officeDocument/2006/relationships/ctrlProp" Target="../ctrlProps/ctrlProp58.xml"/><Relationship Id="rId48" Type="http://schemas.openxmlformats.org/officeDocument/2006/relationships/ctrlProp" Target="../ctrlProps/ctrlProp63.xml"/><Relationship Id="rId56" Type="http://schemas.openxmlformats.org/officeDocument/2006/relationships/ctrlProp" Target="../ctrlProps/ctrlProp71.xml"/><Relationship Id="rId64" Type="http://schemas.openxmlformats.org/officeDocument/2006/relationships/ctrlProp" Target="../ctrlProps/ctrlProp79.xml"/><Relationship Id="rId69" Type="http://schemas.openxmlformats.org/officeDocument/2006/relationships/ctrlProp" Target="../ctrlProps/ctrlProp84.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80" Type="http://schemas.openxmlformats.org/officeDocument/2006/relationships/ctrlProp" Target="../ctrlProps/ctrlProp95.xml"/><Relationship Id="rId85" Type="http://schemas.openxmlformats.org/officeDocument/2006/relationships/ctrlProp" Target="../ctrlProps/ctrlProp100.xml"/><Relationship Id="rId93" Type="http://schemas.openxmlformats.org/officeDocument/2006/relationships/ctrlProp" Target="../ctrlProps/ctrlProp108.xml"/><Relationship Id="rId98" Type="http://schemas.openxmlformats.org/officeDocument/2006/relationships/ctrlProp" Target="../ctrlProps/ctrlProp113.xml"/><Relationship Id="rId3" Type="http://schemas.openxmlformats.org/officeDocument/2006/relationships/vmlDrawing" Target="../drawings/vmlDrawing10.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59" Type="http://schemas.openxmlformats.org/officeDocument/2006/relationships/ctrlProp" Target="../ctrlProps/ctrlProp74.xml"/><Relationship Id="rId67" Type="http://schemas.openxmlformats.org/officeDocument/2006/relationships/ctrlProp" Target="../ctrlProps/ctrlProp82.xml"/><Relationship Id="rId103" Type="http://schemas.openxmlformats.org/officeDocument/2006/relationships/ctrlProp" Target="../ctrlProps/ctrlProp118.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62" Type="http://schemas.openxmlformats.org/officeDocument/2006/relationships/ctrlProp" Target="../ctrlProps/ctrlProp77.xml"/><Relationship Id="rId70" Type="http://schemas.openxmlformats.org/officeDocument/2006/relationships/ctrlProp" Target="../ctrlProps/ctrlProp85.xml"/><Relationship Id="rId75" Type="http://schemas.openxmlformats.org/officeDocument/2006/relationships/ctrlProp" Target="../ctrlProps/ctrlProp90.xml"/><Relationship Id="rId83" Type="http://schemas.openxmlformats.org/officeDocument/2006/relationships/ctrlProp" Target="../ctrlProps/ctrlProp98.xml"/><Relationship Id="rId88" Type="http://schemas.openxmlformats.org/officeDocument/2006/relationships/ctrlProp" Target="../ctrlProps/ctrlProp103.xml"/><Relationship Id="rId91" Type="http://schemas.openxmlformats.org/officeDocument/2006/relationships/ctrlProp" Target="../ctrlProps/ctrlProp106.xml"/><Relationship Id="rId96" Type="http://schemas.openxmlformats.org/officeDocument/2006/relationships/ctrlProp" Target="../ctrlProps/ctrlProp111.xml"/><Relationship Id="rId1" Type="http://schemas.openxmlformats.org/officeDocument/2006/relationships/printerSettings" Target="../printerSettings/printerSettings17.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6" Type="http://schemas.openxmlformats.org/officeDocument/2006/relationships/comments" Target="../comments8.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65" Type="http://schemas.openxmlformats.org/officeDocument/2006/relationships/ctrlProp" Target="../ctrlProps/ctrlProp80.xml"/><Relationship Id="rId73" Type="http://schemas.openxmlformats.org/officeDocument/2006/relationships/ctrlProp" Target="../ctrlProps/ctrlProp88.xml"/><Relationship Id="rId78" Type="http://schemas.openxmlformats.org/officeDocument/2006/relationships/ctrlProp" Target="../ctrlProps/ctrlProp93.xml"/><Relationship Id="rId81" Type="http://schemas.openxmlformats.org/officeDocument/2006/relationships/ctrlProp" Target="../ctrlProps/ctrlProp96.xml"/><Relationship Id="rId86" Type="http://schemas.openxmlformats.org/officeDocument/2006/relationships/ctrlProp" Target="../ctrlProps/ctrlProp101.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4" Type="http://schemas.openxmlformats.org/officeDocument/2006/relationships/ctrlProp" Target="../ctrlProps/ctrlProp19.xml"/><Relationship Id="rId9" Type="http://schemas.openxmlformats.org/officeDocument/2006/relationships/ctrlProp" Target="../ctrlProps/ctrlProp24.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comments" Target="../comments9.xml"/><Relationship Id="rId4" Type="http://schemas.openxmlformats.org/officeDocument/2006/relationships/ctrlProp" Target="../ctrlProps/ctrlProp121.xml"/></Relationships>
</file>

<file path=xl/worksheets/_rels/sheet19.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2.vml"/><Relationship Id="rId7" Type="http://schemas.openxmlformats.org/officeDocument/2006/relationships/ctrlProp" Target="../ctrlProps/ctrlProp123.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22.xml"/><Relationship Id="rId5" Type="http://schemas.openxmlformats.org/officeDocument/2006/relationships/image" Target="../media/image8.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vmlDrawing" Target="../drawings/vmlDrawing13.vml"/><Relationship Id="rId7" Type="http://schemas.openxmlformats.org/officeDocument/2006/relationships/ctrlProp" Target="../ctrlProps/ctrlProp127.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26.xml"/><Relationship Id="rId5" Type="http://schemas.openxmlformats.org/officeDocument/2006/relationships/ctrlProp" Target="../ctrlProps/ctrlProp125.xml"/><Relationship Id="rId4" Type="http://schemas.openxmlformats.org/officeDocument/2006/relationships/ctrlProp" Target="../ctrlProps/ctrlProp12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omments" Target="../comments12.xml"/><Relationship Id="rId5" Type="http://schemas.openxmlformats.org/officeDocument/2006/relationships/ctrlProp" Target="../ctrlProps/ctrlProp129.xml"/><Relationship Id="rId4" Type="http://schemas.openxmlformats.org/officeDocument/2006/relationships/ctrlProp" Target="../ctrlProps/ctrlProp12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ctrlProp" Target="../ctrlProps/ctrlProp131.xml"/><Relationship Id="rId4" Type="http://schemas.openxmlformats.org/officeDocument/2006/relationships/ctrlProp" Target="../ctrlProps/ctrlProp13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trlProp" Target="../ctrlProps/ctrlProp13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39"/>
  <sheetViews>
    <sheetView zoomScale="90" zoomScaleNormal="100" zoomScaleSheetLayoutView="100" workbookViewId="0">
      <selection activeCell="D19" sqref="D19"/>
    </sheetView>
  </sheetViews>
  <sheetFormatPr defaultColWidth="7.875" defaultRowHeight="12.75"/>
  <cols>
    <col min="1" max="1" width="3.375" style="1111" customWidth="1"/>
    <col min="2" max="2" width="73.375" style="1111" customWidth="1"/>
    <col min="3" max="16384" width="7.875" style="1111"/>
  </cols>
  <sheetData>
    <row r="1" spans="2:2" ht="24.75" customHeight="1">
      <c r="B1" s="1110"/>
    </row>
    <row r="5" spans="2:2" ht="20.25">
      <c r="B5" s="1112"/>
    </row>
    <row r="13" spans="2:2" ht="24">
      <c r="B13" s="1113" t="s">
        <v>1588</v>
      </c>
    </row>
    <row r="14" spans="2:2" ht="14.25">
      <c r="B14" s="1114"/>
    </row>
    <row r="15" spans="2:2" ht="84.75" customHeight="1">
      <c r="B15" s="1115" t="s">
        <v>708</v>
      </c>
    </row>
    <row r="16" spans="2:2" ht="14.25">
      <c r="B16" s="1114"/>
    </row>
    <row r="17" spans="1:2" ht="15">
      <c r="B17" s="1116" t="s">
        <v>549</v>
      </c>
    </row>
    <row r="18" spans="1:2" ht="14.25" customHeight="1">
      <c r="A18" s="1117"/>
      <c r="B18" s="1118"/>
    </row>
    <row r="19" spans="1:2">
      <c r="B19" s="1118" t="s">
        <v>215</v>
      </c>
    </row>
    <row r="20" spans="1:2">
      <c r="B20" s="2048" t="s">
        <v>1777</v>
      </c>
    </row>
    <row r="34" spans="2:2" ht="16.5">
      <c r="B34" s="1119"/>
    </row>
    <row r="39" spans="2:2" ht="13.5">
      <c r="B39" s="1120"/>
    </row>
  </sheetData>
  <sheetProtection password="AD9B" sheet="1" objects="1" scenarios="1"/>
  <phoneticPr fontId="7" type="noConversion"/>
  <pageMargins left="0.59055118110236227" right="0.59055118110236227" top="0.47244094488188981" bottom="0.47244094488188981" header="0.23622047244094491" footer="0.35433070866141736"/>
  <pageSetup paperSize="9" scale="95" orientation="portrait" blackAndWhite="1" r:id="rId1"/>
  <headerFooter alignWithMargins="0">
    <oddHeader>&amp;LGreen Building Council of South Africa&amp;R&amp;T   &amp;D</oddHeader>
    <oddFooter>&amp;L&amp;F&amp;CPage &amp;P of &amp;N&amp;R&amp;A</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V26"/>
  <sheetViews>
    <sheetView zoomScale="80" zoomScaleNormal="85" zoomScaleSheetLayoutView="75" workbookViewId="0">
      <pane xSplit="2" ySplit="4" topLeftCell="C5" activePane="bottomRight" state="frozen"/>
      <selection activeCell="D17" sqref="D17"/>
      <selection pane="topRight" activeCell="D17" sqref="D17"/>
      <selection pane="bottomLeft" activeCell="D17" sqref="D17"/>
      <selection pane="bottomRight" activeCell="D6" sqref="D6"/>
    </sheetView>
  </sheetViews>
  <sheetFormatPr defaultColWidth="7.875" defaultRowHeight="12.75"/>
  <cols>
    <col min="1" max="1" width="7.25" style="372" customWidth="1"/>
    <col min="2" max="2" width="15.125" style="372" customWidth="1"/>
    <col min="3" max="3" width="25.625" style="372" customWidth="1"/>
    <col min="4" max="4" width="64.875" style="372" customWidth="1"/>
    <col min="5" max="5" width="20.625" style="372" hidden="1" customWidth="1"/>
    <col min="6" max="8" width="12.625" style="439" customWidth="1"/>
    <col min="9" max="9" width="31" style="372" customWidth="1"/>
    <col min="10" max="10" width="10.875" style="1000" customWidth="1"/>
    <col min="11" max="12" width="8.875" style="372" customWidth="1"/>
    <col min="13" max="16384" width="7.875" style="372"/>
  </cols>
  <sheetData>
    <row r="1" spans="1:256" s="1010" customFormat="1" ht="24" customHeight="1" thickBot="1">
      <c r="A1" s="995" t="str">
        <f>Calculation!N31</f>
        <v>Green Star SA - Office Design v1</v>
      </c>
      <c r="F1" s="439"/>
      <c r="G1" s="997" t="s">
        <v>483</v>
      </c>
      <c r="H1" s="998">
        <f>'Credit Summary'!J14</f>
        <v>0.09</v>
      </c>
      <c r="I1" s="999" t="s">
        <v>484</v>
      </c>
      <c r="J1" s="1000"/>
    </row>
    <row r="2" spans="1:256" ht="30" customHeight="1" thickBot="1">
      <c r="A2" s="371" t="s">
        <v>89</v>
      </c>
      <c r="D2" s="996" t="s">
        <v>485</v>
      </c>
      <c r="F2" s="1002">
        <f>F15</f>
        <v>14</v>
      </c>
      <c r="G2" s="1003">
        <f>G15</f>
        <v>0</v>
      </c>
      <c r="H2" s="1002">
        <f>H15</f>
        <v>0</v>
      </c>
      <c r="I2" s="1004">
        <f>'Credit Summary'!K14</f>
        <v>0</v>
      </c>
    </row>
    <row r="3" spans="1:256" ht="19.5" customHeight="1" thickBot="1">
      <c r="A3" s="1011" t="s">
        <v>1217</v>
      </c>
      <c r="B3" s="1012"/>
      <c r="C3" s="1013" t="str">
        <f>IF('Building Input'!$C$5=0,"",'Building Input'!$C$5)</f>
        <v/>
      </c>
      <c r="G3" s="1132" t="str">
        <f>IF(OR((J3=Calculation!$D$97),(J3=Calculation!$D$98),((G2+H2)&gt;F2)),Calculation!$D$99,"")</f>
        <v/>
      </c>
      <c r="I3" s="1001"/>
      <c r="J3" s="1008" t="str">
        <f>T(J5:J14)</f>
        <v/>
      </c>
    </row>
    <row r="4" spans="1:256" s="384" customFormat="1" ht="33" customHeight="1" thickBot="1">
      <c r="A4" s="442" t="s">
        <v>1219</v>
      </c>
      <c r="B4" s="443" t="s">
        <v>1220</v>
      </c>
      <c r="C4" s="443" t="s">
        <v>1221</v>
      </c>
      <c r="D4" s="443" t="s">
        <v>489</v>
      </c>
      <c r="E4" s="444" t="s">
        <v>64</v>
      </c>
      <c r="F4" s="444" t="s">
        <v>490</v>
      </c>
      <c r="G4" s="444" t="s">
        <v>518</v>
      </c>
      <c r="H4" s="444" t="s">
        <v>519</v>
      </c>
      <c r="I4" s="445" t="s">
        <v>520</v>
      </c>
      <c r="J4" s="1000"/>
    </row>
    <row r="5" spans="1:256" s="384" customFormat="1" ht="135" customHeight="1">
      <c r="A5" s="1014" t="s">
        <v>150</v>
      </c>
      <c r="B5" s="1015" t="s">
        <v>1302</v>
      </c>
      <c r="C5" s="1015" t="s">
        <v>366</v>
      </c>
      <c r="D5" s="1015" t="s">
        <v>118</v>
      </c>
      <c r="E5" s="1016"/>
      <c r="F5" s="1017">
        <f>IF(G5="na",0,2)</f>
        <v>2</v>
      </c>
      <c r="G5" s="237"/>
      <c r="H5" s="237"/>
      <c r="I5" s="2027"/>
      <c r="J5" s="1009" t="str">
        <f>IF(ISBLANK(G5),IF(H5&gt;F5,Calculation!$D$97,""),IF(G5="na","",IF(OR(G5="na",ISNUMBER(G5)),IF(G5+H5&gt;F5,Calculation!$D$97,""),Calculation!$D$98)))</f>
        <v/>
      </c>
      <c r="K5" s="436"/>
      <c r="L5" s="437"/>
      <c r="M5" s="726"/>
    </row>
    <row r="6" spans="1:256" s="384" customFormat="1" ht="105.75" customHeight="1">
      <c r="A6" s="2165" t="s">
        <v>151</v>
      </c>
      <c r="B6" s="2166" t="s">
        <v>491</v>
      </c>
      <c r="C6" s="2166" t="s">
        <v>1177</v>
      </c>
      <c r="D6" s="1019" t="s">
        <v>445</v>
      </c>
      <c r="E6" s="2162" t="s">
        <v>1545</v>
      </c>
      <c r="F6" s="1020">
        <v>1</v>
      </c>
      <c r="G6" s="228"/>
      <c r="H6" s="228"/>
      <c r="I6" s="2164"/>
      <c r="J6" s="1009" t="str">
        <f>IF(OR(ISTEXT(G6)=TRUE,ISTEXT(H6)=TRUE),Calculation!$D$100,IF(G6+H6&gt;F6,Calculation!$D$97,""))</f>
        <v/>
      </c>
      <c r="K6" s="436"/>
      <c r="L6" s="437"/>
      <c r="M6" s="726"/>
    </row>
    <row r="7" spans="1:256" s="384" customFormat="1" ht="131.25" customHeight="1">
      <c r="A7" s="2165"/>
      <c r="B7" s="2166"/>
      <c r="C7" s="2166"/>
      <c r="D7" s="1019" t="s">
        <v>367</v>
      </c>
      <c r="E7" s="2163"/>
      <c r="F7" s="1020">
        <v>1</v>
      </c>
      <c r="G7" s="228"/>
      <c r="H7" s="228"/>
      <c r="I7" s="2164"/>
      <c r="J7" s="1009" t="str">
        <f>IF(OR(ISTEXT(G7)=TRUE,ISTEXT(H7)=TRUE),Calculation!$D$100,IF(G7+H7&gt;F7,Calculation!$D$97,""))</f>
        <v/>
      </c>
      <c r="K7" s="436"/>
      <c r="L7" s="437"/>
      <c r="M7" s="726"/>
    </row>
    <row r="8" spans="1:256" ht="119.25" customHeight="1">
      <c r="A8" s="1018" t="s">
        <v>1647</v>
      </c>
      <c r="B8" s="1019" t="s">
        <v>492</v>
      </c>
      <c r="C8" s="1019" t="s">
        <v>1408</v>
      </c>
      <c r="D8" s="1019" t="s">
        <v>530</v>
      </c>
      <c r="E8" s="1021" t="s">
        <v>66</v>
      </c>
      <c r="F8" s="1020">
        <v>2</v>
      </c>
      <c r="G8" s="228"/>
      <c r="H8" s="228"/>
      <c r="I8" s="2028"/>
      <c r="J8" s="1009" t="str">
        <f>IF(OR(ISTEXT(G8)=TRUE,ISTEXT(H8)=TRUE),Calculation!$D$100,IF(G8+H8&gt;F8,Calculation!$D$97,""))</f>
        <v/>
      </c>
    </row>
    <row r="9" spans="1:256" ht="132" customHeight="1">
      <c r="A9" s="1022" t="s">
        <v>67</v>
      </c>
      <c r="B9" s="1023" t="s">
        <v>611</v>
      </c>
      <c r="C9" s="1023" t="s">
        <v>1116</v>
      </c>
      <c r="D9" s="1023" t="s">
        <v>610</v>
      </c>
      <c r="E9" s="1024" t="s">
        <v>66</v>
      </c>
      <c r="F9" s="1025">
        <v>1</v>
      </c>
      <c r="G9" s="343"/>
      <c r="H9" s="343"/>
      <c r="I9" s="2029"/>
      <c r="J9" s="1009" t="str">
        <f>IF(OR(ISTEXT(G9)=TRUE,ISTEXT(H9)=TRUE),Calculation!$D$100,IF(G9+H9&gt;F9,Calculation!$D$97,""))</f>
        <v/>
      </c>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5"/>
      <c r="DV9" s="435"/>
      <c r="DW9" s="435"/>
      <c r="DX9" s="435"/>
      <c r="DY9" s="435"/>
      <c r="DZ9" s="435"/>
      <c r="EA9" s="435"/>
      <c r="EB9" s="435"/>
      <c r="EC9" s="435"/>
      <c r="ED9" s="435"/>
      <c r="EE9" s="435"/>
      <c r="EF9" s="435"/>
      <c r="EG9" s="435"/>
      <c r="EH9" s="435"/>
      <c r="EI9" s="435"/>
      <c r="EJ9" s="435"/>
      <c r="EK9" s="435"/>
      <c r="EL9" s="435"/>
      <c r="EM9" s="435"/>
      <c r="EN9" s="435"/>
      <c r="EO9" s="435"/>
      <c r="EP9" s="435"/>
      <c r="EQ9" s="435"/>
      <c r="ER9" s="435"/>
      <c r="ES9" s="435"/>
      <c r="ET9" s="435"/>
      <c r="EU9" s="435"/>
      <c r="EV9" s="435"/>
      <c r="EW9" s="435"/>
      <c r="EX9" s="435"/>
      <c r="EY9" s="435"/>
      <c r="EZ9" s="435"/>
      <c r="FA9" s="435"/>
      <c r="FB9" s="435"/>
      <c r="FC9" s="435"/>
      <c r="FD9" s="435"/>
      <c r="FE9" s="435"/>
      <c r="FF9" s="435"/>
      <c r="FG9" s="435"/>
      <c r="FH9" s="435"/>
      <c r="FI9" s="435"/>
      <c r="FJ9" s="435"/>
      <c r="FK9" s="435"/>
      <c r="FL9" s="435"/>
      <c r="FM9" s="435"/>
      <c r="FN9" s="435"/>
      <c r="FO9" s="435"/>
      <c r="FP9" s="435"/>
      <c r="FQ9" s="435"/>
      <c r="FR9" s="435"/>
      <c r="FS9" s="435"/>
      <c r="FT9" s="435"/>
      <c r="FU9" s="435"/>
      <c r="FV9" s="435"/>
      <c r="FW9" s="435"/>
      <c r="FX9" s="435"/>
      <c r="FY9" s="435"/>
      <c r="FZ9" s="435"/>
      <c r="GA9" s="435"/>
      <c r="GB9" s="435"/>
      <c r="GC9" s="435"/>
      <c r="GD9" s="435"/>
      <c r="GE9" s="435"/>
      <c r="GF9" s="435"/>
      <c r="GG9" s="435"/>
      <c r="GH9" s="435"/>
      <c r="GI9" s="435"/>
      <c r="GJ9" s="435"/>
      <c r="GK9" s="435"/>
      <c r="GL9" s="435"/>
      <c r="GM9" s="435"/>
      <c r="GN9" s="435"/>
      <c r="GO9" s="435"/>
      <c r="GP9" s="435"/>
      <c r="GQ9" s="435"/>
      <c r="GR9" s="435"/>
      <c r="GS9" s="435"/>
      <c r="GT9" s="435"/>
      <c r="GU9" s="435"/>
      <c r="GV9" s="435"/>
      <c r="GW9" s="435"/>
      <c r="GX9" s="435"/>
      <c r="GY9" s="435"/>
      <c r="GZ9" s="435"/>
      <c r="HA9" s="435"/>
      <c r="HB9" s="435"/>
      <c r="HC9" s="435"/>
      <c r="HD9" s="435"/>
      <c r="HE9" s="435"/>
      <c r="HF9" s="435"/>
      <c r="HG9" s="435"/>
      <c r="HH9" s="435"/>
      <c r="HI9" s="435"/>
      <c r="HJ9" s="435"/>
      <c r="HK9" s="435"/>
      <c r="HL9" s="435"/>
      <c r="HM9" s="435"/>
      <c r="HN9" s="435"/>
      <c r="HO9" s="435"/>
      <c r="HP9" s="435"/>
      <c r="HQ9" s="435"/>
      <c r="HR9" s="435"/>
      <c r="HS9" s="435"/>
      <c r="HT9" s="435"/>
      <c r="HU9" s="435"/>
      <c r="HV9" s="435"/>
      <c r="HW9" s="435"/>
      <c r="HX9" s="435"/>
      <c r="HY9" s="435"/>
      <c r="HZ9" s="435"/>
      <c r="IA9" s="435"/>
      <c r="IB9" s="435"/>
      <c r="IC9" s="435"/>
      <c r="ID9" s="435"/>
      <c r="IE9" s="435"/>
      <c r="IF9" s="435"/>
      <c r="IG9" s="435"/>
      <c r="IH9" s="435"/>
      <c r="II9" s="435"/>
      <c r="IJ9" s="435"/>
      <c r="IK9" s="435"/>
      <c r="IL9" s="435"/>
      <c r="IM9" s="435"/>
      <c r="IN9" s="435"/>
      <c r="IO9" s="435"/>
      <c r="IP9" s="435"/>
      <c r="IQ9" s="435"/>
      <c r="IR9" s="435"/>
      <c r="IS9" s="435"/>
      <c r="IT9" s="435"/>
      <c r="IU9" s="435"/>
      <c r="IV9" s="435"/>
    </row>
    <row r="10" spans="1:256" ht="71.25" customHeight="1">
      <c r="A10" s="1018" t="s">
        <v>68</v>
      </c>
      <c r="B10" s="1019" t="s">
        <v>1178</v>
      </c>
      <c r="C10" s="1019" t="s">
        <v>50</v>
      </c>
      <c r="D10" s="1019" t="s">
        <v>220</v>
      </c>
      <c r="E10" s="1026"/>
      <c r="F10" s="1020">
        <v>1</v>
      </c>
      <c r="G10" s="228"/>
      <c r="H10" s="228"/>
      <c r="I10" s="2028"/>
      <c r="J10" s="1009" t="str">
        <f>IF(OR(ISTEXT(G10)=TRUE,ISTEXT(H10)=TRUE),Calculation!$D$100,IF(G10+H10&gt;F10,Calculation!$D$97,""))</f>
        <v/>
      </c>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5"/>
      <c r="DV10" s="435"/>
      <c r="DW10" s="435"/>
      <c r="DX10" s="435"/>
      <c r="DY10" s="435"/>
      <c r="DZ10" s="435"/>
      <c r="EA10" s="435"/>
      <c r="EB10" s="435"/>
      <c r="EC10" s="435"/>
      <c r="ED10" s="435"/>
      <c r="EE10" s="435"/>
      <c r="EF10" s="435"/>
      <c r="EG10" s="435"/>
      <c r="EH10" s="435"/>
      <c r="EI10" s="435"/>
      <c r="EJ10" s="435"/>
      <c r="EK10" s="435"/>
      <c r="EL10" s="435"/>
      <c r="EM10" s="435"/>
      <c r="EN10" s="435"/>
      <c r="EO10" s="435"/>
      <c r="EP10" s="435"/>
      <c r="EQ10" s="435"/>
      <c r="ER10" s="435"/>
      <c r="ES10" s="435"/>
      <c r="ET10" s="435"/>
      <c r="EU10" s="435"/>
      <c r="EV10" s="435"/>
      <c r="EW10" s="435"/>
      <c r="EX10" s="435"/>
      <c r="EY10" s="435"/>
      <c r="EZ10" s="435"/>
      <c r="FA10" s="435"/>
      <c r="FB10" s="435"/>
      <c r="FC10" s="435"/>
      <c r="FD10" s="435"/>
      <c r="FE10" s="435"/>
      <c r="FF10" s="435"/>
      <c r="FG10" s="435"/>
      <c r="FH10" s="435"/>
      <c r="FI10" s="435"/>
      <c r="FJ10" s="435"/>
      <c r="FK10" s="435"/>
      <c r="FL10" s="435"/>
      <c r="FM10" s="435"/>
      <c r="FN10" s="435"/>
      <c r="FO10" s="435"/>
      <c r="FP10" s="435"/>
      <c r="FQ10" s="435"/>
      <c r="FR10" s="435"/>
      <c r="FS10" s="435"/>
      <c r="FT10" s="435"/>
      <c r="FU10" s="435"/>
      <c r="FV10" s="435"/>
      <c r="FW10" s="435"/>
      <c r="FX10" s="435"/>
      <c r="FY10" s="435"/>
      <c r="FZ10" s="435"/>
      <c r="GA10" s="435"/>
      <c r="GB10" s="435"/>
      <c r="GC10" s="435"/>
      <c r="GD10" s="435"/>
      <c r="GE10" s="435"/>
      <c r="GF10" s="435"/>
      <c r="GG10" s="435"/>
      <c r="GH10" s="435"/>
      <c r="GI10" s="435"/>
      <c r="GJ10" s="435"/>
      <c r="GK10" s="435"/>
      <c r="GL10" s="435"/>
      <c r="GM10" s="435"/>
      <c r="GN10" s="435"/>
      <c r="GO10" s="435"/>
      <c r="GP10" s="435"/>
      <c r="GQ10" s="435"/>
      <c r="GR10" s="435"/>
      <c r="GS10" s="435"/>
      <c r="GT10" s="435"/>
      <c r="GU10" s="435"/>
      <c r="GV10" s="435"/>
      <c r="GW10" s="435"/>
      <c r="GX10" s="435"/>
      <c r="GY10" s="435"/>
      <c r="GZ10" s="435"/>
      <c r="HA10" s="435"/>
      <c r="HB10" s="435"/>
      <c r="HC10" s="435"/>
      <c r="HD10" s="435"/>
      <c r="HE10" s="435"/>
      <c r="HF10" s="435"/>
      <c r="HG10" s="435"/>
      <c r="HH10" s="435"/>
      <c r="HI10" s="435"/>
      <c r="HJ10" s="435"/>
      <c r="HK10" s="435"/>
      <c r="HL10" s="435"/>
      <c r="HM10" s="435"/>
      <c r="HN10" s="435"/>
      <c r="HO10" s="435"/>
      <c r="HP10" s="435"/>
      <c r="HQ10" s="435"/>
      <c r="HR10" s="435"/>
      <c r="HS10" s="435"/>
      <c r="HT10" s="435"/>
      <c r="HU10" s="435"/>
      <c r="HV10" s="435"/>
      <c r="HW10" s="435"/>
      <c r="HX10" s="435"/>
      <c r="HY10" s="435"/>
      <c r="HZ10" s="435"/>
      <c r="IA10" s="435"/>
      <c r="IB10" s="435"/>
      <c r="IC10" s="435"/>
      <c r="ID10" s="435"/>
      <c r="IE10" s="435"/>
      <c r="IF10" s="435"/>
      <c r="IG10" s="435"/>
      <c r="IH10" s="435"/>
      <c r="II10" s="435"/>
      <c r="IJ10" s="435"/>
      <c r="IK10" s="435"/>
      <c r="IL10" s="435"/>
      <c r="IM10" s="435"/>
      <c r="IN10" s="435"/>
      <c r="IO10" s="435"/>
      <c r="IP10" s="435"/>
      <c r="IQ10" s="435"/>
      <c r="IR10" s="435"/>
      <c r="IS10" s="435"/>
      <c r="IT10" s="435"/>
      <c r="IU10" s="435"/>
      <c r="IV10" s="435"/>
    </row>
    <row r="11" spans="1:256" ht="87.75" customHeight="1">
      <c r="A11" s="2156" t="s">
        <v>69</v>
      </c>
      <c r="B11" s="2158" t="s">
        <v>70</v>
      </c>
      <c r="C11" s="2158" t="s">
        <v>1130</v>
      </c>
      <c r="D11" s="1019" t="s">
        <v>1705</v>
      </c>
      <c r="E11" s="1026"/>
      <c r="F11" s="1020">
        <v>1</v>
      </c>
      <c r="G11" s="228"/>
      <c r="H11" s="2033"/>
      <c r="I11" s="2160"/>
      <c r="J11" s="1009" t="str">
        <f>IF(OR(ISTEXT(G11)=TRUE,ISTEXT(H11)=TRUE),Calculation!$D$100,IF(G11+H11&gt;F11,Calculation!$D$97,""))</f>
        <v/>
      </c>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5"/>
      <c r="CU11" s="435"/>
      <c r="CV11" s="435"/>
      <c r="CW11" s="435"/>
      <c r="CX11" s="435"/>
      <c r="CY11" s="435"/>
      <c r="CZ11" s="435"/>
      <c r="DA11" s="435"/>
      <c r="DB11" s="435"/>
      <c r="DC11" s="435"/>
      <c r="DD11" s="435"/>
      <c r="DE11" s="435"/>
      <c r="DF11" s="435"/>
      <c r="DG11" s="435"/>
      <c r="DH11" s="435"/>
      <c r="DI11" s="435"/>
      <c r="DJ11" s="435"/>
      <c r="DK11" s="435"/>
      <c r="DL11" s="435"/>
      <c r="DM11" s="435"/>
      <c r="DN11" s="435"/>
      <c r="DO11" s="435"/>
      <c r="DP11" s="435"/>
      <c r="DQ11" s="435"/>
      <c r="DR11" s="435"/>
      <c r="DS11" s="435"/>
      <c r="DT11" s="435"/>
      <c r="DU11" s="435"/>
      <c r="DV11" s="435"/>
      <c r="DW11" s="435"/>
      <c r="DX11" s="435"/>
      <c r="DY11" s="435"/>
      <c r="DZ11" s="435"/>
      <c r="EA11" s="435"/>
      <c r="EB11" s="435"/>
      <c r="EC11" s="435"/>
      <c r="ED11" s="435"/>
      <c r="EE11" s="435"/>
      <c r="EF11" s="435"/>
      <c r="EG11" s="435"/>
      <c r="EH11" s="435"/>
      <c r="EI11" s="435"/>
      <c r="EJ11" s="435"/>
      <c r="EK11" s="435"/>
      <c r="EL11" s="435"/>
      <c r="EM11" s="435"/>
      <c r="EN11" s="435"/>
      <c r="EO11" s="435"/>
      <c r="EP11" s="435"/>
      <c r="EQ11" s="435"/>
      <c r="ER11" s="435"/>
      <c r="ES11" s="435"/>
      <c r="ET11" s="435"/>
      <c r="EU11" s="435"/>
      <c r="EV11" s="435"/>
      <c r="EW11" s="435"/>
      <c r="EX11" s="435"/>
      <c r="EY11" s="435"/>
      <c r="EZ11" s="435"/>
      <c r="FA11" s="435"/>
      <c r="FB11" s="435"/>
      <c r="FC11" s="435"/>
      <c r="FD11" s="435"/>
      <c r="FE11" s="435"/>
      <c r="FF11" s="435"/>
      <c r="FG11" s="435"/>
      <c r="FH11" s="435"/>
      <c r="FI11" s="435"/>
      <c r="FJ11" s="435"/>
      <c r="FK11" s="435"/>
      <c r="FL11" s="435"/>
      <c r="FM11" s="435"/>
      <c r="FN11" s="435"/>
      <c r="FO11" s="435"/>
      <c r="FP11" s="435"/>
      <c r="FQ11" s="435"/>
      <c r="FR11" s="435"/>
      <c r="FS11" s="435"/>
      <c r="FT11" s="435"/>
      <c r="FU11" s="435"/>
      <c r="FV11" s="435"/>
      <c r="FW11" s="435"/>
      <c r="FX11" s="435"/>
      <c r="FY11" s="435"/>
      <c r="FZ11" s="435"/>
      <c r="GA11" s="435"/>
      <c r="GB11" s="435"/>
      <c r="GC11" s="435"/>
      <c r="GD11" s="435"/>
      <c r="GE11" s="435"/>
      <c r="GF11" s="435"/>
      <c r="GG11" s="435"/>
      <c r="GH11" s="435"/>
      <c r="GI11" s="435"/>
      <c r="GJ11" s="435"/>
      <c r="GK11" s="435"/>
      <c r="GL11" s="435"/>
      <c r="GM11" s="435"/>
      <c r="GN11" s="435"/>
      <c r="GO11" s="435"/>
      <c r="GP11" s="435"/>
      <c r="GQ11" s="435"/>
      <c r="GR11" s="435"/>
      <c r="GS11" s="435"/>
      <c r="GT11" s="435"/>
      <c r="GU11" s="435"/>
      <c r="GV11" s="435"/>
      <c r="GW11" s="435"/>
      <c r="GX11" s="435"/>
      <c r="GY11" s="435"/>
      <c r="GZ11" s="435"/>
      <c r="HA11" s="435"/>
      <c r="HB11" s="435"/>
      <c r="HC11" s="435"/>
      <c r="HD11" s="435"/>
      <c r="HE11" s="435"/>
      <c r="HF11" s="435"/>
      <c r="HG11" s="435"/>
      <c r="HH11" s="435"/>
      <c r="HI11" s="435"/>
      <c r="HJ11" s="435"/>
      <c r="HK11" s="435"/>
      <c r="HL11" s="435"/>
      <c r="HM11" s="435"/>
      <c r="HN11" s="435"/>
      <c r="HO11" s="435"/>
      <c r="HP11" s="435"/>
      <c r="HQ11" s="435"/>
      <c r="HR11" s="435"/>
      <c r="HS11" s="435"/>
      <c r="HT11" s="435"/>
      <c r="HU11" s="435"/>
      <c r="HV11" s="435"/>
      <c r="HW11" s="435"/>
      <c r="HX11" s="435"/>
      <c r="HY11" s="435"/>
      <c r="HZ11" s="435"/>
      <c r="IA11" s="435"/>
      <c r="IB11" s="435"/>
      <c r="IC11" s="435"/>
      <c r="ID11" s="435"/>
      <c r="IE11" s="435"/>
      <c r="IF11" s="435"/>
      <c r="IG11" s="435"/>
      <c r="IH11" s="435"/>
      <c r="II11" s="435"/>
      <c r="IJ11" s="435"/>
      <c r="IK11" s="435"/>
      <c r="IL11" s="435"/>
      <c r="IM11" s="435"/>
      <c r="IN11" s="435"/>
      <c r="IO11" s="435"/>
      <c r="IP11" s="435"/>
      <c r="IQ11" s="435"/>
      <c r="IR11" s="435"/>
      <c r="IS11" s="435"/>
      <c r="IT11" s="435"/>
      <c r="IU11" s="435"/>
      <c r="IV11" s="435"/>
    </row>
    <row r="12" spans="1:256" ht="52.5" customHeight="1">
      <c r="A12" s="2157"/>
      <c r="B12" s="2159"/>
      <c r="C12" s="2159"/>
      <c r="D12" s="1007" t="s">
        <v>1706</v>
      </c>
      <c r="E12" s="1026"/>
      <c r="F12" s="1020">
        <v>1</v>
      </c>
      <c r="G12" s="228"/>
      <c r="H12" s="2033"/>
      <c r="I12" s="2161"/>
      <c r="J12" s="1009" t="str">
        <f>IF(OR(ISTEXT(G12)=TRUE,ISTEXT(H12)=TRUE),Calculation!$D$100,IF(G12+H12&gt;F12,Calculation!$D$97,""))</f>
        <v/>
      </c>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435"/>
      <c r="BQ12" s="435"/>
      <c r="BR12" s="435"/>
      <c r="BS12" s="435"/>
      <c r="BT12" s="435"/>
      <c r="BU12" s="435"/>
      <c r="BV12" s="435"/>
      <c r="BW12" s="435"/>
      <c r="BX12" s="435"/>
      <c r="BY12" s="435"/>
      <c r="BZ12" s="435"/>
      <c r="CA12" s="435"/>
      <c r="CB12" s="435"/>
      <c r="CC12" s="435"/>
      <c r="CD12" s="435"/>
      <c r="CE12" s="435"/>
      <c r="CF12" s="435"/>
      <c r="CG12" s="435"/>
      <c r="CH12" s="435"/>
      <c r="CI12" s="435"/>
      <c r="CJ12" s="435"/>
      <c r="CK12" s="435"/>
      <c r="CL12" s="435"/>
      <c r="CM12" s="435"/>
      <c r="CN12" s="435"/>
      <c r="CO12" s="435"/>
      <c r="CP12" s="435"/>
      <c r="CQ12" s="435"/>
      <c r="CR12" s="435"/>
      <c r="CS12" s="435"/>
      <c r="CT12" s="435"/>
      <c r="CU12" s="435"/>
      <c r="CV12" s="435"/>
      <c r="CW12" s="435"/>
      <c r="CX12" s="435"/>
      <c r="CY12" s="435"/>
      <c r="CZ12" s="435"/>
      <c r="DA12" s="435"/>
      <c r="DB12" s="435"/>
      <c r="DC12" s="435"/>
      <c r="DD12" s="435"/>
      <c r="DE12" s="435"/>
      <c r="DF12" s="435"/>
      <c r="DG12" s="435"/>
      <c r="DH12" s="435"/>
      <c r="DI12" s="435"/>
      <c r="DJ12" s="435"/>
      <c r="DK12" s="435"/>
      <c r="DL12" s="435"/>
      <c r="DM12" s="435"/>
      <c r="DN12" s="435"/>
      <c r="DO12" s="435"/>
      <c r="DP12" s="435"/>
      <c r="DQ12" s="435"/>
      <c r="DR12" s="435"/>
      <c r="DS12" s="435"/>
      <c r="DT12" s="435"/>
      <c r="DU12" s="435"/>
      <c r="DV12" s="435"/>
      <c r="DW12" s="435"/>
      <c r="DX12" s="435"/>
      <c r="DY12" s="435"/>
      <c r="DZ12" s="435"/>
      <c r="EA12" s="435"/>
      <c r="EB12" s="435"/>
      <c r="EC12" s="435"/>
      <c r="ED12" s="435"/>
      <c r="EE12" s="435"/>
      <c r="EF12" s="435"/>
      <c r="EG12" s="435"/>
      <c r="EH12" s="435"/>
      <c r="EI12" s="435"/>
      <c r="EJ12" s="435"/>
      <c r="EK12" s="435"/>
      <c r="EL12" s="435"/>
      <c r="EM12" s="435"/>
      <c r="EN12" s="435"/>
      <c r="EO12" s="435"/>
      <c r="EP12" s="435"/>
      <c r="EQ12" s="435"/>
      <c r="ER12" s="435"/>
      <c r="ES12" s="435"/>
      <c r="ET12" s="435"/>
      <c r="EU12" s="435"/>
      <c r="EV12" s="435"/>
      <c r="EW12" s="435"/>
      <c r="EX12" s="435"/>
      <c r="EY12" s="435"/>
      <c r="EZ12" s="435"/>
      <c r="FA12" s="435"/>
      <c r="FB12" s="435"/>
      <c r="FC12" s="435"/>
      <c r="FD12" s="435"/>
      <c r="FE12" s="435"/>
      <c r="FF12" s="435"/>
      <c r="FG12" s="435"/>
      <c r="FH12" s="435"/>
      <c r="FI12" s="435"/>
      <c r="FJ12" s="435"/>
      <c r="FK12" s="435"/>
      <c r="FL12" s="435"/>
      <c r="FM12" s="435"/>
      <c r="FN12" s="435"/>
      <c r="FO12" s="435"/>
      <c r="FP12" s="435"/>
      <c r="FQ12" s="435"/>
      <c r="FR12" s="435"/>
      <c r="FS12" s="435"/>
      <c r="FT12" s="435"/>
      <c r="FU12" s="435"/>
      <c r="FV12" s="435"/>
      <c r="FW12" s="435"/>
      <c r="FX12" s="435"/>
      <c r="FY12" s="435"/>
      <c r="FZ12" s="435"/>
      <c r="GA12" s="435"/>
      <c r="GB12" s="435"/>
      <c r="GC12" s="435"/>
      <c r="GD12" s="435"/>
      <c r="GE12" s="435"/>
      <c r="GF12" s="435"/>
      <c r="GG12" s="435"/>
      <c r="GH12" s="435"/>
      <c r="GI12" s="435"/>
      <c r="GJ12" s="435"/>
      <c r="GK12" s="435"/>
      <c r="GL12" s="435"/>
      <c r="GM12" s="435"/>
      <c r="GN12" s="435"/>
      <c r="GO12" s="435"/>
      <c r="GP12" s="435"/>
      <c r="GQ12" s="435"/>
      <c r="GR12" s="435"/>
      <c r="GS12" s="435"/>
      <c r="GT12" s="435"/>
      <c r="GU12" s="435"/>
      <c r="GV12" s="435"/>
      <c r="GW12" s="435"/>
      <c r="GX12" s="435"/>
      <c r="GY12" s="435"/>
      <c r="GZ12" s="435"/>
      <c r="HA12" s="435"/>
      <c r="HB12" s="435"/>
      <c r="HC12" s="435"/>
      <c r="HD12" s="435"/>
      <c r="HE12" s="435"/>
      <c r="HF12" s="435"/>
      <c r="HG12" s="435"/>
      <c r="HH12" s="435"/>
      <c r="HI12" s="435"/>
      <c r="HJ12" s="435"/>
      <c r="HK12" s="435"/>
      <c r="HL12" s="435"/>
      <c r="HM12" s="435"/>
      <c r="HN12" s="435"/>
      <c r="HO12" s="435"/>
      <c r="HP12" s="435"/>
      <c r="HQ12" s="435"/>
      <c r="HR12" s="435"/>
      <c r="HS12" s="435"/>
      <c r="HT12" s="435"/>
      <c r="HU12" s="435"/>
      <c r="HV12" s="435"/>
      <c r="HW12" s="435"/>
      <c r="HX12" s="435"/>
      <c r="HY12" s="435"/>
      <c r="HZ12" s="435"/>
      <c r="IA12" s="435"/>
      <c r="IB12" s="435"/>
      <c r="IC12" s="435"/>
      <c r="ID12" s="435"/>
      <c r="IE12" s="435"/>
      <c r="IF12" s="435"/>
      <c r="IG12" s="435"/>
      <c r="IH12" s="435"/>
      <c r="II12" s="435"/>
      <c r="IJ12" s="435"/>
      <c r="IK12" s="435"/>
      <c r="IL12" s="435"/>
      <c r="IM12" s="435"/>
      <c r="IN12" s="435"/>
      <c r="IO12" s="435"/>
      <c r="IP12" s="435"/>
      <c r="IQ12" s="435"/>
      <c r="IR12" s="435"/>
      <c r="IS12" s="435"/>
      <c r="IT12" s="435"/>
      <c r="IU12" s="435"/>
      <c r="IV12" s="435"/>
    </row>
    <row r="13" spans="1:256" ht="118.5" customHeight="1">
      <c r="A13" s="1018" t="s">
        <v>71</v>
      </c>
      <c r="B13" s="1019" t="s">
        <v>72</v>
      </c>
      <c r="C13" s="1019" t="s">
        <v>51</v>
      </c>
      <c r="D13" s="1019" t="s">
        <v>1115</v>
      </c>
      <c r="E13" s="1021"/>
      <c r="F13" s="1020">
        <v>3</v>
      </c>
      <c r="G13" s="228"/>
      <c r="H13" s="228"/>
      <c r="I13" s="2028"/>
      <c r="J13" s="1009" t="str">
        <f>IF(OR(ISTEXT(G13)=TRUE,ISTEXT(H13)=TRUE),Calculation!$D$100,IF(G13+H13&gt;F13,Calculation!$D$97,""))</f>
        <v/>
      </c>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c r="BJ13" s="435"/>
      <c r="BK13" s="435"/>
      <c r="BL13" s="435"/>
      <c r="BM13" s="435"/>
      <c r="BN13" s="435"/>
      <c r="BO13" s="435"/>
      <c r="BP13" s="435"/>
      <c r="BQ13" s="435"/>
      <c r="BR13" s="435"/>
      <c r="BS13" s="435"/>
      <c r="BT13" s="435"/>
      <c r="BU13" s="435"/>
      <c r="BV13" s="435"/>
      <c r="BW13" s="435"/>
      <c r="BX13" s="435"/>
      <c r="BY13" s="435"/>
      <c r="BZ13" s="435"/>
      <c r="CA13" s="435"/>
      <c r="CB13" s="435"/>
      <c r="CC13" s="435"/>
      <c r="CD13" s="435"/>
      <c r="CE13" s="435"/>
      <c r="CF13" s="435"/>
      <c r="CG13" s="435"/>
      <c r="CH13" s="435"/>
      <c r="CI13" s="435"/>
      <c r="CJ13" s="435"/>
      <c r="CK13" s="435"/>
      <c r="CL13" s="435"/>
      <c r="CM13" s="435"/>
      <c r="CN13" s="435"/>
      <c r="CO13" s="435"/>
      <c r="CP13" s="435"/>
      <c r="CQ13" s="435"/>
      <c r="CR13" s="435"/>
      <c r="CS13" s="435"/>
      <c r="CT13" s="435"/>
      <c r="CU13" s="435"/>
      <c r="CV13" s="435"/>
      <c r="CW13" s="435"/>
      <c r="CX13" s="435"/>
      <c r="CY13" s="435"/>
      <c r="CZ13" s="435"/>
      <c r="DA13" s="435"/>
      <c r="DB13" s="435"/>
      <c r="DC13" s="435"/>
      <c r="DD13" s="435"/>
      <c r="DE13" s="435"/>
      <c r="DF13" s="435"/>
      <c r="DG13" s="435"/>
      <c r="DH13" s="435"/>
      <c r="DI13" s="435"/>
      <c r="DJ13" s="435"/>
      <c r="DK13" s="435"/>
      <c r="DL13" s="435"/>
      <c r="DM13" s="435"/>
      <c r="DN13" s="435"/>
      <c r="DO13" s="435"/>
      <c r="DP13" s="435"/>
      <c r="DQ13" s="435"/>
      <c r="DR13" s="435"/>
      <c r="DS13" s="435"/>
      <c r="DT13" s="435"/>
      <c r="DU13" s="435"/>
      <c r="DV13" s="435"/>
      <c r="DW13" s="435"/>
      <c r="DX13" s="435"/>
      <c r="DY13" s="435"/>
      <c r="DZ13" s="435"/>
      <c r="EA13" s="435"/>
      <c r="EB13" s="435"/>
      <c r="EC13" s="435"/>
      <c r="ED13" s="435"/>
      <c r="EE13" s="435"/>
      <c r="EF13" s="435"/>
      <c r="EG13" s="435"/>
      <c r="EH13" s="435"/>
      <c r="EI13" s="435"/>
      <c r="EJ13" s="435"/>
      <c r="EK13" s="435"/>
      <c r="EL13" s="435"/>
      <c r="EM13" s="435"/>
      <c r="EN13" s="435"/>
      <c r="EO13" s="435"/>
      <c r="EP13" s="435"/>
      <c r="EQ13" s="435"/>
      <c r="ER13" s="435"/>
      <c r="ES13" s="435"/>
      <c r="ET13" s="435"/>
      <c r="EU13" s="435"/>
      <c r="EV13" s="435"/>
      <c r="EW13" s="435"/>
      <c r="EX13" s="435"/>
      <c r="EY13" s="435"/>
      <c r="EZ13" s="435"/>
      <c r="FA13" s="435"/>
      <c r="FB13" s="435"/>
      <c r="FC13" s="435"/>
      <c r="FD13" s="435"/>
      <c r="FE13" s="435"/>
      <c r="FF13" s="435"/>
      <c r="FG13" s="435"/>
      <c r="FH13" s="435"/>
      <c r="FI13" s="435"/>
      <c r="FJ13" s="435"/>
      <c r="FK13" s="435"/>
      <c r="FL13" s="435"/>
      <c r="FM13" s="435"/>
      <c r="FN13" s="435"/>
      <c r="FO13" s="435"/>
      <c r="FP13" s="435"/>
      <c r="FQ13" s="435"/>
      <c r="FR13" s="435"/>
      <c r="FS13" s="435"/>
      <c r="FT13" s="435"/>
      <c r="FU13" s="435"/>
      <c r="FV13" s="435"/>
      <c r="FW13" s="435"/>
      <c r="FX13" s="435"/>
      <c r="FY13" s="435"/>
      <c r="FZ13" s="435"/>
      <c r="GA13" s="435"/>
      <c r="GB13" s="435"/>
      <c r="GC13" s="435"/>
      <c r="GD13" s="435"/>
      <c r="GE13" s="435"/>
      <c r="GF13" s="435"/>
      <c r="GG13" s="435"/>
      <c r="GH13" s="435"/>
      <c r="GI13" s="435"/>
      <c r="GJ13" s="435"/>
      <c r="GK13" s="435"/>
      <c r="GL13" s="435"/>
      <c r="GM13" s="435"/>
      <c r="GN13" s="435"/>
      <c r="GO13" s="435"/>
      <c r="GP13" s="435"/>
      <c r="GQ13" s="435"/>
      <c r="GR13" s="435"/>
      <c r="GS13" s="435"/>
      <c r="GT13" s="435"/>
      <c r="GU13" s="435"/>
      <c r="GV13" s="435"/>
      <c r="GW13" s="435"/>
      <c r="GX13" s="435"/>
      <c r="GY13" s="435"/>
      <c r="GZ13" s="435"/>
      <c r="HA13" s="435"/>
      <c r="HB13" s="435"/>
      <c r="HC13" s="435"/>
      <c r="HD13" s="435"/>
      <c r="HE13" s="435"/>
      <c r="HF13" s="435"/>
      <c r="HG13" s="435"/>
      <c r="HH13" s="435"/>
      <c r="HI13" s="435"/>
      <c r="HJ13" s="435"/>
      <c r="HK13" s="435"/>
      <c r="HL13" s="435"/>
      <c r="HM13" s="435"/>
      <c r="HN13" s="435"/>
      <c r="HO13" s="435"/>
      <c r="HP13" s="435"/>
      <c r="HQ13" s="435"/>
      <c r="HR13" s="435"/>
      <c r="HS13" s="435"/>
      <c r="HT13" s="435"/>
      <c r="HU13" s="435"/>
      <c r="HV13" s="435"/>
      <c r="HW13" s="435"/>
      <c r="HX13" s="435"/>
      <c r="HY13" s="435"/>
      <c r="HZ13" s="435"/>
      <c r="IA13" s="435"/>
      <c r="IB13" s="435"/>
      <c r="IC13" s="435"/>
      <c r="ID13" s="435"/>
      <c r="IE13" s="435"/>
      <c r="IF13" s="435"/>
      <c r="IG13" s="435"/>
      <c r="IH13" s="435"/>
      <c r="II13" s="435"/>
      <c r="IJ13" s="435"/>
      <c r="IK13" s="435"/>
      <c r="IL13" s="435"/>
      <c r="IM13" s="435"/>
      <c r="IN13" s="435"/>
      <c r="IO13" s="435"/>
      <c r="IP13" s="435"/>
      <c r="IQ13" s="435"/>
      <c r="IR13" s="435"/>
      <c r="IS13" s="435"/>
      <c r="IT13" s="435"/>
      <c r="IU13" s="435"/>
      <c r="IV13" s="435"/>
    </row>
    <row r="14" spans="1:256" ht="81.75" customHeight="1" thickBot="1">
      <c r="A14" s="1027" t="s">
        <v>588</v>
      </c>
      <c r="B14" s="1028" t="s">
        <v>589</v>
      </c>
      <c r="C14" s="1028" t="s">
        <v>1131</v>
      </c>
      <c r="D14" s="1028" t="s">
        <v>1132</v>
      </c>
      <c r="E14" s="1029"/>
      <c r="F14" s="1030">
        <v>1</v>
      </c>
      <c r="G14" s="342"/>
      <c r="H14" s="342"/>
      <c r="I14" s="2030"/>
      <c r="J14" s="1009" t="str">
        <f>IF(OR(ISTEXT(G14)=TRUE,ISTEXT(H14)=TRUE),Calculation!$D$100,IF(G14+H14&gt;F14,Calculation!$D$97,""))</f>
        <v/>
      </c>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c r="BJ14" s="435"/>
      <c r="BK14" s="435"/>
      <c r="BL14" s="435"/>
      <c r="BM14" s="435"/>
      <c r="BN14" s="435"/>
      <c r="BO14" s="435"/>
      <c r="BP14" s="435"/>
      <c r="BQ14" s="435"/>
      <c r="BR14" s="435"/>
      <c r="BS14" s="435"/>
      <c r="BT14" s="435"/>
      <c r="BU14" s="435"/>
      <c r="BV14" s="435"/>
      <c r="BW14" s="435"/>
      <c r="BX14" s="435"/>
      <c r="BY14" s="435"/>
      <c r="BZ14" s="435"/>
      <c r="CA14" s="435"/>
      <c r="CB14" s="435"/>
      <c r="CC14" s="435"/>
      <c r="CD14" s="435"/>
      <c r="CE14" s="435"/>
      <c r="CF14" s="435"/>
      <c r="CG14" s="435"/>
      <c r="CH14" s="435"/>
      <c r="CI14" s="435"/>
      <c r="CJ14" s="435"/>
      <c r="CK14" s="435"/>
      <c r="CL14" s="435"/>
      <c r="CM14" s="435"/>
      <c r="CN14" s="435"/>
      <c r="CO14" s="435"/>
      <c r="CP14" s="435"/>
      <c r="CQ14" s="435"/>
      <c r="CR14" s="435"/>
      <c r="CS14" s="435"/>
      <c r="CT14" s="435"/>
      <c r="CU14" s="435"/>
      <c r="CV14" s="435"/>
      <c r="CW14" s="435"/>
      <c r="CX14" s="435"/>
      <c r="CY14" s="435"/>
      <c r="CZ14" s="435"/>
      <c r="DA14" s="435"/>
      <c r="DB14" s="435"/>
      <c r="DC14" s="435"/>
      <c r="DD14" s="435"/>
      <c r="DE14" s="435"/>
      <c r="DF14" s="435"/>
      <c r="DG14" s="435"/>
      <c r="DH14" s="435"/>
      <c r="DI14" s="435"/>
      <c r="DJ14" s="435"/>
      <c r="DK14" s="435"/>
      <c r="DL14" s="435"/>
      <c r="DM14" s="435"/>
      <c r="DN14" s="435"/>
      <c r="DO14" s="435"/>
      <c r="DP14" s="435"/>
      <c r="DQ14" s="435"/>
      <c r="DR14" s="435"/>
      <c r="DS14" s="435"/>
      <c r="DT14" s="435"/>
      <c r="DU14" s="435"/>
      <c r="DV14" s="435"/>
      <c r="DW14" s="435"/>
      <c r="DX14" s="435"/>
      <c r="DY14" s="435"/>
      <c r="DZ14" s="435"/>
      <c r="EA14" s="435"/>
      <c r="EB14" s="435"/>
      <c r="EC14" s="435"/>
      <c r="ED14" s="435"/>
      <c r="EE14" s="435"/>
      <c r="EF14" s="435"/>
      <c r="EG14" s="435"/>
      <c r="EH14" s="435"/>
      <c r="EI14" s="435"/>
      <c r="EJ14" s="435"/>
      <c r="EK14" s="435"/>
      <c r="EL14" s="435"/>
      <c r="EM14" s="435"/>
      <c r="EN14" s="435"/>
      <c r="EO14" s="435"/>
      <c r="EP14" s="435"/>
      <c r="EQ14" s="435"/>
      <c r="ER14" s="435"/>
      <c r="ES14" s="435"/>
      <c r="ET14" s="435"/>
      <c r="EU14" s="435"/>
      <c r="EV14" s="435"/>
      <c r="EW14" s="435"/>
      <c r="EX14" s="435"/>
      <c r="EY14" s="435"/>
      <c r="EZ14" s="435"/>
      <c r="FA14" s="435"/>
      <c r="FB14" s="435"/>
      <c r="FC14" s="435"/>
      <c r="FD14" s="435"/>
      <c r="FE14" s="435"/>
      <c r="FF14" s="435"/>
      <c r="FG14" s="435"/>
      <c r="FH14" s="435"/>
      <c r="FI14" s="435"/>
      <c r="FJ14" s="435"/>
      <c r="FK14" s="435"/>
      <c r="FL14" s="435"/>
      <c r="FM14" s="435"/>
      <c r="FN14" s="435"/>
      <c r="FO14" s="435"/>
      <c r="FP14" s="435"/>
      <c r="FQ14" s="435"/>
      <c r="FR14" s="435"/>
      <c r="FS14" s="435"/>
      <c r="FT14" s="435"/>
      <c r="FU14" s="435"/>
      <c r="FV14" s="435"/>
      <c r="FW14" s="435"/>
      <c r="FX14" s="435"/>
      <c r="FY14" s="435"/>
      <c r="FZ14" s="435"/>
      <c r="GA14" s="435"/>
      <c r="GB14" s="435"/>
      <c r="GC14" s="435"/>
      <c r="GD14" s="435"/>
      <c r="GE14" s="435"/>
      <c r="GF14" s="435"/>
      <c r="GG14" s="435"/>
      <c r="GH14" s="435"/>
      <c r="GI14" s="435"/>
      <c r="GJ14" s="435"/>
      <c r="GK14" s="435"/>
      <c r="GL14" s="435"/>
      <c r="GM14" s="435"/>
      <c r="GN14" s="435"/>
      <c r="GO14" s="435"/>
      <c r="GP14" s="435"/>
      <c r="GQ14" s="435"/>
      <c r="GR14" s="435"/>
      <c r="GS14" s="435"/>
      <c r="GT14" s="435"/>
      <c r="GU14" s="435"/>
      <c r="GV14" s="435"/>
      <c r="GW14" s="435"/>
      <c r="GX14" s="435"/>
      <c r="GY14" s="435"/>
      <c r="GZ14" s="435"/>
      <c r="HA14" s="435"/>
      <c r="HB14" s="435"/>
      <c r="HC14" s="435"/>
      <c r="HD14" s="435"/>
      <c r="HE14" s="435"/>
      <c r="HF14" s="435"/>
      <c r="HG14" s="435"/>
      <c r="HH14" s="435"/>
      <c r="HI14" s="435"/>
      <c r="HJ14" s="435"/>
      <c r="HK14" s="435"/>
      <c r="HL14" s="435"/>
      <c r="HM14" s="435"/>
      <c r="HN14" s="435"/>
      <c r="HO14" s="435"/>
      <c r="HP14" s="435"/>
      <c r="HQ14" s="435"/>
      <c r="HR14" s="435"/>
      <c r="HS14" s="435"/>
      <c r="HT14" s="435"/>
      <c r="HU14" s="435"/>
      <c r="HV14" s="435"/>
      <c r="HW14" s="435"/>
      <c r="HX14" s="435"/>
      <c r="HY14" s="435"/>
      <c r="HZ14" s="435"/>
      <c r="IA14" s="435"/>
      <c r="IB14" s="435"/>
      <c r="IC14" s="435"/>
      <c r="ID14" s="435"/>
      <c r="IE14" s="435"/>
      <c r="IF14" s="435"/>
      <c r="IG14" s="435"/>
      <c r="IH14" s="435"/>
      <c r="II14" s="435"/>
      <c r="IJ14" s="435"/>
      <c r="IK14" s="435"/>
      <c r="IL14" s="435"/>
      <c r="IM14" s="435"/>
      <c r="IN14" s="435"/>
      <c r="IO14" s="435"/>
      <c r="IP14" s="435"/>
      <c r="IQ14" s="435"/>
      <c r="IR14" s="435"/>
      <c r="IS14" s="435"/>
      <c r="IT14" s="435"/>
      <c r="IU14" s="435"/>
      <c r="IV14" s="435"/>
    </row>
    <row r="15" spans="1:256" ht="18.75" thickBot="1">
      <c r="A15" s="446"/>
      <c r="B15" s="447"/>
      <c r="C15" s="447"/>
      <c r="D15" s="388" t="s">
        <v>729</v>
      </c>
      <c r="E15" s="448" t="s">
        <v>729</v>
      </c>
      <c r="F15" s="449">
        <f>SUM(F5:F14)</f>
        <v>14</v>
      </c>
      <c r="G15" s="449">
        <f>SUM(G5:G14)</f>
        <v>0</v>
      </c>
      <c r="H15" s="449">
        <f>SUM(H5:H14)</f>
        <v>0</v>
      </c>
      <c r="I15" s="445"/>
      <c r="J15" s="1009"/>
    </row>
    <row r="19" spans="1:1">
      <c r="A19" s="1005" t="str">
        <f>Calculation!$C$86</f>
        <v>Project Teams are to refer to the Green Star SA Office v1 Technical Manual for explicit credit criteria and documentation requirements.</v>
      </c>
    </row>
    <row r="20" spans="1:1">
      <c r="A20" s="1005" t="str">
        <f>Calculation!$C$87</f>
        <v>The Green Star Technical Clarifications (TC) and Credit Interpretation Request (CIR) rulings provide an essential source of information to all</v>
      </c>
    </row>
    <row r="21" spans="1:1">
      <c r="A21" s="1005" t="str">
        <f>Calculation!$C$88</f>
        <v>projects undertaking Green Star assessment. They are available on the GBCSA website http://www.gbcsa.org.za . Technical Clarifications</v>
      </c>
    </row>
    <row r="22" spans="1:1">
      <c r="A22" s="1005" t="str">
        <f>Calculation!$C$89</f>
        <v xml:space="preserve">often represent the GBCSA answers to technical queries and complement Green Star SA Technical Manuals. They do not amend but clarify </v>
      </c>
    </row>
    <row r="23" spans="1:1">
      <c r="A23" s="1005" t="str">
        <f>Calculation!$C$90</f>
        <v xml:space="preserve">Credit Criteria or Compliance Requirements. They are an extension of the Technical Manual; it is the responsibility of the project teams to stay </v>
      </c>
    </row>
    <row r="24" spans="1:1">
      <c r="A24" s="1005" t="str">
        <f>Calculation!$C$91</f>
        <v xml:space="preserve">up-to-date with this section of the GBCSA website. The CIR rulings offer alternative compliance options whenever those have been deemed </v>
      </c>
    </row>
    <row r="25" spans="1:1">
      <c r="A25" s="1005" t="str">
        <f>Calculation!$C$92</f>
        <v>equivalent in meeting the Aim of Credit.</v>
      </c>
    </row>
    <row r="26" spans="1:1">
      <c r="A26" s="1005"/>
    </row>
  </sheetData>
  <sheetProtection password="AD9B" sheet="1" objects="1" scenarios="1"/>
  <mergeCells count="9">
    <mergeCell ref="A11:A12"/>
    <mergeCell ref="B11:B12"/>
    <mergeCell ref="C11:C12"/>
    <mergeCell ref="I11:I12"/>
    <mergeCell ref="E6:E7"/>
    <mergeCell ref="I6:I7"/>
    <mergeCell ref="A6:A7"/>
    <mergeCell ref="B6:B7"/>
    <mergeCell ref="C6:C7"/>
  </mergeCells>
  <phoneticPr fontId="0"/>
  <printOptions horizontalCentered="1"/>
  <pageMargins left="0.59055118110236227" right="0.59055118110236227" top="0.47244094488188981" bottom="0.47244094488188981" header="0.23622047244094491" footer="0.35433070866141736"/>
  <pageSetup paperSize="9" scale="65" fitToHeight="2" orientation="landscape" blackAndWhite="1" horizontalDpi="300" verticalDpi="300" r:id="rId1"/>
  <headerFooter alignWithMargins="0">
    <oddHeader>&amp;LGreen Building Council of South Africa&amp;R&amp;T  &amp;D</oddHeader>
    <oddFooter>&amp;L&amp;F&amp;CPage &amp;P of &amp;N&amp;RCategory: &amp;A</oddFooter>
  </headerFooter>
  <cellWatches>
    <cellWatch r="F6"/>
  </cellWatche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Button 1">
              <controlPr defaultSize="0" print="0" autoFill="0" autoPict="0" macro="[0]!GoToCreditSummary">
                <anchor moveWithCells="1" sizeWithCells="1">
                  <from>
                    <xdr:col>6</xdr:col>
                    <xdr:colOff>0</xdr:colOff>
                    <xdr:row>15</xdr:row>
                    <xdr:rowOff>104775</xdr:rowOff>
                  </from>
                  <to>
                    <xdr:col>8</xdr:col>
                    <xdr:colOff>9525</xdr:colOff>
                    <xdr:row>17</xdr:row>
                    <xdr:rowOff>57150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37"/>
  <sheetViews>
    <sheetView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A4" sqref="A4"/>
    </sheetView>
  </sheetViews>
  <sheetFormatPr defaultColWidth="7.875" defaultRowHeight="12.75"/>
  <cols>
    <col min="1" max="1" width="7.25" style="372" customWidth="1"/>
    <col min="2" max="2" width="15.125" style="372" customWidth="1"/>
    <col min="3" max="3" width="25.625" style="372" customWidth="1"/>
    <col min="4" max="4" width="64.875" style="372" customWidth="1"/>
    <col min="5" max="5" width="20.625" style="372" hidden="1" customWidth="1"/>
    <col min="6" max="8" width="12.625" style="439" customWidth="1"/>
    <col min="9" max="9" width="31" style="372" customWidth="1"/>
    <col min="10" max="10" width="10.875" style="372" customWidth="1"/>
    <col min="11" max="12" width="8.875" style="372" customWidth="1"/>
    <col min="13" max="16384" width="7.875" style="372"/>
  </cols>
  <sheetData>
    <row r="1" spans="1:13" ht="24" customHeight="1" thickBot="1">
      <c r="A1" s="995" t="str">
        <f>Calculation!N31</f>
        <v>Green Star SA - Office Design v1</v>
      </c>
      <c r="D1" s="1010"/>
      <c r="E1" s="1010"/>
      <c r="G1" s="997" t="s">
        <v>483</v>
      </c>
      <c r="H1" s="998">
        <f>'Credit Summary'!J34</f>
        <v>0.15</v>
      </c>
      <c r="I1" s="999" t="s">
        <v>484</v>
      </c>
      <c r="J1" s="1000"/>
    </row>
    <row r="2" spans="1:13" ht="30" customHeight="1" thickBot="1">
      <c r="A2" s="371" t="s">
        <v>90</v>
      </c>
      <c r="D2" s="996" t="s">
        <v>485</v>
      </c>
      <c r="F2" s="1002">
        <f>F26</f>
        <v>28</v>
      </c>
      <c r="G2" s="1003">
        <f>G26</f>
        <v>0</v>
      </c>
      <c r="H2" s="1002">
        <f>H26</f>
        <v>0</v>
      </c>
      <c r="I2" s="1004">
        <f>'Credit Summary'!K34</f>
        <v>0</v>
      </c>
      <c r="J2" s="1000"/>
    </row>
    <row r="3" spans="1:13" ht="19.5" customHeight="1" thickBot="1">
      <c r="A3" s="1011" t="s">
        <v>1217</v>
      </c>
      <c r="B3" s="1012"/>
      <c r="C3" s="1013" t="str">
        <f>IF('Building Input'!$C$5=0,"",'Building Input'!$C$5)</f>
        <v/>
      </c>
      <c r="G3" s="1132" t="str">
        <f>IF(OR((J3=Calculation!$D$97),(J3=Calculation!$D$98),((G2+H2)&gt;F2)),Calculation!$D$99,"")</f>
        <v/>
      </c>
      <c r="I3" s="1001"/>
      <c r="J3" s="1008" t="str">
        <f>T(J5:J25)</f>
        <v/>
      </c>
    </row>
    <row r="4" spans="1:13" s="384" customFormat="1" ht="33" customHeight="1" thickBot="1">
      <c r="A4" s="442" t="s">
        <v>1219</v>
      </c>
      <c r="B4" s="443" t="s">
        <v>1220</v>
      </c>
      <c r="C4" s="443" t="s">
        <v>1221</v>
      </c>
      <c r="D4" s="443" t="s">
        <v>489</v>
      </c>
      <c r="E4" s="444" t="s">
        <v>64</v>
      </c>
      <c r="F4" s="444" t="s">
        <v>490</v>
      </c>
      <c r="G4" s="444" t="s">
        <v>518</v>
      </c>
      <c r="H4" s="444" t="s">
        <v>519</v>
      </c>
      <c r="I4" s="445" t="s">
        <v>520</v>
      </c>
    </row>
    <row r="5" spans="1:13" s="384" customFormat="1" ht="249" customHeight="1">
      <c r="A5" s="263" t="s">
        <v>1034</v>
      </c>
      <c r="B5" s="452" t="s">
        <v>501</v>
      </c>
      <c r="C5" s="452" t="s">
        <v>1679</v>
      </c>
      <c r="D5" s="361" t="s">
        <v>395</v>
      </c>
      <c r="E5" s="264"/>
      <c r="F5" s="1121">
        <v>3</v>
      </c>
      <c r="G5" s="237"/>
      <c r="H5" s="237"/>
      <c r="I5" s="2027"/>
      <c r="J5" s="1009" t="str">
        <f>IF(OR(ISTEXT(G5)=TRUE,ISTEXT(H5)=TRUE),Calculation!$D$100,IF(G5+H5&gt;F5,Calculation!$D$97,""))</f>
        <v/>
      </c>
      <c r="K5" s="436"/>
      <c r="L5" s="437"/>
      <c r="M5" s="726"/>
    </row>
    <row r="6" spans="1:13" s="384" customFormat="1" ht="218.25" customHeight="1">
      <c r="A6" s="2175" t="s">
        <v>1035</v>
      </c>
      <c r="B6" s="2181" t="s">
        <v>502</v>
      </c>
      <c r="C6" s="2181" t="s">
        <v>1586</v>
      </c>
      <c r="D6" s="362" t="s">
        <v>779</v>
      </c>
      <c r="E6" s="231"/>
      <c r="F6" s="2177">
        <v>2</v>
      </c>
      <c r="G6" s="2167"/>
      <c r="H6" s="2167"/>
      <c r="I6" s="2170"/>
      <c r="J6" s="2172" t="s">
        <v>1050</v>
      </c>
      <c r="K6" s="436"/>
      <c r="L6" s="437"/>
      <c r="M6" s="726"/>
    </row>
    <row r="7" spans="1:13" s="384" customFormat="1" ht="132" customHeight="1">
      <c r="A7" s="2180"/>
      <c r="B7" s="2183"/>
      <c r="C7" s="2183"/>
      <c r="D7" s="368" t="s">
        <v>681</v>
      </c>
      <c r="E7" s="231"/>
      <c r="F7" s="2178"/>
      <c r="G7" s="2168"/>
      <c r="H7" s="2168"/>
      <c r="I7" s="2171"/>
      <c r="J7" s="2172"/>
      <c r="K7" s="436"/>
      <c r="L7" s="437"/>
      <c r="M7" s="726"/>
    </row>
    <row r="8" spans="1:13" s="384" customFormat="1" ht="255.75" customHeight="1">
      <c r="A8" s="241" t="s">
        <v>1036</v>
      </c>
      <c r="B8" s="230" t="s">
        <v>1154</v>
      </c>
      <c r="C8" s="230" t="s">
        <v>682</v>
      </c>
      <c r="D8" s="229" t="s">
        <v>1365</v>
      </c>
      <c r="E8" s="230"/>
      <c r="F8" s="1123">
        <v>1</v>
      </c>
      <c r="G8" s="228"/>
      <c r="H8" s="228"/>
      <c r="I8" s="2028"/>
      <c r="J8" s="1009" t="str">
        <f>IF(OR(ISTEXT(G8)=TRUE,ISTEXT(H8)=TRUE),Calculation!$D$100,IF(G8+H8&gt;F8,Calculation!$D$97,""))</f>
        <v/>
      </c>
      <c r="K8" s="436"/>
      <c r="L8" s="437"/>
      <c r="M8" s="726"/>
    </row>
    <row r="9" spans="1:13" s="384" customFormat="1" ht="146.25" customHeight="1">
      <c r="A9" s="241" t="s">
        <v>1037</v>
      </c>
      <c r="B9" s="230" t="s">
        <v>1155</v>
      </c>
      <c r="C9" s="230" t="s">
        <v>799</v>
      </c>
      <c r="D9" s="230" t="s">
        <v>1366</v>
      </c>
      <c r="E9" s="230"/>
      <c r="F9" s="1123">
        <v>3</v>
      </c>
      <c r="G9" s="228"/>
      <c r="H9" s="228"/>
      <c r="I9" s="2028"/>
      <c r="J9" s="1009" t="str">
        <f>IF(OR(ISTEXT(G9)=TRUE,ISTEXT(H9)=TRUE),Calculation!$D$100,IF(G9+H9&gt;F9,Calculation!$D$97,""))</f>
        <v/>
      </c>
      <c r="K9" s="436"/>
      <c r="L9" s="437"/>
      <c r="M9" s="726"/>
    </row>
    <row r="10" spans="1:13" s="384" customFormat="1" ht="207" customHeight="1">
      <c r="A10" s="241" t="s">
        <v>1038</v>
      </c>
      <c r="B10" s="230" t="s">
        <v>61</v>
      </c>
      <c r="C10" s="230" t="s">
        <v>1156</v>
      </c>
      <c r="D10" s="230" t="s">
        <v>1026</v>
      </c>
      <c r="E10" s="230"/>
      <c r="F10" s="1123">
        <v>1</v>
      </c>
      <c r="G10" s="228"/>
      <c r="H10" s="228"/>
      <c r="I10" s="2028"/>
      <c r="J10" s="1009" t="str">
        <f>IF(OR(ISTEXT(G10)=TRUE,ISTEXT(H10)=TRUE),Calculation!$D$100,IF(G10+H10&gt;F10,Calculation!$D$97,""))</f>
        <v/>
      </c>
      <c r="K10" s="436"/>
      <c r="L10" s="437"/>
      <c r="M10" s="726"/>
    </row>
    <row r="11" spans="1:13" s="384" customFormat="1" ht="82.5" customHeight="1">
      <c r="A11" s="241" t="s">
        <v>1039</v>
      </c>
      <c r="B11" s="230" t="s">
        <v>62</v>
      </c>
      <c r="C11" s="230" t="s">
        <v>813</v>
      </c>
      <c r="D11" s="229" t="s">
        <v>1027</v>
      </c>
      <c r="E11" s="230"/>
      <c r="F11" s="1123">
        <v>1</v>
      </c>
      <c r="G11" s="228"/>
      <c r="H11" s="228"/>
      <c r="I11" s="2028"/>
      <c r="J11" s="1009" t="str">
        <f>IF(OR(ISTEXT(G11)=TRUE,ISTEXT(H11)=TRUE),Calculation!$D$100,IF(G11+H11&gt;F11,Calculation!$D$97,""))</f>
        <v/>
      </c>
      <c r="K11" s="436"/>
      <c r="L11" s="437"/>
      <c r="M11" s="726"/>
    </row>
    <row r="12" spans="1:13" s="384" customFormat="1" ht="68.25" customHeight="1">
      <c r="A12" s="241" t="s">
        <v>1040</v>
      </c>
      <c r="B12" s="230" t="s">
        <v>381</v>
      </c>
      <c r="C12" s="230" t="s">
        <v>753</v>
      </c>
      <c r="D12" s="230" t="s">
        <v>1028</v>
      </c>
      <c r="E12" s="231"/>
      <c r="F12" s="1123">
        <v>1</v>
      </c>
      <c r="G12" s="228"/>
      <c r="H12" s="228"/>
      <c r="I12" s="2028"/>
      <c r="J12" s="1009" t="str">
        <f>IF(OR(ISTEXT(G12)=TRUE,ISTEXT(H12)=TRUE),Calculation!$D$100,IF(G12+H12&gt;F12,Calculation!$D$97,""))</f>
        <v/>
      </c>
      <c r="K12" s="436"/>
      <c r="L12" s="437"/>
      <c r="M12" s="726"/>
    </row>
    <row r="13" spans="1:13" s="384" customFormat="1" ht="84" customHeight="1">
      <c r="A13" s="241" t="s">
        <v>1041</v>
      </c>
      <c r="B13" s="230" t="s">
        <v>382</v>
      </c>
      <c r="C13" s="230" t="s">
        <v>1029</v>
      </c>
      <c r="D13" s="230" t="s">
        <v>1587</v>
      </c>
      <c r="E13" s="231"/>
      <c r="F13" s="1123">
        <v>2</v>
      </c>
      <c r="G13" s="228"/>
      <c r="H13" s="228"/>
      <c r="I13" s="2028"/>
      <c r="J13" s="1009" t="str">
        <f>IF(OR(ISTEXT(G13)=TRUE,ISTEXT(H13)=TRUE),Calculation!$D$100,IF(G13+H13&gt;F13,Calculation!$D$97,""))</f>
        <v/>
      </c>
      <c r="K13" s="436"/>
      <c r="L13" s="437"/>
      <c r="M13" s="726"/>
    </row>
    <row r="14" spans="1:13" s="384" customFormat="1" ht="220.5" customHeight="1">
      <c r="A14" s="2175" t="s">
        <v>1042</v>
      </c>
      <c r="B14" s="2181" t="s">
        <v>383</v>
      </c>
      <c r="C14" s="2181" t="s">
        <v>684</v>
      </c>
      <c r="D14" s="362" t="s">
        <v>379</v>
      </c>
      <c r="E14" s="235"/>
      <c r="F14" s="2177">
        <v>2</v>
      </c>
      <c r="G14" s="2167"/>
      <c r="H14" s="2167"/>
      <c r="I14" s="2170"/>
      <c r="J14" s="2174" t="s">
        <v>1050</v>
      </c>
      <c r="K14" s="436"/>
      <c r="L14" s="437"/>
      <c r="M14" s="726"/>
    </row>
    <row r="15" spans="1:13" s="384" customFormat="1" ht="90.75" customHeight="1">
      <c r="A15" s="2176"/>
      <c r="B15" s="2184"/>
      <c r="C15" s="2184"/>
      <c r="D15" s="368" t="s">
        <v>380</v>
      </c>
      <c r="E15" s="264"/>
      <c r="F15" s="2185"/>
      <c r="G15" s="2169"/>
      <c r="H15" s="2169"/>
      <c r="I15" s="2173"/>
      <c r="J15" s="2174"/>
      <c r="K15" s="436"/>
      <c r="L15" s="437"/>
      <c r="M15" s="726"/>
    </row>
    <row r="16" spans="1:13" s="384" customFormat="1" ht="277.5" customHeight="1">
      <c r="A16" s="241" t="s">
        <v>1043</v>
      </c>
      <c r="B16" s="230" t="s">
        <v>861</v>
      </c>
      <c r="C16" s="230" t="s">
        <v>386</v>
      </c>
      <c r="D16" s="230" t="s">
        <v>1476</v>
      </c>
      <c r="E16" s="231"/>
      <c r="F16" s="1123">
        <v>2</v>
      </c>
      <c r="G16" s="228"/>
      <c r="H16" s="228"/>
      <c r="I16" s="2028"/>
      <c r="J16" s="1009" t="str">
        <f>IF(OR(ISTEXT(G16)=TRUE,ISTEXT(H16)=TRUE),Calculation!$D$100,IF(G16+H16&gt;F16,Calculation!$D$97,""))</f>
        <v/>
      </c>
      <c r="K16" s="436"/>
      <c r="L16" s="437"/>
      <c r="M16" s="726"/>
    </row>
    <row r="17" spans="1:13" s="384" customFormat="1" ht="165.75">
      <c r="A17" s="241" t="s">
        <v>500</v>
      </c>
      <c r="B17" s="230" t="s">
        <v>862</v>
      </c>
      <c r="C17" s="230" t="s">
        <v>517</v>
      </c>
      <c r="D17" s="229" t="s">
        <v>37</v>
      </c>
      <c r="E17" s="231"/>
      <c r="F17" s="1123">
        <f>IF(G17="na",0,1)</f>
        <v>1</v>
      </c>
      <c r="G17" s="228"/>
      <c r="H17" s="228"/>
      <c r="I17" s="2028"/>
      <c r="J17" s="1009" t="str">
        <f>IF(ISBLANK(G17),IF(H17&gt;F17,Calculation!$D$97,""),IF(G17="na","",IF(OR(G17="na",ISNUMBER(G17)),IF(G17+H17&gt;F17,Calculation!$D$97,""),Calculation!$D$98)))</f>
        <v/>
      </c>
      <c r="K17" s="436"/>
      <c r="L17" s="437"/>
      <c r="M17" s="726"/>
    </row>
    <row r="18" spans="1:13" s="384" customFormat="1" ht="203.25" customHeight="1">
      <c r="A18" s="241" t="s">
        <v>1044</v>
      </c>
      <c r="B18" s="230" t="s">
        <v>863</v>
      </c>
      <c r="C18" s="230" t="s">
        <v>740</v>
      </c>
      <c r="D18" s="230" t="s">
        <v>1454</v>
      </c>
      <c r="E18" s="231"/>
      <c r="F18" s="1123">
        <v>2</v>
      </c>
      <c r="G18" s="228"/>
      <c r="H18" s="228"/>
      <c r="I18" s="2028"/>
      <c r="J18" s="1009" t="str">
        <f>IF(OR(ISTEXT(G18)=TRUE,ISTEXT(H18)=TRUE),Calculation!$D$100,IF(G18+H18&gt;F18,Calculation!$D$97,""))</f>
        <v/>
      </c>
      <c r="K18" s="436"/>
      <c r="L18" s="437"/>
      <c r="M18" s="726"/>
    </row>
    <row r="19" spans="1:13" s="384" customFormat="1" ht="90" customHeight="1">
      <c r="A19" s="2175" t="s">
        <v>1045</v>
      </c>
      <c r="B19" s="2181" t="s">
        <v>676</v>
      </c>
      <c r="C19" s="2181" t="s">
        <v>1455</v>
      </c>
      <c r="D19" s="230" t="s">
        <v>392</v>
      </c>
      <c r="E19" s="231"/>
      <c r="F19" s="1123">
        <v>1</v>
      </c>
      <c r="G19" s="228"/>
      <c r="H19" s="228"/>
      <c r="I19" s="2028"/>
      <c r="J19" s="1009" t="str">
        <f>IF(OR(ISTEXT(G19)=TRUE,ISTEXT(H19)=TRUE),Calculation!$D$100,IF(G19+H19&gt;F19,Calculation!$D$97,""))</f>
        <v/>
      </c>
      <c r="K19" s="436"/>
      <c r="L19" s="437"/>
      <c r="M19" s="726"/>
    </row>
    <row r="20" spans="1:13" s="384" customFormat="1" ht="61.5" customHeight="1">
      <c r="A20" s="2179"/>
      <c r="B20" s="2182"/>
      <c r="C20" s="2182"/>
      <c r="D20" s="278" t="s">
        <v>393</v>
      </c>
      <c r="E20" s="231"/>
      <c r="F20" s="1123">
        <v>1</v>
      </c>
      <c r="G20" s="228"/>
      <c r="H20" s="228"/>
      <c r="I20" s="2028"/>
      <c r="J20" s="1009" t="str">
        <f>IF(OR(ISTEXT(G20)=TRUE,ISTEXT(H20)=TRUE),Calculation!$D$100,IF(G20+H20&gt;F20,Calculation!$D$97,""))</f>
        <v/>
      </c>
      <c r="K20" s="436"/>
      <c r="L20" s="437"/>
      <c r="M20" s="726"/>
    </row>
    <row r="21" spans="1:13" s="384" customFormat="1" ht="154.5" customHeight="1">
      <c r="A21" s="2180"/>
      <c r="B21" s="2183"/>
      <c r="C21" s="2183"/>
      <c r="D21" s="278" t="s">
        <v>394</v>
      </c>
      <c r="E21" s="231"/>
      <c r="F21" s="1123">
        <f>IF(G21="na",0,1)</f>
        <v>1</v>
      </c>
      <c r="G21" s="228"/>
      <c r="H21" s="228"/>
      <c r="I21" s="2028"/>
      <c r="J21" s="1009" t="str">
        <f>IF(ISBLANK(G21),IF(H21&gt;F21,Calculation!$D$97,""),IF(G21="na","",IF(OR(G21="na",ISNUMBER(G21)),IF(G21+H21&gt;F21,Calculation!$D$97,""),Calculation!$D$98)))</f>
        <v/>
      </c>
      <c r="K21" s="436"/>
      <c r="L21" s="437"/>
      <c r="M21" s="726"/>
    </row>
    <row r="22" spans="1:13" s="384" customFormat="1" ht="129" customHeight="1">
      <c r="A22" s="241" t="s">
        <v>1046</v>
      </c>
      <c r="B22" s="1019" t="s">
        <v>677</v>
      </c>
      <c r="C22" s="230" t="s">
        <v>1386</v>
      </c>
      <c r="D22" s="229" t="s">
        <v>566</v>
      </c>
      <c r="E22" s="231"/>
      <c r="F22" s="1123">
        <f>IF(G22="na",0,1)</f>
        <v>1</v>
      </c>
      <c r="G22" s="228"/>
      <c r="H22" s="228"/>
      <c r="I22" s="2028"/>
      <c r="J22" s="1009" t="str">
        <f>IF(ISBLANK(G22),IF(H22&gt;F22,Calculation!$D$97,""),IF(G22="na","",IF(OR(G22="na",ISNUMBER(G22)),IF(G22+H22&gt;F22,Calculation!$D$97,""),Calculation!$D$98)))</f>
        <v/>
      </c>
      <c r="K22" s="436"/>
      <c r="L22" s="437"/>
      <c r="M22" s="726"/>
    </row>
    <row r="23" spans="1:13" s="384" customFormat="1" ht="83.25" customHeight="1">
      <c r="A23" s="241" t="s">
        <v>1047</v>
      </c>
      <c r="B23" s="1019" t="s">
        <v>678</v>
      </c>
      <c r="C23" s="230" t="s">
        <v>823</v>
      </c>
      <c r="D23" s="363" t="s">
        <v>975</v>
      </c>
      <c r="E23" s="231"/>
      <c r="F23" s="1123">
        <v>1</v>
      </c>
      <c r="G23" s="228"/>
      <c r="H23" s="228"/>
      <c r="I23" s="2028"/>
      <c r="J23" s="1009" t="str">
        <f>IF(OR(ISTEXT(G23)=TRUE,ISTEXT(H23)=TRUE),Calculation!$D$100,IF(G23+H23&gt;F23,Calculation!$D$97,""))</f>
        <v/>
      </c>
      <c r="K23" s="436"/>
      <c r="L23" s="437"/>
      <c r="M23" s="726"/>
    </row>
    <row r="24" spans="1:13" ht="152.25" customHeight="1">
      <c r="A24" s="241" t="s">
        <v>1048</v>
      </c>
      <c r="B24" s="1019" t="s">
        <v>679</v>
      </c>
      <c r="C24" s="230" t="s">
        <v>567</v>
      </c>
      <c r="D24" s="230" t="s">
        <v>1347</v>
      </c>
      <c r="E24" s="231"/>
      <c r="F24" s="1123">
        <v>1</v>
      </c>
      <c r="G24" s="228"/>
      <c r="H24" s="228"/>
      <c r="I24" s="2028"/>
      <c r="J24" s="1009" t="str">
        <f>IF(OR(ISTEXT(G24)=TRUE,ISTEXT(H24)=TRUE),Calculation!$D$100,IF(G24+H24&gt;F24,Calculation!$D$97,""))</f>
        <v/>
      </c>
    </row>
    <row r="25" spans="1:13" ht="82.5" customHeight="1" thickBot="1">
      <c r="A25" s="247" t="s">
        <v>1049</v>
      </c>
      <c r="B25" s="1124" t="s">
        <v>667</v>
      </c>
      <c r="C25" s="234" t="s">
        <v>49</v>
      </c>
      <c r="D25" s="341" t="s">
        <v>683</v>
      </c>
      <c r="E25" s="235"/>
      <c r="F25" s="1122">
        <v>1</v>
      </c>
      <c r="G25" s="236"/>
      <c r="H25" s="236"/>
      <c r="I25" s="2031"/>
      <c r="J25" s="1009" t="str">
        <f>IF(OR(ISTEXT(G25)=TRUE,ISTEXT(H25)=TRUE),Calculation!$D$100,IF(G25+H25&gt;F25,Calculation!$D$97,""))</f>
        <v/>
      </c>
    </row>
    <row r="26" spans="1:13" ht="18.75" thickBot="1">
      <c r="A26" s="451"/>
      <c r="B26" s="447"/>
      <c r="C26" s="447"/>
      <c r="D26" s="388" t="s">
        <v>729</v>
      </c>
      <c r="E26" s="448" t="s">
        <v>729</v>
      </c>
      <c r="F26" s="449">
        <f>SUM(F5:F25)</f>
        <v>28</v>
      </c>
      <c r="G26" s="449">
        <f>SUM(G5:G25)</f>
        <v>0</v>
      </c>
      <c r="H26" s="449">
        <f>SUM(H5:H25)</f>
        <v>0</v>
      </c>
      <c r="I26" s="445"/>
      <c r="J26" s="450"/>
    </row>
    <row r="30" spans="1:13">
      <c r="A30" s="1005" t="str">
        <f>Calculation!$C$86</f>
        <v>Project Teams are to refer to the Green Star SA Office v1 Technical Manual for explicit credit criteria and documentation requirements.</v>
      </c>
    </row>
    <row r="31" spans="1:13">
      <c r="A31" s="1005" t="str">
        <f>Calculation!$C$87</f>
        <v>The Green Star Technical Clarifications (TC) and Credit Interpretation Request (CIR) rulings provide an essential source of information to all</v>
      </c>
    </row>
    <row r="32" spans="1:13">
      <c r="A32" s="1005" t="str">
        <f>Calculation!$C$88</f>
        <v>projects undertaking Green Star assessment. They are available on the GBCSA website http://www.gbcsa.org.za . Technical Clarifications</v>
      </c>
    </row>
    <row r="33" spans="1:1">
      <c r="A33" s="1005" t="str">
        <f>Calculation!$C$89</f>
        <v xml:space="preserve">often represent the GBCSA answers to technical queries and complement Green Star SA Technical Manuals. They do not amend but clarify </v>
      </c>
    </row>
    <row r="34" spans="1:1">
      <c r="A34" s="1005" t="str">
        <f>Calculation!$C$90</f>
        <v xml:space="preserve">Credit Criteria or Compliance Requirements. They are an extension of the Technical Manual; it is the responsibility of the project teams to stay </v>
      </c>
    </row>
    <row r="35" spans="1:1">
      <c r="A35" s="1005" t="str">
        <f>Calculation!$C$91</f>
        <v xml:space="preserve">up-to-date with this section of the GBCSA website. The CIR rulings offer alternative compliance options whenever those have been deemed </v>
      </c>
    </row>
    <row r="36" spans="1:1">
      <c r="A36" s="1005" t="str">
        <f>Calculation!$C$92</f>
        <v>equivalent in meeting the Aim of Credit.</v>
      </c>
    </row>
    <row r="37" spans="1:1">
      <c r="A37" s="1005"/>
    </row>
  </sheetData>
  <sheetProtection password="AD9B" sheet="1" objects="1" scenarios="1"/>
  <mergeCells count="19">
    <mergeCell ref="A14:A15"/>
    <mergeCell ref="F6:F7"/>
    <mergeCell ref="A19:A21"/>
    <mergeCell ref="B19:B21"/>
    <mergeCell ref="C19:C21"/>
    <mergeCell ref="A6:A7"/>
    <mergeCell ref="B6:B7"/>
    <mergeCell ref="C6:C7"/>
    <mergeCell ref="B14:B15"/>
    <mergeCell ref="C14:C15"/>
    <mergeCell ref="F14:F15"/>
    <mergeCell ref="G6:G7"/>
    <mergeCell ref="H6:H7"/>
    <mergeCell ref="G14:G15"/>
    <mergeCell ref="I6:I7"/>
    <mergeCell ref="J6:J7"/>
    <mergeCell ref="I14:I15"/>
    <mergeCell ref="H14:H15"/>
    <mergeCell ref="J14:J15"/>
  </mergeCells>
  <phoneticPr fontId="0"/>
  <printOptions horizontalCentered="1"/>
  <pageMargins left="0.59055118110236227" right="0.59055118110236227" top="0.47244094488188981" bottom="0.47244094488188981" header="0.23622047244094491" footer="0.35433070866141736"/>
  <pageSetup paperSize="9" scale="65" fitToHeight="5" orientation="landscape" blackAndWhite="1" r:id="rId1"/>
  <headerFooter alignWithMargins="0">
    <oddHeader>&amp;LGreen Building Council of South Africa&amp;R&amp;T   &amp;D</oddHeader>
    <oddFooter>&amp;L&amp;F&amp;CPage &amp;P of &amp;N&amp;RCategory: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Button 1">
              <controlPr defaultSize="0" print="0" autoFill="0" autoPict="0" macro="[0]!GoToCreditSummary">
                <anchor moveWithCells="1" sizeWithCells="1">
                  <from>
                    <xdr:col>6</xdr:col>
                    <xdr:colOff>9525</xdr:colOff>
                    <xdr:row>26</xdr:row>
                    <xdr:rowOff>104775</xdr:rowOff>
                  </from>
                  <to>
                    <xdr:col>8</xdr:col>
                    <xdr:colOff>19050</xdr:colOff>
                    <xdr:row>28</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M26"/>
  <sheetViews>
    <sheetView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A4" sqref="A4"/>
    </sheetView>
  </sheetViews>
  <sheetFormatPr defaultColWidth="7.875" defaultRowHeight="12.75"/>
  <cols>
    <col min="1" max="1" width="7.25" style="377" customWidth="1"/>
    <col min="2" max="2" width="15.125" style="377" customWidth="1"/>
    <col min="3" max="3" width="25.625" style="377" customWidth="1"/>
    <col min="4" max="4" width="64.875" style="377" customWidth="1"/>
    <col min="5" max="5" width="20.625" style="377" hidden="1" customWidth="1"/>
    <col min="6" max="8" width="12.625" style="383" customWidth="1"/>
    <col min="9" max="9" width="31" style="377" customWidth="1"/>
    <col min="10" max="10" width="10.875" style="377" customWidth="1"/>
    <col min="11" max="12" width="8.875" style="377" customWidth="1"/>
    <col min="13" max="16384" width="7.875" style="377"/>
  </cols>
  <sheetData>
    <row r="1" spans="1:13" ht="24" customHeight="1" thickBot="1">
      <c r="A1" s="995" t="str">
        <f>Calculation!N31</f>
        <v>Green Star SA - Office Design v1</v>
      </c>
      <c r="D1" s="1010"/>
      <c r="E1" s="1010"/>
      <c r="F1" s="439"/>
      <c r="G1" s="997" t="s">
        <v>483</v>
      </c>
      <c r="H1" s="998">
        <f>'Credit Summary'!J43</f>
        <v>0.25</v>
      </c>
      <c r="I1" s="999" t="s">
        <v>484</v>
      </c>
      <c r="J1" s="1000"/>
    </row>
    <row r="2" spans="1:13" s="372" customFormat="1" ht="30" customHeight="1" thickBot="1">
      <c r="A2" s="371" t="s">
        <v>91</v>
      </c>
      <c r="D2" s="996" t="s">
        <v>485</v>
      </c>
      <c r="F2" s="1002">
        <f>F14</f>
        <v>30</v>
      </c>
      <c r="G2" s="1003">
        <f>G14</f>
        <v>0</v>
      </c>
      <c r="H2" s="1002">
        <f>H14</f>
        <v>0</v>
      </c>
      <c r="I2" s="1004">
        <f>'Credit Summary'!K43</f>
        <v>0</v>
      </c>
      <c r="J2" s="1000"/>
    </row>
    <row r="3" spans="1:13" s="372" customFormat="1" ht="19.5" customHeight="1" thickBot="1">
      <c r="A3" s="1011" t="s">
        <v>1217</v>
      </c>
      <c r="B3" s="1012"/>
      <c r="C3" s="1013" t="str">
        <f>IF('Building Input'!$C$5=0,"",'Building Input'!$C$5)</f>
        <v/>
      </c>
      <c r="F3" s="439"/>
      <c r="G3" s="1132" t="str">
        <f>IF(OR((J3=Calculation!$D$97),(J3=Calculation!$D$98),((G2+H2)&gt;F2)),Calculation!$D$99,"")</f>
        <v/>
      </c>
      <c r="H3" s="439"/>
      <c r="I3" s="1001"/>
      <c r="J3" s="1008" t="str">
        <f>T(J5:J13)</f>
        <v/>
      </c>
    </row>
    <row r="4" spans="1:13" ht="33" customHeight="1" thickBot="1">
      <c r="A4" s="392" t="s">
        <v>1219</v>
      </c>
      <c r="B4" s="393" t="s">
        <v>1220</v>
      </c>
      <c r="C4" s="393" t="s">
        <v>1221</v>
      </c>
      <c r="D4" s="393" t="s">
        <v>489</v>
      </c>
      <c r="E4" s="393" t="s">
        <v>64</v>
      </c>
      <c r="F4" s="394" t="s">
        <v>490</v>
      </c>
      <c r="G4" s="394" t="s">
        <v>518</v>
      </c>
      <c r="H4" s="394" t="s">
        <v>519</v>
      </c>
      <c r="I4" s="395" t="s">
        <v>520</v>
      </c>
    </row>
    <row r="5" spans="1:13" ht="243.75" customHeight="1">
      <c r="A5" s="1014" t="s">
        <v>1051</v>
      </c>
      <c r="B5" s="1125" t="s">
        <v>680</v>
      </c>
      <c r="C5" s="1125" t="s">
        <v>826</v>
      </c>
      <c r="D5" s="1015" t="s">
        <v>655</v>
      </c>
      <c r="E5" s="264"/>
      <c r="F5" s="1820" t="s">
        <v>3</v>
      </c>
      <c r="G5" s="2189" t="str">
        <f>IF('Energy Calculator'!I5="Achieved",'Energy Calculator'!X110,'Energy Calculator'!X111)</f>
        <v>NO; Ene- Conditional Requirement NOT achieved</v>
      </c>
      <c r="H5" s="2190"/>
      <c r="I5" s="1959" t="str">
        <f>IF(G5='Energy Calculator'!X110,'Energy Calculator'!X114,'Energy Calculator'!X115)</f>
        <v>Compliance is determined from information entered into the Energy Calculator.  The project team acknowledges that the design does NOT meet the minimum energy efficiency requirements as stipulated in the Green Star SA - Office v1 Technical Manual. This Green Star SA project is therefore NOT eligible for formal certification by the GBCSA. Please refer to the Technical Manual for further information.</v>
      </c>
      <c r="J5" s="1009"/>
      <c r="K5" s="380"/>
      <c r="L5" s="381"/>
      <c r="M5" s="1126"/>
    </row>
    <row r="6" spans="1:13" ht="191.25">
      <c r="A6" s="2165" t="s">
        <v>1052</v>
      </c>
      <c r="B6" s="2197" t="s">
        <v>827</v>
      </c>
      <c r="C6" s="2197" t="s">
        <v>63</v>
      </c>
      <c r="D6" s="364" t="s">
        <v>1165</v>
      </c>
      <c r="E6" s="2188"/>
      <c r="F6" s="2195">
        <v>20</v>
      </c>
      <c r="G6" s="2191">
        <f>IF('Energy Calculator'!I2="-",0,'Energy Calculator'!I2)</f>
        <v>0</v>
      </c>
      <c r="H6" s="2193"/>
      <c r="I6" s="2170"/>
      <c r="J6" s="1009" t="str">
        <f>IF(OR(ISTEXT(G6)=TRUE,ISTEXT(H6)=TRUE),Calculation!$D$100,IF(G6+H6&gt;F6,Calculation!$D$97,""))</f>
        <v/>
      </c>
    </row>
    <row r="7" spans="1:13" ht="55.5" customHeight="1">
      <c r="A7" s="2187"/>
      <c r="B7" s="2198"/>
      <c r="C7" s="2198"/>
      <c r="D7" s="455" t="s">
        <v>1166</v>
      </c>
      <c r="E7" s="2188"/>
      <c r="F7" s="2196"/>
      <c r="G7" s="2192"/>
      <c r="H7" s="2194"/>
      <c r="I7" s="2171"/>
      <c r="J7" s="1009" t="str">
        <f>IF(OR(ISTEXT(G7)=TRUE,ISTEXT(H7)=TRUE),Calculation!$D$100,IF(G7+H7&gt;F7,Calculation!$D$97,""))</f>
        <v/>
      </c>
      <c r="K7" s="380"/>
      <c r="L7" s="381"/>
      <c r="M7" s="1126"/>
    </row>
    <row r="8" spans="1:13" ht="86.25" customHeight="1">
      <c r="A8" s="2165" t="s">
        <v>1053</v>
      </c>
      <c r="B8" s="2197" t="s">
        <v>182</v>
      </c>
      <c r="C8" s="2197" t="s">
        <v>1355</v>
      </c>
      <c r="D8" s="1007" t="s">
        <v>561</v>
      </c>
      <c r="E8" s="2186"/>
      <c r="F8" s="242">
        <v>1</v>
      </c>
      <c r="G8" s="228"/>
      <c r="H8" s="228"/>
      <c r="I8" s="2170"/>
      <c r="J8" s="1009" t="str">
        <f>IF(OR(ISTEXT(G8)=TRUE,ISTEXT(H8)=TRUE),Calculation!$D$100,IF(G8+H8&gt;F8,Calculation!$D$97,""))</f>
        <v/>
      </c>
      <c r="K8" s="380"/>
      <c r="L8" s="381"/>
      <c r="M8" s="1126"/>
    </row>
    <row r="9" spans="1:13" ht="87.75" customHeight="1">
      <c r="A9" s="2165"/>
      <c r="B9" s="2197"/>
      <c r="C9" s="2197"/>
      <c r="D9" s="1007" t="s">
        <v>801</v>
      </c>
      <c r="E9" s="2186"/>
      <c r="F9" s="242">
        <v>1</v>
      </c>
      <c r="G9" s="228"/>
      <c r="H9" s="228"/>
      <c r="I9" s="2171"/>
      <c r="J9" s="1009" t="str">
        <f>IF(OR(ISTEXT(G9)=TRUE,ISTEXT(H9)=TRUE),Calculation!$D$100,IF(G9+H9&gt;F9,Calculation!$D$97,""))</f>
        <v/>
      </c>
      <c r="K9" s="380"/>
      <c r="L9" s="381"/>
      <c r="M9" s="1126"/>
    </row>
    <row r="10" spans="1:13" ht="100.5" customHeight="1">
      <c r="A10" s="1018" t="s">
        <v>1054</v>
      </c>
      <c r="B10" s="1007" t="s">
        <v>828</v>
      </c>
      <c r="C10" s="1007" t="s">
        <v>1356</v>
      </c>
      <c r="D10" s="1007" t="s">
        <v>1348</v>
      </c>
      <c r="E10" s="231"/>
      <c r="F10" s="242">
        <v>4</v>
      </c>
      <c r="G10" s="228"/>
      <c r="H10" s="228"/>
      <c r="I10" s="2028"/>
      <c r="J10" s="1009" t="str">
        <f>IF(OR(ISTEXT(G10)=TRUE,ISTEXT(H10)=TRUE),Calculation!$D$100,IF(G10+H10&gt;F10,Calculation!$D$97,""))</f>
        <v/>
      </c>
      <c r="K10" s="380"/>
      <c r="L10" s="381"/>
      <c r="M10" s="1126"/>
    </row>
    <row r="11" spans="1:13" ht="102">
      <c r="A11" s="2165" t="s">
        <v>1055</v>
      </c>
      <c r="B11" s="2197" t="s">
        <v>829</v>
      </c>
      <c r="C11" s="2197" t="s">
        <v>266</v>
      </c>
      <c r="D11" s="1007" t="s">
        <v>802</v>
      </c>
      <c r="E11" s="2186"/>
      <c r="F11" s="242">
        <v>1</v>
      </c>
      <c r="G11" s="228"/>
      <c r="H11" s="228"/>
      <c r="I11" s="2170"/>
      <c r="J11" s="1009" t="str">
        <f>IF(OR(ISTEXT(G11)=TRUE,ISTEXT(H11)=TRUE),Calculation!$D$100,IF(G11+H11&gt;F11,Calculation!$D$97,""))</f>
        <v/>
      </c>
      <c r="K11" s="380"/>
      <c r="L11" s="381"/>
      <c r="M11" s="1126"/>
    </row>
    <row r="12" spans="1:13" ht="56.25" customHeight="1">
      <c r="A12" s="2165"/>
      <c r="B12" s="2197"/>
      <c r="C12" s="2197"/>
      <c r="D12" s="1007" t="s">
        <v>38</v>
      </c>
      <c r="E12" s="2186"/>
      <c r="F12" s="242">
        <v>1</v>
      </c>
      <c r="G12" s="228"/>
      <c r="H12" s="228"/>
      <c r="I12" s="2171"/>
      <c r="J12" s="1009" t="str">
        <f>IF(OR(ISTEXT(G12)=TRUE,ISTEXT(H12)=TRUE),Calculation!$D$100,IF(G12+H12&gt;F12,Calculation!$D$97,""))</f>
        <v/>
      </c>
      <c r="K12" s="380"/>
      <c r="L12" s="381"/>
      <c r="M12" s="1126"/>
    </row>
    <row r="13" spans="1:13" ht="167.25" customHeight="1" thickBot="1">
      <c r="A13" s="1127" t="s">
        <v>1056</v>
      </c>
      <c r="B13" s="1128" t="s">
        <v>695</v>
      </c>
      <c r="C13" s="1128" t="s">
        <v>694</v>
      </c>
      <c r="D13" s="1128" t="s">
        <v>1678</v>
      </c>
      <c r="E13" s="235"/>
      <c r="F13" s="246">
        <v>2</v>
      </c>
      <c r="G13" s="236"/>
      <c r="H13" s="236"/>
      <c r="I13" s="2031"/>
      <c r="J13" s="1009" t="str">
        <f>IF(OR(ISTEXT(G13)=TRUE,ISTEXT(H13)=TRUE),Calculation!$D$100,IF(G13+H13&gt;F13,Calculation!$D$97,""))</f>
        <v/>
      </c>
      <c r="K13" s="380"/>
      <c r="L13" s="381"/>
      <c r="M13" s="1126"/>
    </row>
    <row r="14" spans="1:13" ht="18.75" thickBot="1">
      <c r="A14" s="386"/>
      <c r="B14" s="387"/>
      <c r="C14" s="387"/>
      <c r="D14" s="388" t="s">
        <v>729</v>
      </c>
      <c r="E14" s="389" t="s">
        <v>88</v>
      </c>
      <c r="F14" s="390">
        <f>SUM(F8:F13)+F6</f>
        <v>30</v>
      </c>
      <c r="G14" s="1960">
        <f>SUM(G6:G13)</f>
        <v>0</v>
      </c>
      <c r="H14" s="390">
        <f>SUM(H6:H13)</f>
        <v>0</v>
      </c>
      <c r="I14" s="391"/>
      <c r="J14" s="379"/>
    </row>
    <row r="15" spans="1:13">
      <c r="A15" s="372"/>
      <c r="I15" s="384"/>
    </row>
    <row r="16" spans="1:13">
      <c r="A16" s="372"/>
      <c r="I16" s="384"/>
    </row>
    <row r="17" spans="1:9">
      <c r="A17" s="372"/>
      <c r="I17" s="384"/>
    </row>
    <row r="18" spans="1:9">
      <c r="A18" s="1005" t="str">
        <f>Calculation!$C$86</f>
        <v>Project Teams are to refer to the Green Star SA Office v1 Technical Manual for explicit credit criteria and documentation requirements.</v>
      </c>
      <c r="I18" s="384"/>
    </row>
    <row r="19" spans="1:9">
      <c r="A19" s="1005" t="str">
        <f>Calculation!$C$87</f>
        <v>The Green Star Technical Clarifications (TC) and Credit Interpretation Request (CIR) rulings provide an essential source of information to all</v>
      </c>
    </row>
    <row r="20" spans="1:9">
      <c r="A20" s="1005" t="str">
        <f>Calculation!$C$88</f>
        <v>projects undertaking Green Star assessment. They are available on the GBCSA website http://www.gbcsa.org.za . Technical Clarifications</v>
      </c>
    </row>
    <row r="21" spans="1:9">
      <c r="A21" s="1005" t="str">
        <f>Calculation!$C$89</f>
        <v xml:space="preserve">often represent the GBCSA answers to technical queries and complement Green Star SA Technical Manuals. They do not amend but clarify </v>
      </c>
    </row>
    <row r="22" spans="1:9">
      <c r="A22" s="1005" t="str">
        <f>Calculation!$C$90</f>
        <v xml:space="preserve">Credit Criteria or Compliance Requirements. They are an extension of the Technical Manual; it is the responsibility of the project teams to stay </v>
      </c>
    </row>
    <row r="23" spans="1:9">
      <c r="A23" s="1005" t="str">
        <f>Calculation!$C$91</f>
        <v xml:space="preserve">up-to-date with this section of the GBCSA website. The CIR rulings offer alternative compliance options whenever those have been deemed </v>
      </c>
    </row>
    <row r="24" spans="1:9">
      <c r="A24" s="1005" t="str">
        <f>Calculation!$C$92</f>
        <v>equivalent in meeting the Aim of Credit.</v>
      </c>
    </row>
    <row r="25" spans="1:9">
      <c r="A25" s="1005"/>
    </row>
    <row r="26" spans="1:9">
      <c r="A26" s="372"/>
    </row>
  </sheetData>
  <sheetProtection password="AD9B" sheet="1" objects="1" scenarios="1"/>
  <mergeCells count="19">
    <mergeCell ref="I11:I12"/>
    <mergeCell ref="I6:I7"/>
    <mergeCell ref="C6:C7"/>
    <mergeCell ref="B6:B7"/>
    <mergeCell ref="B8:B9"/>
    <mergeCell ref="C8:C9"/>
    <mergeCell ref="E8:E9"/>
    <mergeCell ref="I8:I9"/>
    <mergeCell ref="A8:A9"/>
    <mergeCell ref="E11:E12"/>
    <mergeCell ref="A6:A7"/>
    <mergeCell ref="E6:E7"/>
    <mergeCell ref="G5:H5"/>
    <mergeCell ref="G6:G7"/>
    <mergeCell ref="H6:H7"/>
    <mergeCell ref="F6:F7"/>
    <mergeCell ref="A11:A12"/>
    <mergeCell ref="B11:B12"/>
    <mergeCell ref="C11:C12"/>
  </mergeCells>
  <phoneticPr fontId="0"/>
  <conditionalFormatting sqref="G5:H5">
    <cfRule type="cellIs" dxfId="55" priority="1" stopIfTrue="1" operator="equal">
      <formula>"NO; Ene- Conditional Requirement NOT achieved"</formula>
    </cfRule>
  </conditionalFormatting>
  <printOptions horizontalCentered="1"/>
  <pageMargins left="0.59055118110236227" right="0.59055118110236227" top="0.47244094488188981" bottom="0.47244094488188981" header="0.23622047244094491" footer="0.35433070866141736"/>
  <pageSetup paperSize="9" scale="65" fitToHeight="2" orientation="landscape" blackAndWhite="1" r:id="rId1"/>
  <headerFooter alignWithMargins="0">
    <oddHeader>&amp;LGreen Building Council of South Africa&amp;R&amp;T   &amp;D</oddHeader>
    <oddFooter>&amp;L&amp;F&amp;CPage &amp;P of &amp;N&amp;RCategory: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GoToCreditSummary">
                <anchor moveWithCells="1" sizeWithCells="1">
                  <from>
                    <xdr:col>6</xdr:col>
                    <xdr:colOff>0</xdr:colOff>
                    <xdr:row>14</xdr:row>
                    <xdr:rowOff>104775</xdr:rowOff>
                  </from>
                  <to>
                    <xdr:col>8</xdr:col>
                    <xdr:colOff>9525</xdr:colOff>
                    <xdr:row>16</xdr:row>
                    <xdr:rowOff>57150</xdr:rowOff>
                  </to>
                </anchor>
              </controlPr>
            </control>
          </mc:Choice>
        </mc:AlternateContent>
        <mc:AlternateContent xmlns:mc="http://schemas.openxmlformats.org/markup-compatibility/2006">
          <mc:Choice Requires="x14">
            <control shapeId="47106" r:id="rId5" name="Button 2">
              <controlPr defaultSize="0" print="0" autoFill="0" autoPict="0" macro="[0]!GoToEnergyCalculator">
                <anchor moveWithCells="1" sizeWithCells="1">
                  <from>
                    <xdr:col>3</xdr:col>
                    <xdr:colOff>152400</xdr:colOff>
                    <xdr:row>5</xdr:row>
                    <xdr:rowOff>2000250</xdr:rowOff>
                  </from>
                  <to>
                    <xdr:col>3</xdr:col>
                    <xdr:colOff>3143250</xdr:colOff>
                    <xdr:row>5</xdr:row>
                    <xdr:rowOff>2266950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pageSetUpPr fitToPage="1"/>
  </sheetPr>
  <dimension ref="A1:AZ131"/>
  <sheetViews>
    <sheetView zoomScaleNormal="80" zoomScaleSheetLayoutView="100" workbookViewId="0">
      <pane ySplit="3" topLeftCell="A4" activePane="bottomLeft" state="frozen"/>
      <selection activeCell="D17" sqref="D17"/>
      <selection pane="bottomLeft" activeCell="C100" sqref="C100:F100"/>
    </sheetView>
  </sheetViews>
  <sheetFormatPr defaultColWidth="8" defaultRowHeight="12.75"/>
  <cols>
    <col min="1" max="1" width="3.875" style="456" customWidth="1"/>
    <col min="2" max="2" width="8.25" style="456" customWidth="1"/>
    <col min="3" max="3" width="8.5" style="456" customWidth="1"/>
    <col min="4" max="4" width="9" style="456" customWidth="1"/>
    <col min="5" max="8" width="13.75" style="456" customWidth="1"/>
    <col min="9" max="9" width="11.875" style="456" customWidth="1"/>
    <col min="10" max="10" width="4" style="481" customWidth="1"/>
    <col min="11" max="11" width="20.5" style="481" customWidth="1"/>
    <col min="12" max="12" width="4" style="506" hidden="1" customWidth="1"/>
    <col min="13" max="13" width="4.25" style="506" hidden="1" customWidth="1"/>
    <col min="14" max="14" width="4.625" style="506" hidden="1" customWidth="1"/>
    <col min="15" max="15" width="28.625" style="505" hidden="1" customWidth="1"/>
    <col min="16" max="16" width="11.375" style="505" hidden="1" customWidth="1"/>
    <col min="17" max="17" width="11.125" style="505" hidden="1" customWidth="1"/>
    <col min="18" max="18" width="4.625" style="506" hidden="1" customWidth="1"/>
    <col min="19" max="19" width="3.625" style="506" hidden="1" customWidth="1"/>
    <col min="20" max="20" width="8" style="481" hidden="1" customWidth="1"/>
    <col min="21" max="24" width="8" style="456" hidden="1" customWidth="1"/>
    <col min="25" max="25" width="11.25" style="456" hidden="1" customWidth="1"/>
    <col min="26" max="52" width="8" style="456" hidden="1" customWidth="1"/>
    <col min="53" max="59" width="8" style="456" customWidth="1"/>
    <col min="60" max="16384" width="8" style="456"/>
  </cols>
  <sheetData>
    <row r="1" spans="1:34" ht="27" customHeight="1" thickBot="1">
      <c r="B1" s="1839" t="str">
        <f>Calculation!N31</f>
        <v>Green Star SA - Office Design v1</v>
      </c>
      <c r="C1" s="457"/>
      <c r="D1" s="457"/>
      <c r="E1" s="457"/>
      <c r="F1" s="458"/>
      <c r="G1" s="458"/>
      <c r="H1" s="458"/>
      <c r="I1" s="458"/>
      <c r="J1" s="485"/>
      <c r="K1" s="485"/>
      <c r="L1" s="504"/>
      <c r="M1" s="504"/>
      <c r="N1" s="1894"/>
      <c r="O1" s="1895"/>
      <c r="P1" s="1895"/>
      <c r="Q1" s="1896"/>
      <c r="R1" s="1896"/>
      <c r="S1" s="1897"/>
      <c r="T1" s="1898"/>
      <c r="U1" s="1899"/>
      <c r="V1" s="1899"/>
      <c r="W1" s="1899"/>
      <c r="X1" s="1899"/>
      <c r="Y1" s="1899"/>
      <c r="Z1" s="1899"/>
      <c r="AA1" s="1899"/>
      <c r="AB1" s="1899"/>
      <c r="AC1" s="1899"/>
      <c r="AD1" s="1899"/>
      <c r="AE1" s="1899"/>
      <c r="AF1" s="1899"/>
      <c r="AG1" s="1899"/>
      <c r="AH1" s="1899"/>
    </row>
    <row r="2" spans="1:34" s="459" customFormat="1" ht="27" customHeight="1" thickBot="1">
      <c r="B2" s="460" t="s">
        <v>1145</v>
      </c>
      <c r="C2" s="461"/>
      <c r="D2" s="462"/>
      <c r="E2" s="462"/>
      <c r="G2" s="2204" t="s">
        <v>373</v>
      </c>
      <c r="H2" s="2205"/>
      <c r="I2" s="1837" t="str">
        <f>IF(I5="Not Achieved","-",IF(H12=X129,"-",IF(H12=X128,P6,IF(H12=X127,P5,IF(H12=X126,I76,"")))))</f>
        <v>-</v>
      </c>
      <c r="J2" s="494"/>
      <c r="K2" s="494"/>
      <c r="L2" s="507"/>
      <c r="M2" s="507"/>
      <c r="N2" s="1900"/>
      <c r="O2" s="1901"/>
      <c r="P2" s="1901"/>
      <c r="Q2" s="1902"/>
      <c r="R2" s="1902"/>
      <c r="S2" s="1903"/>
      <c r="T2" s="1904"/>
      <c r="U2" s="1905"/>
      <c r="V2" s="1905"/>
      <c r="W2" s="1905"/>
      <c r="X2" s="1905"/>
      <c r="Y2" s="1905"/>
      <c r="Z2" s="1905"/>
      <c r="AA2" s="1905"/>
      <c r="AB2" s="1905"/>
      <c r="AC2" s="1905"/>
      <c r="AD2" s="1905"/>
      <c r="AE2" s="1905"/>
      <c r="AF2" s="1905"/>
      <c r="AG2" s="1905"/>
      <c r="AH2" s="1905"/>
    </row>
    <row r="3" spans="1:34" ht="6" customHeight="1">
      <c r="A3" s="458"/>
      <c r="B3" s="2222"/>
      <c r="C3" s="2223"/>
      <c r="D3" s="2223"/>
      <c r="E3" s="2223"/>
      <c r="F3" s="2223"/>
      <c r="G3" s="2223"/>
      <c r="H3" s="2224"/>
      <c r="I3" s="458"/>
      <c r="J3" s="485"/>
      <c r="K3" s="485"/>
      <c r="L3" s="508"/>
      <c r="M3" s="508"/>
      <c r="N3" s="1894"/>
      <c r="O3" s="1895"/>
      <c r="P3" s="1895"/>
      <c r="Q3" s="1896"/>
      <c r="R3" s="1896"/>
      <c r="S3" s="1897"/>
      <c r="T3" s="1898"/>
      <c r="U3" s="1899"/>
      <c r="V3" s="1899"/>
      <c r="W3" s="1899"/>
      <c r="X3" s="1899"/>
      <c r="Y3" s="1899"/>
      <c r="Z3" s="1899"/>
      <c r="AA3" s="1899"/>
      <c r="AB3" s="1899"/>
      <c r="AC3" s="1899"/>
      <c r="AD3" s="1899"/>
      <c r="AE3" s="1899"/>
      <c r="AF3" s="1899"/>
      <c r="AG3" s="1899"/>
      <c r="AH3" s="1899"/>
    </row>
    <row r="4" spans="1:34" ht="16.5" thickBot="1">
      <c r="A4" s="458"/>
      <c r="B4" s="464"/>
      <c r="C4" s="457"/>
      <c r="D4" s="457"/>
      <c r="E4" s="457"/>
      <c r="F4" s="458"/>
      <c r="G4" s="465"/>
      <c r="H4" s="458"/>
      <c r="I4" s="458"/>
      <c r="J4" s="485"/>
      <c r="L4" s="509"/>
      <c r="M4" s="510"/>
      <c r="N4" s="1902"/>
      <c r="O4" s="1895"/>
      <c r="P4" s="1895"/>
      <c r="Q4" s="1906"/>
      <c r="R4" s="1906"/>
      <c r="S4" s="1897"/>
      <c r="T4" s="1898"/>
      <c r="U4" s="1899"/>
      <c r="V4" s="1899"/>
      <c r="W4" s="1899"/>
      <c r="X4" s="1899"/>
      <c r="Y4" s="1899"/>
      <c r="Z4" s="1899"/>
      <c r="AA4" s="1899"/>
      <c r="AB4" s="1899"/>
      <c r="AC4" s="1899"/>
      <c r="AD4" s="1899"/>
      <c r="AE4" s="1899"/>
      <c r="AF4" s="1899"/>
      <c r="AG4" s="1899"/>
      <c r="AH4" s="1899"/>
    </row>
    <row r="5" spans="1:34" ht="39" customHeight="1" thickBot="1">
      <c r="A5" s="458"/>
      <c r="B5" s="464"/>
      <c r="C5" s="457"/>
      <c r="D5" s="457"/>
      <c r="E5" s="457"/>
      <c r="F5" s="458"/>
      <c r="G5" s="2206" t="s">
        <v>36</v>
      </c>
      <c r="H5" s="2207"/>
      <c r="I5" s="1964" t="str">
        <f>IF(OR(H12="Compliance Route 2",H12=X128),"Achieved",IF(AND(H72-H73&gt;0,H12=X126),"Achieved","Not Achieved"))</f>
        <v>Not Achieved</v>
      </c>
      <c r="J5" s="485"/>
      <c r="L5" s="509"/>
      <c r="M5" s="510"/>
      <c r="N5" s="1902"/>
      <c r="O5" s="1907" t="s">
        <v>307</v>
      </c>
      <c r="P5" s="1908">
        <v>4</v>
      </c>
      <c r="Q5" s="1906" t="s">
        <v>309</v>
      </c>
      <c r="R5" s="1906"/>
      <c r="S5" s="1897"/>
      <c r="T5" s="1898"/>
      <c r="U5" s="1899"/>
      <c r="V5" s="1899"/>
      <c r="W5" s="1899"/>
      <c r="X5" s="1899"/>
      <c r="Y5" s="1899"/>
      <c r="Z5" s="1899"/>
      <c r="AA5" s="1899"/>
      <c r="AB5" s="1899"/>
      <c r="AC5" s="1899"/>
      <c r="AD5" s="1899"/>
      <c r="AE5" s="1899"/>
      <c r="AF5" s="1899"/>
      <c r="AG5" s="1899"/>
      <c r="AH5" s="1899"/>
    </row>
    <row r="6" spans="1:34" ht="15" customHeight="1" thickBot="1">
      <c r="B6" s="464" t="s">
        <v>931</v>
      </c>
      <c r="C6" s="1806"/>
      <c r="D6" s="1806"/>
      <c r="E6" s="1806"/>
      <c r="F6" s="1806"/>
      <c r="G6" s="1806"/>
      <c r="H6" s="1806"/>
      <c r="I6" s="1806"/>
      <c r="N6" s="1897"/>
      <c r="O6" s="1907" t="s">
        <v>308</v>
      </c>
      <c r="P6" s="1908">
        <v>0</v>
      </c>
      <c r="Q6" s="1895" t="s">
        <v>309</v>
      </c>
      <c r="R6" s="1897"/>
      <c r="S6" s="1897"/>
      <c r="T6" s="1898"/>
      <c r="U6" s="1899"/>
      <c r="V6" s="1899"/>
      <c r="W6" s="1899"/>
      <c r="X6" s="1899"/>
      <c r="Y6" s="1899"/>
      <c r="Z6" s="1899"/>
      <c r="AA6" s="1899"/>
      <c r="AB6" s="1899"/>
      <c r="AC6" s="1899"/>
      <c r="AD6" s="1899"/>
      <c r="AE6" s="1899"/>
      <c r="AF6" s="1899"/>
      <c r="AG6" s="1899"/>
      <c r="AH6" s="1899"/>
    </row>
    <row r="7" spans="1:34" ht="15" customHeight="1">
      <c r="B7" s="1840" t="s">
        <v>305</v>
      </c>
      <c r="C7" s="1806"/>
      <c r="D7" s="1806"/>
      <c r="E7" s="1806"/>
      <c r="F7" s="1806"/>
      <c r="G7" s="1806"/>
      <c r="H7" s="1806"/>
      <c r="I7" s="1806"/>
      <c r="N7" s="1897"/>
      <c r="O7" s="1895"/>
      <c r="P7" s="1895"/>
      <c r="Q7" s="1895"/>
      <c r="R7" s="1897"/>
      <c r="S7" s="1897"/>
      <c r="T7" s="1898"/>
      <c r="U7" s="1899"/>
      <c r="V7" s="1899"/>
      <c r="W7" s="1899"/>
      <c r="X7" s="1899"/>
      <c r="Y7" s="1899"/>
      <c r="Z7" s="1899"/>
      <c r="AA7" s="1899"/>
      <c r="AB7" s="1899"/>
      <c r="AC7" s="1899"/>
      <c r="AD7" s="1899"/>
      <c r="AE7" s="1899"/>
      <c r="AF7" s="1899"/>
      <c r="AG7" s="1899"/>
      <c r="AH7" s="1899"/>
    </row>
    <row r="8" spans="1:34" ht="15" customHeight="1">
      <c r="B8" s="1840" t="s">
        <v>302</v>
      </c>
      <c r="C8" s="1806"/>
      <c r="D8" s="1806"/>
      <c r="E8" s="1806"/>
      <c r="F8" s="1806"/>
      <c r="G8" s="1806"/>
      <c r="H8" s="1806"/>
      <c r="I8" s="1806"/>
      <c r="N8" s="1897"/>
      <c r="O8" s="1895"/>
      <c r="P8" s="1895"/>
      <c r="Q8" s="1895"/>
      <c r="R8" s="1897"/>
      <c r="S8" s="1897"/>
      <c r="T8" s="1898"/>
      <c r="U8" s="1899"/>
      <c r="V8" s="1899"/>
      <c r="W8" s="1899"/>
      <c r="X8" s="1899"/>
      <c r="Y8" s="1899"/>
      <c r="Z8" s="1899"/>
      <c r="AA8" s="1899"/>
      <c r="AB8" s="1899"/>
      <c r="AC8" s="1899"/>
      <c r="AD8" s="1899"/>
      <c r="AE8" s="1899"/>
      <c r="AF8" s="1899"/>
      <c r="AG8" s="1899"/>
      <c r="AH8" s="1899"/>
    </row>
    <row r="9" spans="1:34" ht="15" customHeight="1">
      <c r="B9" s="1840" t="s">
        <v>303</v>
      </c>
      <c r="C9" s="1806"/>
      <c r="D9" s="1806"/>
      <c r="E9" s="1806"/>
      <c r="F9" s="1806"/>
      <c r="G9" s="1806"/>
      <c r="H9" s="1806"/>
      <c r="I9" s="1806"/>
      <c r="N9" s="1897"/>
      <c r="O9" s="1895"/>
      <c r="P9" s="1895"/>
      <c r="Q9" s="1895"/>
      <c r="R9" s="1897"/>
      <c r="S9" s="1897"/>
      <c r="T9" s="1898"/>
      <c r="U9" s="1899"/>
      <c r="V9" s="1899"/>
      <c r="W9" s="1899"/>
      <c r="X9" s="1899"/>
      <c r="Y9" s="1899"/>
      <c r="Z9" s="1899"/>
      <c r="AA9" s="1899"/>
      <c r="AB9" s="1899"/>
      <c r="AC9" s="1899"/>
      <c r="AD9" s="1899"/>
      <c r="AE9" s="1899"/>
      <c r="AF9" s="1899"/>
      <c r="AG9" s="1899"/>
      <c r="AH9" s="1899"/>
    </row>
    <row r="10" spans="1:34" ht="15" customHeight="1">
      <c r="B10" s="1838"/>
      <c r="C10" s="1806"/>
      <c r="D10" s="1806"/>
      <c r="E10" s="1806"/>
      <c r="F10" s="1806"/>
      <c r="G10" s="1806"/>
      <c r="H10" s="1806"/>
      <c r="I10" s="1806"/>
      <c r="N10" s="1897"/>
      <c r="O10" s="1895"/>
      <c r="P10" s="1895"/>
      <c r="Q10" s="1895"/>
      <c r="R10" s="1897"/>
      <c r="S10" s="1897"/>
      <c r="T10" s="1898"/>
      <c r="U10" s="1899"/>
      <c r="V10" s="1899"/>
      <c r="W10" s="1899"/>
      <c r="X10" s="1899"/>
      <c r="Y10" s="1899"/>
      <c r="Z10" s="1899"/>
      <c r="AA10" s="1899"/>
      <c r="AB10" s="1899"/>
      <c r="AC10" s="1899"/>
      <c r="AD10" s="1899"/>
      <c r="AE10" s="1899"/>
      <c r="AF10" s="1899"/>
      <c r="AG10" s="1899"/>
      <c r="AH10" s="1899"/>
    </row>
    <row r="11" spans="1:34" ht="13.5" thickBot="1">
      <c r="B11" s="466"/>
      <c r="H11" s="490"/>
      <c r="I11" s="490"/>
      <c r="N11" s="1897"/>
      <c r="O11" s="1895"/>
      <c r="P11" s="1895"/>
      <c r="Q11" s="1895"/>
      <c r="R11" s="1897"/>
      <c r="S11" s="1897"/>
      <c r="T11" s="1898"/>
      <c r="U11" s="1899"/>
      <c r="V11" s="1899"/>
      <c r="W11" s="1899"/>
      <c r="X11" s="1899"/>
      <c r="Y11" s="1899"/>
      <c r="Z11" s="1899"/>
      <c r="AA11" s="1899"/>
      <c r="AB11" s="1899"/>
      <c r="AC11" s="1899"/>
      <c r="AD11" s="1899"/>
      <c r="AE11" s="1899"/>
      <c r="AF11" s="1899"/>
      <c r="AG11" s="1899"/>
      <c r="AH11" s="1899"/>
    </row>
    <row r="12" spans="1:34" ht="12.75" customHeight="1">
      <c r="B12" s="2208" t="s">
        <v>304</v>
      </c>
      <c r="C12" s="2209"/>
      <c r="D12" s="2209"/>
      <c r="E12" s="2209"/>
      <c r="F12" s="2209"/>
      <c r="G12" s="2210"/>
      <c r="H12" s="2240"/>
      <c r="I12" s="481"/>
      <c r="N12" s="1897"/>
      <c r="O12" s="1895"/>
      <c r="P12" s="1895"/>
      <c r="Q12" s="1895"/>
      <c r="R12" s="1897"/>
      <c r="S12" s="1897"/>
      <c r="T12" s="1898"/>
      <c r="U12" s="1899"/>
      <c r="V12" s="1899"/>
      <c r="W12" s="1899"/>
      <c r="X12" s="1899"/>
      <c r="Y12" s="1899"/>
      <c r="Z12" s="1899"/>
      <c r="AA12" s="1899"/>
      <c r="AB12" s="1899"/>
      <c r="AC12" s="1899"/>
      <c r="AD12" s="1899"/>
      <c r="AE12" s="1899"/>
      <c r="AF12" s="1899"/>
      <c r="AG12" s="1899"/>
      <c r="AH12" s="1899"/>
    </row>
    <row r="13" spans="1:34">
      <c r="B13" s="2211"/>
      <c r="C13" s="2212"/>
      <c r="D13" s="2212"/>
      <c r="E13" s="2212"/>
      <c r="F13" s="2212"/>
      <c r="G13" s="2213"/>
      <c r="H13" s="2241"/>
      <c r="I13" s="481"/>
      <c r="N13" s="1897"/>
      <c r="O13" s="1895"/>
      <c r="P13" s="1895"/>
      <c r="Q13" s="1895"/>
      <c r="R13" s="1897"/>
      <c r="S13" s="1897"/>
      <c r="T13" s="1898"/>
      <c r="U13" s="1899"/>
      <c r="V13" s="1899"/>
      <c r="W13" s="1899"/>
      <c r="X13" s="1899"/>
      <c r="Y13" s="1899"/>
      <c r="Z13" s="1899"/>
      <c r="AA13" s="1899"/>
      <c r="AB13" s="1899"/>
      <c r="AC13" s="1899"/>
      <c r="AD13" s="1899"/>
      <c r="AE13" s="1899"/>
      <c r="AF13" s="1899"/>
      <c r="AG13" s="1899"/>
      <c r="AH13" s="1899"/>
    </row>
    <row r="14" spans="1:34" ht="13.5" thickBot="1">
      <c r="B14" s="2214"/>
      <c r="C14" s="2215"/>
      <c r="D14" s="2215"/>
      <c r="E14" s="2215"/>
      <c r="F14" s="2215"/>
      <c r="G14" s="2216"/>
      <c r="H14" s="2242"/>
      <c r="I14" s="481"/>
      <c r="N14" s="1897"/>
      <c r="O14" s="1895"/>
      <c r="P14" s="1895"/>
      <c r="Q14" s="1895"/>
      <c r="R14" s="1897"/>
      <c r="S14" s="1897"/>
      <c r="T14" s="1898"/>
      <c r="U14" s="1899"/>
      <c r="V14" s="1899"/>
      <c r="W14" s="1899"/>
      <c r="X14" s="1899"/>
      <c r="Y14" s="1899"/>
      <c r="Z14" s="1899"/>
      <c r="AA14" s="1899"/>
      <c r="AB14" s="1899"/>
      <c r="AC14" s="1899"/>
      <c r="AD14" s="1899"/>
      <c r="AE14" s="1899"/>
      <c r="AF14" s="1899"/>
      <c r="AG14" s="1899"/>
      <c r="AH14" s="1899"/>
    </row>
    <row r="15" spans="1:34" ht="13.5" thickBot="1">
      <c r="H15" s="481"/>
      <c r="I15" s="481"/>
      <c r="N15" s="1897"/>
      <c r="O15" s="1909" t="s">
        <v>532</v>
      </c>
      <c r="P15" s="1910"/>
      <c r="Q15" s="1895"/>
      <c r="R15" s="1897"/>
      <c r="S15" s="1897"/>
      <c r="T15" s="1898"/>
      <c r="U15" s="1899"/>
      <c r="V15" s="1899"/>
      <c r="W15" s="1899"/>
      <c r="X15" s="1899"/>
      <c r="Y15" s="1899"/>
      <c r="Z15" s="1899"/>
      <c r="AA15" s="1899"/>
      <c r="AB15" s="1899"/>
      <c r="AC15" s="1899"/>
      <c r="AD15" s="1899"/>
      <c r="AE15" s="1899"/>
      <c r="AF15" s="1899"/>
      <c r="AG15" s="1899"/>
      <c r="AH15" s="1899"/>
    </row>
    <row r="16" spans="1:34" ht="12.75" customHeight="1">
      <c r="B16" s="2225" t="s">
        <v>44</v>
      </c>
      <c r="C16" s="2226"/>
      <c r="D16" s="2226"/>
      <c r="E16" s="2226"/>
      <c r="F16" s="2226"/>
      <c r="G16" s="2227"/>
      <c r="H16" s="2240" t="s">
        <v>29</v>
      </c>
      <c r="J16" s="2246" t="str">
        <f>IF(H16="no","Energy modelling of actual building must include a cooling system (refer Energy Modelling Protocol for more information)","")</f>
        <v/>
      </c>
      <c r="K16" s="2246"/>
      <c r="N16" s="1897"/>
      <c r="O16" s="1911" t="s">
        <v>533</v>
      </c>
      <c r="P16" s="1910">
        <v>2.5000000000000001E-2</v>
      </c>
      <c r="Q16" s="1895"/>
      <c r="R16" s="1897"/>
      <c r="S16" s="1897"/>
      <c r="T16" s="1898"/>
      <c r="U16" s="1899"/>
      <c r="V16" s="1899"/>
      <c r="W16" s="1899"/>
      <c r="X16" s="1899"/>
      <c r="Y16" s="1899"/>
      <c r="Z16" s="1899"/>
      <c r="AA16" s="1899"/>
      <c r="AB16" s="1899"/>
      <c r="AC16" s="1899"/>
      <c r="AD16" s="1899"/>
      <c r="AE16" s="1899"/>
      <c r="AF16" s="1899"/>
      <c r="AG16" s="1899"/>
      <c r="AH16" s="1899"/>
    </row>
    <row r="17" spans="1:34">
      <c r="B17" s="2228"/>
      <c r="C17" s="2229"/>
      <c r="D17" s="2229"/>
      <c r="E17" s="2229"/>
      <c r="F17" s="2229"/>
      <c r="G17" s="2230"/>
      <c r="H17" s="2241"/>
      <c r="I17" s="1851"/>
      <c r="J17" s="2246"/>
      <c r="K17" s="2246"/>
      <c r="N17" s="1897"/>
      <c r="O17" s="1912" t="s">
        <v>534</v>
      </c>
      <c r="P17" s="1910">
        <v>0.35399999999999998</v>
      </c>
      <c r="Q17" s="1895"/>
      <c r="R17" s="1897"/>
      <c r="S17" s="1897"/>
      <c r="T17" s="1898"/>
      <c r="U17" s="1899"/>
      <c r="V17" s="1899"/>
      <c r="W17" s="1899"/>
      <c r="X17" s="1899"/>
      <c r="Y17" s="1899"/>
      <c r="Z17" s="1899"/>
      <c r="AA17" s="1899"/>
      <c r="AB17" s="1899"/>
      <c r="AC17" s="1899"/>
      <c r="AD17" s="1899"/>
      <c r="AE17" s="1899"/>
      <c r="AF17" s="1899"/>
      <c r="AG17" s="1899"/>
      <c r="AH17" s="1899"/>
    </row>
    <row r="18" spans="1:34" ht="23.25" customHeight="1" thickBot="1">
      <c r="B18" s="2231"/>
      <c r="C18" s="2232"/>
      <c r="D18" s="2232"/>
      <c r="E18" s="2232"/>
      <c r="F18" s="2232"/>
      <c r="G18" s="2233"/>
      <c r="H18" s="2242"/>
      <c r="I18" s="1851"/>
      <c r="J18" s="2246"/>
      <c r="K18" s="2246"/>
      <c r="N18" s="1897"/>
      <c r="O18" s="1912" t="s">
        <v>535</v>
      </c>
      <c r="P18" s="1912">
        <v>0.26700000000000002</v>
      </c>
      <c r="Q18" s="1895"/>
      <c r="R18" s="1897"/>
      <c r="S18" s="1897"/>
      <c r="T18" s="1898"/>
      <c r="U18" s="1899"/>
      <c r="V18" s="1899"/>
      <c r="W18" s="1899"/>
      <c r="X18" s="1899"/>
      <c r="Y18" s="1899"/>
      <c r="Z18" s="1899"/>
      <c r="AA18" s="1899"/>
      <c r="AB18" s="1899"/>
      <c r="AC18" s="1899"/>
      <c r="AD18" s="1899"/>
      <c r="AE18" s="1899"/>
      <c r="AF18" s="1899"/>
      <c r="AG18" s="1899"/>
      <c r="AH18" s="1899"/>
    </row>
    <row r="19" spans="1:34" ht="6.75" customHeight="1" thickBot="1">
      <c r="B19" s="466"/>
      <c r="H19" s="467"/>
      <c r="I19" s="467"/>
      <c r="N19" s="1897"/>
      <c r="O19" s="1911" t="s">
        <v>536</v>
      </c>
      <c r="P19" s="1910">
        <v>0.22700000000000001</v>
      </c>
      <c r="Q19" s="1895"/>
      <c r="R19" s="1897"/>
      <c r="S19" s="1897"/>
      <c r="T19" s="1913"/>
      <c r="U19" s="1914"/>
      <c r="V19" s="1914"/>
      <c r="W19" s="1914"/>
      <c r="X19" s="1914"/>
      <c r="Y19" s="1914"/>
      <c r="Z19" s="1899"/>
      <c r="AA19" s="1899"/>
      <c r="AB19" s="1899"/>
      <c r="AC19" s="1899"/>
      <c r="AD19" s="1899"/>
      <c r="AE19" s="1899"/>
      <c r="AF19" s="1899"/>
      <c r="AG19" s="1899"/>
      <c r="AH19" s="1899"/>
    </row>
    <row r="20" spans="1:34" ht="17.100000000000001" customHeight="1">
      <c r="B20" s="2225" t="s">
        <v>310</v>
      </c>
      <c r="C20" s="2226"/>
      <c r="D20" s="2226"/>
      <c r="E20" s="2226"/>
      <c r="F20" s="2226"/>
      <c r="G20" s="2227"/>
      <c r="H20" s="2243" t="str">
        <f>IF(U126&gt;U127,"Not Available",IF(H12=X126,"No; Route 1 used",IF(H12=X128,"No; Route 3 used",IF(H12=X129,"No","Yes"))))</f>
        <v>Yes</v>
      </c>
      <c r="I20" s="467"/>
      <c r="N20" s="1897"/>
      <c r="O20" s="1912" t="s">
        <v>537</v>
      </c>
      <c r="P20" s="1912">
        <v>1.2</v>
      </c>
      <c r="Q20" s="1895"/>
      <c r="R20" s="1897"/>
      <c r="S20" s="1897"/>
      <c r="T20" s="1913"/>
      <c r="U20" s="1914"/>
      <c r="V20" s="1914"/>
      <c r="W20" s="1914"/>
      <c r="X20" s="1914"/>
      <c r="Y20" s="1914"/>
      <c r="Z20" s="1899"/>
      <c r="AA20" s="1899"/>
      <c r="AB20" s="1899"/>
      <c r="AC20" s="1899"/>
      <c r="AD20" s="1899"/>
      <c r="AE20" s="1899"/>
      <c r="AF20" s="1899"/>
      <c r="AG20" s="1899"/>
      <c r="AH20" s="1899"/>
    </row>
    <row r="21" spans="1:34" ht="17.100000000000001" customHeight="1">
      <c r="B21" s="2228"/>
      <c r="C21" s="2229"/>
      <c r="D21" s="2229"/>
      <c r="E21" s="2229"/>
      <c r="F21" s="2229"/>
      <c r="G21" s="2230"/>
      <c r="H21" s="2244"/>
      <c r="I21" s="467" t="str">
        <f>IF(U126&gt;U127,"(Area limit exceeded)","")</f>
        <v/>
      </c>
      <c r="N21" s="1897"/>
      <c r="O21" s="1911" t="s">
        <v>538</v>
      </c>
      <c r="P21" s="1912">
        <v>0.20200000000000001</v>
      </c>
      <c r="Q21" s="1895"/>
      <c r="R21" s="1897"/>
      <c r="S21" s="1897"/>
      <c r="T21" s="1913"/>
      <c r="U21" s="1914"/>
      <c r="V21" s="1914"/>
      <c r="W21" s="1914"/>
      <c r="X21" s="1914"/>
      <c r="Y21" s="1914"/>
      <c r="Z21" s="1899"/>
      <c r="AA21" s="1899"/>
      <c r="AB21" s="1899"/>
      <c r="AC21" s="1899"/>
      <c r="AD21" s="1899"/>
      <c r="AE21" s="1899"/>
      <c r="AF21" s="1899"/>
      <c r="AG21" s="1899"/>
      <c r="AH21" s="1899"/>
    </row>
    <row r="22" spans="1:34" ht="17.100000000000001" customHeight="1" thickBot="1">
      <c r="B22" s="2231"/>
      <c r="C22" s="2232"/>
      <c r="D22" s="2232"/>
      <c r="E22" s="2232"/>
      <c r="F22" s="2232"/>
      <c r="G22" s="2233"/>
      <c r="H22" s="2245"/>
      <c r="I22" s="467"/>
      <c r="N22" s="1897"/>
      <c r="O22" s="1912" t="s">
        <v>539</v>
      </c>
      <c r="P22" s="1912">
        <v>0.26400000000000001</v>
      </c>
      <c r="Q22" s="1895"/>
      <c r="R22" s="1897"/>
      <c r="S22" s="1897"/>
      <c r="T22" s="1913"/>
      <c r="U22" s="1914"/>
      <c r="V22" s="1914"/>
      <c r="W22" s="1914"/>
      <c r="X22" s="1914"/>
      <c r="Y22" s="1914"/>
      <c r="Z22" s="1899"/>
      <c r="AA22" s="1899"/>
      <c r="AB22" s="1899"/>
      <c r="AC22" s="1899"/>
      <c r="AD22" s="1899"/>
      <c r="AE22" s="1899"/>
      <c r="AF22" s="1899"/>
      <c r="AG22" s="1899"/>
      <c r="AH22" s="1899"/>
    </row>
    <row r="23" spans="1:34" ht="6.75" customHeight="1" thickBot="1">
      <c r="B23" s="466"/>
      <c r="H23" s="467"/>
      <c r="I23" s="467"/>
      <c r="N23" s="1897"/>
      <c r="O23" s="1911" t="s">
        <v>540</v>
      </c>
      <c r="P23" s="1912">
        <v>0.16</v>
      </c>
      <c r="Q23" s="1895"/>
      <c r="R23" s="1897"/>
      <c r="S23" s="1897"/>
      <c r="T23" s="1913"/>
      <c r="U23" s="1914"/>
      <c r="V23" s="1914"/>
      <c r="W23" s="1914"/>
      <c r="X23" s="1914"/>
      <c r="Y23" s="1914"/>
      <c r="Z23" s="1899"/>
      <c r="AA23" s="1899"/>
      <c r="AB23" s="1899"/>
      <c r="AC23" s="1899"/>
      <c r="AD23" s="1899"/>
      <c r="AE23" s="1899"/>
      <c r="AF23" s="1899"/>
      <c r="AG23" s="1899"/>
      <c r="AH23" s="1899"/>
    </row>
    <row r="24" spans="1:34" ht="10.5" customHeight="1">
      <c r="B24" s="2225" t="s">
        <v>311</v>
      </c>
      <c r="C24" s="2226"/>
      <c r="D24" s="2226"/>
      <c r="E24" s="2226"/>
      <c r="F24" s="2226"/>
      <c r="G24" s="2227"/>
      <c r="H24" s="2243" t="str">
        <f>IF(H12=X126,"No; Route 1 used",IF(H12=X127,"No; Route 2 used",IF(H12=X129,"No","Yes")))</f>
        <v>Yes</v>
      </c>
      <c r="I24" s="467"/>
      <c r="N24" s="1897"/>
      <c r="O24" s="1911"/>
      <c r="P24" s="1910"/>
      <c r="Q24" s="1895"/>
      <c r="R24" s="1897"/>
      <c r="S24" s="1897"/>
      <c r="T24" s="1913"/>
      <c r="U24" s="1914"/>
      <c r="V24" s="1914"/>
      <c r="W24" s="1914"/>
      <c r="X24" s="1914"/>
      <c r="Y24" s="1914"/>
      <c r="Z24" s="1899"/>
      <c r="AA24" s="1899"/>
      <c r="AB24" s="1899"/>
      <c r="AC24" s="1899"/>
      <c r="AD24" s="1899"/>
      <c r="AE24" s="1899"/>
      <c r="AF24" s="1899"/>
      <c r="AG24" s="1899"/>
      <c r="AH24" s="1899"/>
    </row>
    <row r="25" spans="1:34" ht="12.75" customHeight="1">
      <c r="B25" s="2228"/>
      <c r="C25" s="2229"/>
      <c r="D25" s="2229"/>
      <c r="E25" s="2229"/>
      <c r="F25" s="2229"/>
      <c r="G25" s="2230"/>
      <c r="H25" s="2244"/>
      <c r="I25" s="467"/>
      <c r="N25" s="1897"/>
      <c r="O25" s="1911"/>
      <c r="P25" s="1910"/>
      <c r="Q25" s="1895"/>
      <c r="R25" s="1897"/>
      <c r="S25" s="1897"/>
      <c r="T25" s="1913"/>
      <c r="U25" s="1914"/>
      <c r="V25" s="1914"/>
      <c r="W25" s="1914"/>
      <c r="X25" s="1914"/>
      <c r="Y25" s="1914"/>
      <c r="Z25" s="1899"/>
      <c r="AA25" s="1899"/>
      <c r="AB25" s="1899"/>
      <c r="AC25" s="1899"/>
      <c r="AD25" s="1899"/>
      <c r="AE25" s="1899"/>
      <c r="AF25" s="1899"/>
      <c r="AG25" s="1899"/>
      <c r="AH25" s="1899"/>
    </row>
    <row r="26" spans="1:34" ht="13.5" customHeight="1" thickBot="1">
      <c r="B26" s="2231"/>
      <c r="C26" s="2232"/>
      <c r="D26" s="2232"/>
      <c r="E26" s="2232"/>
      <c r="F26" s="2232"/>
      <c r="G26" s="2233"/>
      <c r="H26" s="2245"/>
      <c r="I26" s="467"/>
      <c r="N26" s="1897"/>
      <c r="O26" s="1911"/>
      <c r="P26" s="1910"/>
      <c r="Q26" s="1895"/>
      <c r="R26" s="1897"/>
      <c r="S26" s="1897"/>
      <c r="T26" s="1913"/>
      <c r="U26" s="1914"/>
      <c r="V26" s="1914"/>
      <c r="W26" s="1914"/>
      <c r="X26" s="1914"/>
      <c r="Y26" s="1914"/>
      <c r="Z26" s="1899"/>
      <c r="AA26" s="1899"/>
      <c r="AB26" s="1899"/>
      <c r="AC26" s="1899"/>
      <c r="AD26" s="1899"/>
      <c r="AE26" s="1899"/>
      <c r="AF26" s="1899"/>
      <c r="AG26" s="1899"/>
      <c r="AH26" s="1899"/>
    </row>
    <row r="27" spans="1:34" ht="17.100000000000001" customHeight="1" thickBot="1">
      <c r="B27" s="466"/>
      <c r="H27" s="467"/>
      <c r="I27" s="467"/>
      <c r="N27" s="1897"/>
      <c r="O27" s="1911"/>
      <c r="P27" s="1910"/>
      <c r="Q27" s="1895"/>
      <c r="R27" s="1897"/>
      <c r="S27" s="1897"/>
      <c r="T27" s="1913"/>
      <c r="U27" s="1914"/>
      <c r="V27" s="1914"/>
      <c r="W27" s="1914"/>
      <c r="X27" s="1914"/>
      <c r="Y27" s="1914"/>
      <c r="Z27" s="1899"/>
      <c r="AA27" s="1899"/>
      <c r="AB27" s="1899"/>
      <c r="AC27" s="1899"/>
      <c r="AD27" s="1899"/>
      <c r="AE27" s="1899"/>
      <c r="AF27" s="1899"/>
      <c r="AG27" s="1899"/>
      <c r="AH27" s="1899"/>
    </row>
    <row r="28" spans="1:34" ht="15" customHeight="1">
      <c r="B28" s="1853" t="s">
        <v>1324</v>
      </c>
      <c r="C28" s="1854"/>
      <c r="D28" s="1854"/>
      <c r="E28" s="1858"/>
      <c r="F28" s="1965">
        <f>'Building Input'!C32</f>
        <v>0</v>
      </c>
      <c r="G28" s="1966" t="s">
        <v>668</v>
      </c>
      <c r="H28" s="467"/>
      <c r="I28" s="467"/>
      <c r="N28" s="1897"/>
      <c r="O28" s="1899"/>
      <c r="P28" s="1899"/>
      <c r="Q28" s="1895"/>
      <c r="R28" s="1897"/>
      <c r="S28" s="1897"/>
      <c r="T28" s="1913"/>
      <c r="U28" s="2238"/>
      <c r="V28" s="2238"/>
      <c r="W28" s="2238"/>
      <c r="X28" s="1914"/>
      <c r="Y28" s="1914"/>
      <c r="Z28" s="1899"/>
      <c r="AA28" s="1899"/>
      <c r="AB28" s="1899"/>
      <c r="AC28" s="1899"/>
      <c r="AD28" s="1899"/>
      <c r="AE28" s="1899"/>
      <c r="AF28" s="1899"/>
      <c r="AG28" s="1899"/>
      <c r="AH28" s="1899"/>
    </row>
    <row r="29" spans="1:34" ht="15" customHeight="1">
      <c r="B29" s="1855" t="s">
        <v>659</v>
      </c>
      <c r="C29" s="1852"/>
      <c r="D29" s="1852"/>
      <c r="E29" s="1859"/>
      <c r="F29" s="1967">
        <f>'Building Input'!C33</f>
        <v>0</v>
      </c>
      <c r="G29" s="1968" t="s">
        <v>668</v>
      </c>
      <c r="H29" s="467"/>
      <c r="I29" s="467"/>
      <c r="N29" s="1897"/>
      <c r="O29" s="1899"/>
      <c r="P29" s="1899"/>
      <c r="Q29" s="1895"/>
      <c r="R29" s="1897"/>
      <c r="S29" s="1897"/>
      <c r="T29" s="1913"/>
      <c r="U29" s="2239"/>
      <c r="V29" s="1915"/>
      <c r="W29" s="1915"/>
      <c r="X29" s="1914"/>
      <c r="Y29" s="1914"/>
      <c r="Z29" s="1899"/>
      <c r="AA29" s="1899"/>
      <c r="AB29" s="1899"/>
      <c r="AC29" s="1899"/>
      <c r="AD29" s="1899"/>
      <c r="AE29" s="1899"/>
      <c r="AF29" s="1899"/>
      <c r="AG29" s="1899"/>
      <c r="AH29" s="1899"/>
    </row>
    <row r="30" spans="1:34" ht="15" customHeight="1">
      <c r="B30" s="1855" t="s">
        <v>1375</v>
      </c>
      <c r="C30" s="1852"/>
      <c r="D30" s="1852"/>
      <c r="E30" s="1859"/>
      <c r="F30" s="1967">
        <f>'Building Input'!C34</f>
        <v>0</v>
      </c>
      <c r="G30" s="1968" t="s">
        <v>668</v>
      </c>
      <c r="H30" s="467"/>
      <c r="I30" s="467"/>
      <c r="N30" s="1897"/>
      <c r="O30" s="1899"/>
      <c r="P30" s="1899"/>
      <c r="Q30" s="1895"/>
      <c r="R30" s="1897"/>
      <c r="S30" s="1897"/>
      <c r="T30" s="1913"/>
      <c r="U30" s="2239"/>
      <c r="V30" s="1915"/>
      <c r="W30" s="1915"/>
      <c r="X30" s="1914"/>
      <c r="Y30" s="1914"/>
      <c r="Z30" s="1899"/>
      <c r="AA30" s="1899"/>
      <c r="AB30" s="1899"/>
      <c r="AC30" s="1899"/>
      <c r="AD30" s="1899"/>
      <c r="AE30" s="1899"/>
      <c r="AF30" s="1899"/>
      <c r="AG30" s="1899"/>
      <c r="AH30" s="1899"/>
    </row>
    <row r="31" spans="1:34" ht="15" customHeight="1" thickBot="1">
      <c r="B31" s="1856" t="s">
        <v>670</v>
      </c>
      <c r="C31" s="1857"/>
      <c r="D31" s="1857"/>
      <c r="E31" s="1860"/>
      <c r="F31" s="1969">
        <f>'Building Input'!C35</f>
        <v>0</v>
      </c>
      <c r="G31" s="1970" t="s">
        <v>668</v>
      </c>
      <c r="H31" s="467"/>
      <c r="I31" s="467"/>
      <c r="N31" s="1897"/>
      <c r="O31" s="1899"/>
      <c r="P31" s="1899"/>
      <c r="Q31" s="1895"/>
      <c r="R31" s="1897"/>
      <c r="S31" s="1897"/>
      <c r="T31" s="1913"/>
      <c r="U31" s="2239"/>
      <c r="V31" s="1813"/>
      <c r="W31" s="1813"/>
      <c r="X31" s="1914"/>
      <c r="Y31" s="1914"/>
      <c r="Z31" s="1899"/>
      <c r="AA31" s="1899"/>
      <c r="AB31" s="1899"/>
      <c r="AC31" s="1899"/>
      <c r="AD31" s="1899"/>
      <c r="AE31" s="1899"/>
      <c r="AF31" s="1899"/>
      <c r="AG31" s="1899"/>
      <c r="AH31" s="1899"/>
    </row>
    <row r="32" spans="1:34" ht="17.100000000000001" customHeight="1" thickBot="1">
      <c r="A32" s="458"/>
      <c r="B32" s="464"/>
      <c r="C32" s="457"/>
      <c r="D32" s="457"/>
      <c r="E32" s="457"/>
      <c r="F32" s="458"/>
      <c r="G32" s="465"/>
      <c r="H32" s="467"/>
      <c r="I32" s="467"/>
      <c r="J32" s="485"/>
      <c r="L32" s="509"/>
      <c r="M32" s="511"/>
      <c r="N32" s="1916"/>
      <c r="O32" s="1897"/>
      <c r="P32" s="1897"/>
      <c r="Q32" s="1906"/>
      <c r="R32" s="1906"/>
      <c r="S32" s="1897"/>
      <c r="T32" s="1913"/>
      <c r="U32" s="1915"/>
      <c r="V32" s="1813"/>
      <c r="W32" s="1813"/>
      <c r="X32" s="1914"/>
      <c r="Y32" s="1914"/>
      <c r="Z32" s="1899"/>
      <c r="AA32" s="1899"/>
      <c r="AB32" s="1899"/>
      <c r="AC32" s="1899"/>
      <c r="AD32" s="1899"/>
      <c r="AE32" s="1899"/>
      <c r="AF32" s="1899"/>
      <c r="AG32" s="1899"/>
      <c r="AH32" s="1899"/>
    </row>
    <row r="33" spans="1:34" s="459" customFormat="1" ht="20.100000000000001" customHeight="1" thickBot="1">
      <c r="A33" s="463"/>
      <c r="B33" s="2236" t="s">
        <v>873</v>
      </c>
      <c r="C33" s="2237"/>
      <c r="D33" s="2237"/>
      <c r="E33" s="1865"/>
      <c r="F33" s="2220"/>
      <c r="G33" s="2221"/>
      <c r="H33" s="468"/>
      <c r="I33" s="468"/>
      <c r="J33" s="477"/>
      <c r="K33" s="469"/>
      <c r="L33" s="513"/>
      <c r="M33" s="514"/>
      <c r="N33" s="1917"/>
      <c r="O33" s="1918"/>
      <c r="P33" s="1919"/>
      <c r="Q33" s="1919"/>
      <c r="R33" s="1919"/>
      <c r="S33" s="1903"/>
      <c r="T33" s="1920"/>
      <c r="U33" s="1921"/>
      <c r="V33" s="1922"/>
      <c r="W33" s="1922"/>
      <c r="X33" s="1923"/>
      <c r="Y33" s="1923"/>
      <c r="Z33" s="1905"/>
      <c r="AA33" s="1905"/>
      <c r="AB33" s="1905"/>
      <c r="AC33" s="1905"/>
      <c r="AD33" s="1905"/>
      <c r="AE33" s="1905"/>
      <c r="AF33" s="1905"/>
      <c r="AG33" s="1905"/>
      <c r="AH33" s="1905"/>
    </row>
    <row r="34" spans="1:34" ht="28.5" customHeight="1">
      <c r="A34" s="458"/>
      <c r="B34" s="2217"/>
      <c r="C34" s="2218"/>
      <c r="D34" s="2219"/>
      <c r="E34" s="1868" t="s">
        <v>371</v>
      </c>
      <c r="F34" s="2234" t="s">
        <v>372</v>
      </c>
      <c r="G34" s="2235"/>
      <c r="H34" s="478"/>
      <c r="I34" s="478"/>
      <c r="J34" s="470"/>
      <c r="K34" s="479"/>
      <c r="L34" s="515"/>
      <c r="M34" s="516"/>
      <c r="N34" s="1924"/>
      <c r="O34" s="1925" t="s">
        <v>874</v>
      </c>
      <c r="P34" s="1906"/>
      <c r="Q34" s="1925"/>
      <c r="R34" s="1925"/>
      <c r="S34" s="1897"/>
      <c r="T34" s="1913"/>
      <c r="U34" s="1915"/>
      <c r="V34" s="1813"/>
      <c r="W34" s="1813"/>
      <c r="X34" s="1914"/>
      <c r="Y34" s="1914"/>
      <c r="Z34" s="1899"/>
      <c r="AA34" s="1899"/>
      <c r="AB34" s="1899"/>
      <c r="AC34" s="1899"/>
      <c r="AD34" s="1899"/>
      <c r="AE34" s="1899"/>
      <c r="AF34" s="1899"/>
      <c r="AG34" s="1899"/>
      <c r="AH34" s="1899"/>
    </row>
    <row r="35" spans="1:34" ht="7.5" customHeight="1">
      <c r="A35" s="458"/>
      <c r="B35" s="2253"/>
      <c r="C35" s="2254"/>
      <c r="D35" s="2255"/>
      <c r="E35" s="2252" t="s">
        <v>875</v>
      </c>
      <c r="F35" s="2251" t="s">
        <v>875</v>
      </c>
      <c r="G35" s="2248" t="s">
        <v>531</v>
      </c>
      <c r="H35" s="2247"/>
      <c r="I35" s="2247"/>
      <c r="J35" s="470"/>
      <c r="K35" s="479"/>
      <c r="L35" s="515"/>
      <c r="M35" s="512"/>
      <c r="N35" s="1916"/>
      <c r="O35" s="1926" t="str">
        <f>IF($Z$126=$X$126,"No","-")</f>
        <v>-</v>
      </c>
      <c r="P35" s="1906"/>
      <c r="Q35" s="1906"/>
      <c r="R35" s="1906"/>
      <c r="S35" s="1897"/>
      <c r="T35" s="1913"/>
      <c r="U35" s="1915"/>
      <c r="V35" s="1813"/>
      <c r="W35" s="1813"/>
      <c r="X35" s="1914"/>
      <c r="Y35" s="1914"/>
      <c r="Z35" s="1899"/>
      <c r="AA35" s="1899"/>
      <c r="AB35" s="1899"/>
      <c r="AC35" s="1899"/>
      <c r="AD35" s="1899"/>
      <c r="AE35" s="1899"/>
      <c r="AF35" s="1899"/>
      <c r="AG35" s="1899"/>
      <c r="AH35" s="1899"/>
    </row>
    <row r="36" spans="1:34" ht="7.5" customHeight="1">
      <c r="A36" s="458"/>
      <c r="B36" s="2253"/>
      <c r="C36" s="2254"/>
      <c r="D36" s="2255"/>
      <c r="E36" s="2252"/>
      <c r="F36" s="2251"/>
      <c r="G36" s="2248"/>
      <c r="H36" s="2247"/>
      <c r="I36" s="2247"/>
      <c r="J36" s="482"/>
      <c r="K36" s="483"/>
      <c r="L36" s="515"/>
      <c r="M36" s="517"/>
      <c r="N36" s="1916"/>
      <c r="O36" s="1926" t="str">
        <f>IF($Z$126=$X$126,"Yes","-")</f>
        <v>-</v>
      </c>
      <c r="P36" s="1906"/>
      <c r="Q36" s="1906"/>
      <c r="R36" s="1894"/>
      <c r="S36" s="1897"/>
      <c r="T36" s="1913"/>
      <c r="U36" s="1915"/>
      <c r="V36" s="1813"/>
      <c r="W36" s="1813"/>
      <c r="X36" s="1914"/>
      <c r="Y36" s="1914"/>
      <c r="Z36" s="1899"/>
      <c r="AA36" s="1899"/>
      <c r="AB36" s="1899"/>
      <c r="AC36" s="1899"/>
      <c r="AD36" s="1899"/>
      <c r="AE36" s="1899"/>
      <c r="AF36" s="1899"/>
      <c r="AG36" s="1899"/>
      <c r="AH36" s="1899"/>
    </row>
    <row r="37" spans="1:34" ht="7.5" customHeight="1">
      <c r="A37" s="458"/>
      <c r="B37" s="2253"/>
      <c r="C37" s="2254"/>
      <c r="D37" s="2255"/>
      <c r="E37" s="2252"/>
      <c r="F37" s="2251"/>
      <c r="G37" s="2248"/>
      <c r="H37" s="2247"/>
      <c r="I37" s="2247"/>
      <c r="J37" s="484"/>
      <c r="K37" s="483"/>
      <c r="L37" s="518"/>
      <c r="M37" s="517"/>
      <c r="N37" s="1906"/>
      <c r="O37" s="1926" t="str">
        <f>IF($Z$126=$X$126,"n/a","-")</f>
        <v>-</v>
      </c>
      <c r="P37" s="1906"/>
      <c r="Q37" s="1906"/>
      <c r="R37" s="1927"/>
      <c r="S37" s="1897"/>
      <c r="T37" s="1913"/>
      <c r="U37" s="1915"/>
      <c r="V37" s="1813"/>
      <c r="W37" s="1813"/>
      <c r="X37" s="1914"/>
      <c r="Y37" s="1914"/>
      <c r="Z37" s="1899"/>
      <c r="AA37" s="1899"/>
      <c r="AB37" s="1899"/>
      <c r="AC37" s="1899"/>
      <c r="AD37" s="1899"/>
      <c r="AE37" s="1899"/>
      <c r="AF37" s="1899"/>
      <c r="AG37" s="1899"/>
      <c r="AH37" s="1899"/>
    </row>
    <row r="38" spans="1:34" ht="15" customHeight="1" thickBot="1">
      <c r="A38" s="458"/>
      <c r="B38" s="1869"/>
      <c r="C38" s="1870"/>
      <c r="D38" s="1871" t="s">
        <v>1442</v>
      </c>
      <c r="E38" s="1872">
        <f>P20</f>
        <v>1.2</v>
      </c>
      <c r="F38" s="1873">
        <f>P20</f>
        <v>1.2</v>
      </c>
      <c r="G38" s="1874">
        <f>P21</f>
        <v>0.20200000000000001</v>
      </c>
      <c r="H38" s="483"/>
      <c r="I38" s="483"/>
      <c r="J38" s="484"/>
      <c r="K38" s="483"/>
      <c r="L38" s="518"/>
      <c r="M38" s="517"/>
      <c r="N38" s="1906"/>
      <c r="O38" s="1906"/>
      <c r="P38" s="1906"/>
      <c r="Q38" s="1906"/>
      <c r="R38" s="1927"/>
      <c r="S38" s="1897"/>
      <c r="T38" s="1913"/>
      <c r="U38" s="1915"/>
      <c r="V38" s="1813"/>
      <c r="W38" s="1813"/>
      <c r="X38" s="1914"/>
      <c r="Y38" s="1914"/>
      <c r="Z38" s="1899"/>
      <c r="AA38" s="1899"/>
      <c r="AB38" s="1899"/>
      <c r="AC38" s="1899"/>
      <c r="AD38" s="1899"/>
      <c r="AE38" s="1899"/>
      <c r="AF38" s="1899"/>
      <c r="AG38" s="1899"/>
      <c r="AH38" s="1899"/>
    </row>
    <row r="39" spans="1:34" ht="15" customHeight="1">
      <c r="A39" s="458"/>
      <c r="B39" s="2249" t="s">
        <v>876</v>
      </c>
      <c r="C39" s="2250"/>
      <c r="D39" s="2250"/>
      <c r="E39" s="2007"/>
      <c r="F39" s="1866"/>
      <c r="G39" s="1867"/>
      <c r="H39" s="486"/>
      <c r="I39" s="487"/>
      <c r="J39" s="484"/>
      <c r="K39" s="479"/>
      <c r="L39" s="518"/>
      <c r="M39" s="517"/>
      <c r="N39" s="1906"/>
      <c r="O39" s="1906"/>
      <c r="P39" s="1906"/>
      <c r="Q39" s="1906"/>
      <c r="R39" s="1927"/>
      <c r="S39" s="1897"/>
      <c r="T39" s="1913"/>
      <c r="U39" s="1915"/>
      <c r="V39" s="1813"/>
      <c r="W39" s="1813"/>
      <c r="X39" s="1914"/>
      <c r="Y39" s="1914"/>
      <c r="Z39" s="1899"/>
      <c r="AA39" s="1899"/>
      <c r="AB39" s="1899"/>
      <c r="AC39" s="1899"/>
      <c r="AD39" s="1899"/>
      <c r="AE39" s="1899"/>
      <c r="AF39" s="1899"/>
      <c r="AG39" s="1899"/>
      <c r="AH39" s="1899"/>
    </row>
    <row r="40" spans="1:34" ht="15" customHeight="1">
      <c r="A40" s="458"/>
      <c r="B40" s="2202" t="s">
        <v>102</v>
      </c>
      <c r="C40" s="2203"/>
      <c r="D40" s="2203"/>
      <c r="E40" s="2008"/>
      <c r="F40" s="227"/>
      <c r="G40" s="1861"/>
      <c r="H40" s="488"/>
      <c r="I40" s="488"/>
      <c r="J40" s="484"/>
      <c r="K40" s="483"/>
      <c r="L40" s="518"/>
      <c r="M40" s="517"/>
      <c r="N40" s="1906"/>
      <c r="O40" s="1928" t="s">
        <v>541</v>
      </c>
      <c r="P40" s="1906">
        <v>9</v>
      </c>
      <c r="Q40" s="1906" t="s">
        <v>1317</v>
      </c>
      <c r="R40" s="1927"/>
      <c r="S40" s="1897"/>
      <c r="T40" s="1913"/>
      <c r="U40" s="1915"/>
      <c r="V40" s="1813"/>
      <c r="W40" s="1813"/>
      <c r="X40" s="1914"/>
      <c r="Y40" s="1914"/>
      <c r="Z40" s="1899"/>
      <c r="AA40" s="1899"/>
      <c r="AB40" s="1899"/>
      <c r="AC40" s="1899"/>
      <c r="AD40" s="1899"/>
      <c r="AE40" s="1899"/>
      <c r="AF40" s="1899"/>
      <c r="AG40" s="1899"/>
      <c r="AH40" s="1899"/>
    </row>
    <row r="41" spans="1:34" ht="15" customHeight="1">
      <c r="A41" s="458"/>
      <c r="B41" s="2202" t="s">
        <v>1431</v>
      </c>
      <c r="C41" s="2203"/>
      <c r="D41" s="2203"/>
      <c r="E41" s="2008"/>
      <c r="F41" s="227"/>
      <c r="G41" s="1862"/>
      <c r="H41" s="488"/>
      <c r="I41" s="488"/>
      <c r="J41" s="484"/>
      <c r="K41" s="489"/>
      <c r="L41" s="505"/>
      <c r="M41" s="517"/>
      <c r="N41" s="1906"/>
      <c r="O41" s="1906" t="s">
        <v>542</v>
      </c>
      <c r="P41" s="1906">
        <v>6</v>
      </c>
      <c r="Q41" s="1906" t="s">
        <v>1318</v>
      </c>
      <c r="R41" s="1927"/>
      <c r="S41" s="1897"/>
      <c r="T41" s="1913"/>
      <c r="U41" s="1915"/>
      <c r="V41" s="1813"/>
      <c r="W41" s="1813"/>
      <c r="X41" s="1914"/>
      <c r="Y41" s="1914"/>
      <c r="Z41" s="1899"/>
      <c r="AA41" s="1899"/>
      <c r="AB41" s="1899"/>
      <c r="AC41" s="1899"/>
      <c r="AD41" s="1899"/>
      <c r="AE41" s="1899"/>
      <c r="AF41" s="1899"/>
      <c r="AG41" s="1899"/>
      <c r="AH41" s="1899"/>
    </row>
    <row r="42" spans="1:34" ht="15" customHeight="1">
      <c r="A42" s="458"/>
      <c r="B42" s="2202" t="s">
        <v>183</v>
      </c>
      <c r="C42" s="2203"/>
      <c r="D42" s="2203"/>
      <c r="E42" s="2008"/>
      <c r="F42" s="227"/>
      <c r="G42" s="1862"/>
      <c r="H42" s="488"/>
      <c r="I42" s="488"/>
      <c r="J42" s="484"/>
      <c r="K42" s="479"/>
      <c r="L42" s="518"/>
      <c r="M42" s="517"/>
      <c r="N42" s="1906"/>
      <c r="O42" s="1906" t="s">
        <v>543</v>
      </c>
      <c r="P42" s="1929">
        <v>0.1</v>
      </c>
      <c r="Q42" s="1906" t="s">
        <v>669</v>
      </c>
      <c r="R42" s="1927"/>
      <c r="S42" s="1897"/>
      <c r="T42" s="1913"/>
      <c r="U42" s="1915"/>
      <c r="V42" s="1813"/>
      <c r="W42" s="1813"/>
      <c r="X42" s="1914"/>
      <c r="Y42" s="1914"/>
      <c r="Z42" s="1899"/>
      <c r="AA42" s="1899"/>
      <c r="AB42" s="1899"/>
      <c r="AC42" s="1899"/>
      <c r="AD42" s="1899"/>
      <c r="AE42" s="1899"/>
      <c r="AF42" s="1899"/>
      <c r="AG42" s="1899"/>
      <c r="AH42" s="1899"/>
    </row>
    <row r="43" spans="1:34" ht="15" customHeight="1">
      <c r="A43" s="458"/>
      <c r="B43" s="2199" t="s">
        <v>184</v>
      </c>
      <c r="C43" s="2200"/>
      <c r="D43" s="2201"/>
      <c r="E43" s="2008"/>
      <c r="F43" s="227"/>
      <c r="G43" s="1862"/>
      <c r="H43" s="488"/>
      <c r="I43" s="488"/>
      <c r="J43" s="484"/>
      <c r="K43" s="479"/>
      <c r="L43" s="518"/>
      <c r="M43" s="517"/>
      <c r="N43" s="1906"/>
      <c r="O43" s="1906"/>
      <c r="P43" s="1930"/>
      <c r="Q43" s="1906"/>
      <c r="R43" s="1931"/>
      <c r="S43" s="1897"/>
      <c r="T43" s="1913"/>
      <c r="U43" s="1915"/>
      <c r="V43" s="1813"/>
      <c r="W43" s="1813"/>
      <c r="X43" s="1914"/>
      <c r="Y43" s="1914"/>
      <c r="Z43" s="1899"/>
      <c r="AA43" s="1899"/>
      <c r="AB43" s="1899"/>
      <c r="AC43" s="1899"/>
      <c r="AD43" s="1899"/>
      <c r="AE43" s="1899"/>
      <c r="AF43" s="1899"/>
      <c r="AG43" s="1899"/>
      <c r="AH43" s="1899"/>
    </row>
    <row r="44" spans="1:34" ht="15" customHeight="1">
      <c r="A44" s="458"/>
      <c r="B44" s="2202" t="s">
        <v>493</v>
      </c>
      <c r="C44" s="2203"/>
      <c r="D44" s="2203"/>
      <c r="E44" s="2008"/>
      <c r="F44" s="227"/>
      <c r="G44" s="1862"/>
      <c r="H44" s="488"/>
      <c r="I44" s="488"/>
      <c r="J44" s="484"/>
      <c r="K44" s="479"/>
      <c r="L44" s="519"/>
      <c r="M44" s="517"/>
      <c r="N44" s="1906"/>
      <c r="O44" s="1906" t="s">
        <v>1005</v>
      </c>
      <c r="P44" s="1932">
        <f>P42*E40</f>
        <v>0</v>
      </c>
      <c r="Q44" s="1906" t="s">
        <v>630</v>
      </c>
      <c r="R44" s="1927"/>
      <c r="S44" s="1897"/>
      <c r="T44" s="1913"/>
      <c r="U44" s="1914"/>
      <c r="V44" s="1914"/>
      <c r="W44" s="1914"/>
      <c r="X44" s="1914"/>
      <c r="Y44" s="1914"/>
      <c r="Z44" s="1899"/>
      <c r="AA44" s="1899"/>
      <c r="AB44" s="1899"/>
      <c r="AC44" s="1899"/>
      <c r="AD44" s="1899"/>
      <c r="AE44" s="1899"/>
      <c r="AF44" s="1899"/>
      <c r="AG44" s="1899"/>
      <c r="AH44" s="1899"/>
    </row>
    <row r="45" spans="1:34" ht="15" customHeight="1">
      <c r="A45" s="458"/>
      <c r="B45" s="2202" t="s">
        <v>864</v>
      </c>
      <c r="C45" s="2203"/>
      <c r="D45" s="2203"/>
      <c r="E45" s="2000">
        <f>P40*F29</f>
        <v>0</v>
      </c>
      <c r="F45" s="227"/>
      <c r="G45" s="1862"/>
      <c r="H45" s="488"/>
      <c r="I45" s="488"/>
      <c r="J45" s="484"/>
      <c r="K45" s="486"/>
      <c r="M45" s="517"/>
      <c r="N45" s="1906"/>
      <c r="O45" s="1906" t="s">
        <v>516</v>
      </c>
      <c r="P45" s="1932" t="s">
        <v>516</v>
      </c>
      <c r="Q45" s="1906" t="s">
        <v>516</v>
      </c>
      <c r="R45" s="1927"/>
      <c r="S45" s="1897"/>
      <c r="T45" s="1913"/>
      <c r="U45" s="1914"/>
      <c r="V45" s="1914"/>
      <c r="W45" s="1914"/>
      <c r="X45" s="1914"/>
      <c r="Y45" s="1914"/>
      <c r="Z45" s="1899"/>
      <c r="AA45" s="1899"/>
      <c r="AB45" s="1899"/>
      <c r="AC45" s="1899"/>
      <c r="AD45" s="1899"/>
      <c r="AE45" s="1899"/>
      <c r="AF45" s="1899"/>
      <c r="AG45" s="1899"/>
      <c r="AH45" s="1899"/>
    </row>
    <row r="46" spans="1:34" ht="15" customHeight="1">
      <c r="A46" s="458"/>
      <c r="B46" s="2202" t="s">
        <v>1369</v>
      </c>
      <c r="C46" s="2203"/>
      <c r="D46" s="2203"/>
      <c r="E46" s="2000">
        <f>P41*F31</f>
        <v>0</v>
      </c>
      <c r="F46" s="227"/>
      <c r="G46" s="1862"/>
      <c r="H46" s="488"/>
      <c r="I46" s="488"/>
      <c r="J46" s="484"/>
      <c r="K46" s="486"/>
      <c r="M46" s="517"/>
      <c r="N46" s="1906"/>
      <c r="O46" s="1906"/>
      <c r="P46" s="1906"/>
      <c r="Q46" s="1906"/>
      <c r="R46" s="1927"/>
      <c r="S46" s="1897"/>
      <c r="T46" s="1898"/>
      <c r="U46" s="1899"/>
      <c r="V46" s="1899"/>
      <c r="W46" s="1899"/>
      <c r="X46" s="1899"/>
      <c r="Y46" s="1899"/>
      <c r="Z46" s="1899"/>
      <c r="AA46" s="1899"/>
      <c r="AB46" s="1899"/>
      <c r="AC46" s="1899"/>
      <c r="AD46" s="1899"/>
      <c r="AE46" s="1899"/>
      <c r="AF46" s="1899"/>
      <c r="AG46" s="1899"/>
      <c r="AH46" s="1899"/>
    </row>
    <row r="47" spans="1:34" ht="15" customHeight="1">
      <c r="A47" s="458"/>
      <c r="B47" s="2202" t="s">
        <v>631</v>
      </c>
      <c r="C47" s="2203"/>
      <c r="D47" s="2203"/>
      <c r="E47" s="2009"/>
      <c r="F47" s="289"/>
      <c r="G47" s="1862"/>
      <c r="H47" s="486"/>
      <c r="I47" s="486"/>
      <c r="J47" s="484"/>
      <c r="K47" s="486"/>
      <c r="M47" s="517"/>
      <c r="N47" s="1906"/>
      <c r="O47" s="1906"/>
      <c r="P47" s="1906"/>
      <c r="Q47" s="1906"/>
      <c r="R47" s="1927"/>
      <c r="S47" s="1897"/>
      <c r="T47" s="1898"/>
      <c r="U47" s="1899"/>
      <c r="V47" s="1899"/>
      <c r="W47" s="1899"/>
      <c r="X47" s="1899"/>
      <c r="Y47" s="1899"/>
      <c r="Z47" s="1899"/>
      <c r="AA47" s="1899"/>
      <c r="AB47" s="1899"/>
      <c r="AC47" s="1899"/>
      <c r="AD47" s="1899"/>
      <c r="AE47" s="1899"/>
      <c r="AF47" s="1899"/>
      <c r="AG47" s="1899"/>
      <c r="AH47" s="1899"/>
    </row>
    <row r="48" spans="1:34" ht="15" customHeight="1">
      <c r="A48" s="458"/>
      <c r="B48" s="2202" t="s">
        <v>1370</v>
      </c>
      <c r="C48" s="2203"/>
      <c r="D48" s="2203"/>
      <c r="E48" s="2001">
        <f>IF(SUM(E39:E44)=0,0,F94)</f>
        <v>0</v>
      </c>
      <c r="F48" s="289"/>
      <c r="G48" s="1863"/>
      <c r="H48" s="486"/>
      <c r="I48" s="488"/>
      <c r="J48" s="484"/>
      <c r="K48" s="486"/>
      <c r="M48" s="517"/>
      <c r="N48" s="2275"/>
      <c r="O48" s="2276"/>
      <c r="P48" s="2276"/>
      <c r="Q48" s="1906"/>
      <c r="R48" s="1927"/>
      <c r="S48" s="1897"/>
      <c r="T48" s="1898"/>
      <c r="U48" s="1899"/>
      <c r="V48" s="1899"/>
      <c r="W48" s="1899"/>
      <c r="X48" s="1899"/>
      <c r="Y48" s="1899"/>
      <c r="Z48" s="1899"/>
      <c r="AA48" s="1899"/>
      <c r="AB48" s="1899"/>
      <c r="AC48" s="1899"/>
      <c r="AD48" s="1899"/>
      <c r="AE48" s="1899"/>
      <c r="AF48" s="1899"/>
      <c r="AG48" s="1899"/>
      <c r="AH48" s="1899"/>
    </row>
    <row r="49" spans="1:34" ht="15" customHeight="1">
      <c r="A49" s="458"/>
      <c r="B49" s="2202" t="s">
        <v>1371</v>
      </c>
      <c r="C49" s="2203"/>
      <c r="D49" s="2203"/>
      <c r="E49" s="2008"/>
      <c r="F49" s="2003">
        <f>E49</f>
        <v>0</v>
      </c>
      <c r="G49" s="1862"/>
      <c r="H49" s="488"/>
      <c r="I49" s="488"/>
      <c r="J49" s="484"/>
      <c r="K49" s="486"/>
      <c r="M49" s="517"/>
      <c r="N49" s="2275"/>
      <c r="O49" s="2276"/>
      <c r="P49" s="2276"/>
      <c r="Q49" s="1906"/>
      <c r="R49" s="1927"/>
      <c r="S49" s="1897"/>
      <c r="T49" s="1898"/>
      <c r="U49" s="1899"/>
      <c r="V49" s="1899"/>
      <c r="W49" s="1899"/>
      <c r="X49" s="1899"/>
      <c r="Y49" s="1899"/>
      <c r="Z49" s="1899"/>
      <c r="AA49" s="1899"/>
      <c r="AB49" s="1899"/>
      <c r="AC49" s="1899"/>
      <c r="AD49" s="1899"/>
      <c r="AE49" s="1899"/>
      <c r="AF49" s="1899"/>
      <c r="AG49" s="1899"/>
      <c r="AH49" s="1899"/>
    </row>
    <row r="50" spans="1:34" ht="15" customHeight="1">
      <c r="A50" s="458"/>
      <c r="B50" s="2202" t="s">
        <v>1432</v>
      </c>
      <c r="C50" s="2203"/>
      <c r="D50" s="2203"/>
      <c r="E50" s="2008"/>
      <c r="F50" s="2003">
        <f>E50</f>
        <v>0</v>
      </c>
      <c r="G50" s="1862"/>
      <c r="H50" s="2261" t="s">
        <v>1316</v>
      </c>
      <c r="I50" s="2261"/>
      <c r="J50" s="2261"/>
      <c r="K50" s="2261"/>
      <c r="M50" s="517"/>
      <c r="N50" s="2275"/>
      <c r="O50" s="2276"/>
      <c r="P50" s="2276"/>
      <c r="Q50" s="1906"/>
      <c r="R50" s="1927"/>
      <c r="S50" s="1897"/>
      <c r="T50" s="1898"/>
      <c r="U50" s="1899"/>
      <c r="V50" s="1899"/>
      <c r="W50" s="1899"/>
      <c r="X50" s="1899"/>
      <c r="Y50" s="1899"/>
      <c r="Z50" s="1899"/>
      <c r="AA50" s="1899"/>
      <c r="AB50" s="1899"/>
      <c r="AC50" s="1899"/>
      <c r="AD50" s="1899"/>
      <c r="AE50" s="1899"/>
      <c r="AF50" s="1899"/>
      <c r="AG50" s="1899"/>
      <c r="AH50" s="1899"/>
    </row>
    <row r="51" spans="1:34" ht="15" customHeight="1">
      <c r="A51" s="458"/>
      <c r="B51" s="2202" t="s">
        <v>1372</v>
      </c>
      <c r="C51" s="2203"/>
      <c r="D51" s="2203"/>
      <c r="E51" s="2008"/>
      <c r="F51" s="2003">
        <f>E51</f>
        <v>0</v>
      </c>
      <c r="G51" s="1862"/>
      <c r="H51" s="488"/>
      <c r="I51" s="488"/>
      <c r="J51" s="484"/>
      <c r="K51" s="486"/>
      <c r="M51" s="517"/>
      <c r="N51" s="1906"/>
      <c r="O51" s="1906"/>
      <c r="P51" s="1906"/>
      <c r="Q51" s="1906"/>
      <c r="R51" s="1927"/>
      <c r="S51" s="1897"/>
      <c r="T51" s="1898"/>
      <c r="U51" s="1899"/>
      <c r="V51" s="1899"/>
      <c r="W51" s="1899"/>
      <c r="X51" s="1899"/>
      <c r="Y51" s="1899"/>
      <c r="Z51" s="1899"/>
      <c r="AA51" s="1899"/>
      <c r="AB51" s="1899"/>
      <c r="AC51" s="1899"/>
      <c r="AD51" s="1899"/>
      <c r="AE51" s="1899"/>
      <c r="AF51" s="1899"/>
      <c r="AG51" s="1899"/>
      <c r="AH51" s="1899"/>
    </row>
    <row r="52" spans="1:34" ht="15" customHeight="1" thickBot="1">
      <c r="A52" s="458"/>
      <c r="B52" s="2262" t="s">
        <v>1433</v>
      </c>
      <c r="C52" s="2263"/>
      <c r="D52" s="2263"/>
      <c r="E52" s="2002">
        <f>P44</f>
        <v>0</v>
      </c>
      <c r="F52" s="2004">
        <f>E52</f>
        <v>0</v>
      </c>
      <c r="G52" s="1971"/>
      <c r="H52" s="488"/>
      <c r="I52" s="481"/>
      <c r="J52" s="484"/>
      <c r="K52" s="491"/>
      <c r="L52" s="520"/>
      <c r="M52" s="510"/>
      <c r="N52" s="1933"/>
      <c r="O52" s="1934"/>
      <c r="P52" s="1934"/>
      <c r="Q52" s="1934"/>
      <c r="R52" s="1894"/>
      <c r="S52" s="1897"/>
      <c r="T52" s="1898"/>
      <c r="U52" s="1899"/>
      <c r="V52" s="1899"/>
      <c r="W52" s="1899"/>
      <c r="X52" s="1899"/>
      <c r="Y52" s="1899"/>
      <c r="Z52" s="1899"/>
      <c r="AA52" s="1899"/>
      <c r="AB52" s="1899"/>
      <c r="AC52" s="1899"/>
      <c r="AD52" s="1899"/>
      <c r="AE52" s="1899"/>
      <c r="AF52" s="1899"/>
      <c r="AG52" s="1899"/>
      <c r="AH52" s="1899"/>
    </row>
    <row r="53" spans="1:34" ht="15" customHeight="1" thickBot="1">
      <c r="A53" s="458"/>
      <c r="B53" s="2264" t="s">
        <v>1434</v>
      </c>
      <c r="C53" s="2265"/>
      <c r="D53" s="2265"/>
      <c r="E53" s="2005">
        <f>SUM(E39:E52)</f>
        <v>0</v>
      </c>
      <c r="F53" s="2005">
        <f>SUM(F39:F52)</f>
        <v>0</v>
      </c>
      <c r="G53" s="2006">
        <f>SUM(G39:G52)</f>
        <v>0</v>
      </c>
      <c r="H53" s="493"/>
      <c r="I53" s="493"/>
      <c r="J53" s="484"/>
      <c r="K53" s="491"/>
      <c r="L53" s="520"/>
      <c r="M53" s="510"/>
      <c r="N53" s="1933"/>
      <c r="O53" s="1934"/>
      <c r="P53" s="1934"/>
      <c r="Q53" s="1935"/>
      <c r="R53" s="1894"/>
      <c r="S53" s="1897"/>
      <c r="T53" s="1898"/>
      <c r="U53" s="1899"/>
      <c r="V53" s="1899"/>
      <c r="W53" s="1899"/>
      <c r="X53" s="1899"/>
      <c r="Y53" s="1899"/>
      <c r="Z53" s="1899"/>
      <c r="AA53" s="1899"/>
      <c r="AB53" s="1899"/>
      <c r="AC53" s="1899"/>
      <c r="AD53" s="1899"/>
      <c r="AE53" s="1899"/>
      <c r="AF53" s="1899"/>
      <c r="AG53" s="1899"/>
      <c r="AH53" s="1899"/>
    </row>
    <row r="54" spans="1:34" ht="17.100000000000001" customHeight="1" thickBot="1">
      <c r="A54" s="465"/>
      <c r="B54" s="465"/>
      <c r="C54" s="472"/>
      <c r="D54" s="472"/>
      <c r="E54" s="472"/>
      <c r="F54" s="472"/>
      <c r="G54" s="472"/>
      <c r="H54" s="473"/>
      <c r="I54" s="471"/>
      <c r="J54" s="485"/>
      <c r="K54" s="491"/>
      <c r="L54" s="520"/>
      <c r="M54" s="510"/>
      <c r="N54" s="1933"/>
      <c r="O54" s="1934"/>
      <c r="P54" s="1934"/>
      <c r="Q54" s="1935"/>
      <c r="R54" s="1936"/>
      <c r="S54" s="1937"/>
      <c r="T54" s="1898"/>
      <c r="U54" s="1899"/>
      <c r="V54" s="1899"/>
      <c r="W54" s="1899"/>
      <c r="X54" s="1899"/>
      <c r="Y54" s="1899"/>
      <c r="Z54" s="1899"/>
      <c r="AA54" s="1899"/>
      <c r="AB54" s="1899"/>
      <c r="AC54" s="1899"/>
      <c r="AD54" s="1899"/>
      <c r="AE54" s="1899"/>
      <c r="AF54" s="1899"/>
      <c r="AG54" s="1899"/>
      <c r="AH54" s="1899"/>
    </row>
    <row r="55" spans="1:34" s="459" customFormat="1" ht="20.100000000000001" customHeight="1" thickBot="1">
      <c r="A55" s="474"/>
      <c r="B55" s="1864" t="s">
        <v>1108</v>
      </c>
      <c r="C55" s="1878"/>
      <c r="D55" s="1878"/>
      <c r="E55" s="1878"/>
      <c r="F55" s="1878"/>
      <c r="G55" s="1879"/>
      <c r="H55" s="1878"/>
      <c r="I55" s="1880"/>
      <c r="J55" s="494"/>
      <c r="K55" s="491"/>
      <c r="L55" s="520"/>
      <c r="M55" s="521"/>
      <c r="N55" s="1938"/>
      <c r="O55" s="1939"/>
      <c r="P55" s="1939"/>
      <c r="Q55" s="1939"/>
      <c r="R55" s="1940"/>
      <c r="S55" s="1941"/>
      <c r="T55" s="1904"/>
      <c r="U55" s="1905"/>
      <c r="V55" s="1905"/>
      <c r="W55" s="1905"/>
      <c r="X55" s="1905"/>
      <c r="Y55" s="1905"/>
      <c r="Z55" s="1905"/>
      <c r="AA55" s="1905"/>
      <c r="AB55" s="1905"/>
      <c r="AC55" s="1905"/>
      <c r="AD55" s="1905"/>
      <c r="AE55" s="1905"/>
      <c r="AF55" s="1905"/>
      <c r="AG55" s="1905"/>
      <c r="AH55" s="1905"/>
    </row>
    <row r="56" spans="1:34" ht="24" customHeight="1">
      <c r="A56" s="465"/>
      <c r="B56" s="1876"/>
      <c r="C56" s="497"/>
      <c r="D56" s="497"/>
      <c r="E56" s="498"/>
      <c r="F56" s="499" t="s">
        <v>1435</v>
      </c>
      <c r="G56" s="500" t="s">
        <v>1441</v>
      </c>
      <c r="H56" s="501" t="s">
        <v>1440</v>
      </c>
      <c r="I56" s="1877" t="s">
        <v>1439</v>
      </c>
      <c r="J56" s="485"/>
      <c r="K56" s="491"/>
      <c r="L56" s="520"/>
      <c r="M56" s="510"/>
      <c r="N56" s="1933"/>
      <c r="O56" s="1934"/>
      <c r="P56" s="1934"/>
      <c r="Q56" s="1934"/>
      <c r="R56" s="1936"/>
      <c r="S56" s="1937"/>
      <c r="T56" s="1898"/>
      <c r="U56" s="1899"/>
      <c r="V56" s="1899"/>
      <c r="W56" s="1899"/>
      <c r="X56" s="1899"/>
      <c r="Y56" s="1899"/>
      <c r="Z56" s="1899"/>
      <c r="AA56" s="1899"/>
      <c r="AB56" s="1899"/>
      <c r="AC56" s="1899"/>
      <c r="AD56" s="1899"/>
      <c r="AE56" s="1899"/>
      <c r="AF56" s="1899"/>
      <c r="AG56" s="1899"/>
      <c r="AH56" s="1899"/>
    </row>
    <row r="57" spans="1:34" ht="32.25" customHeight="1" thickBot="1">
      <c r="A57" s="465"/>
      <c r="B57" s="2256" t="s">
        <v>480</v>
      </c>
      <c r="C57" s="2257"/>
      <c r="D57" s="2257"/>
      <c r="E57" s="2257"/>
      <c r="F57" s="1875"/>
      <c r="G57" s="1972">
        <v>0</v>
      </c>
      <c r="H57" s="1973">
        <f>F57*F38-F57*G57</f>
        <v>0</v>
      </c>
      <c r="I57" s="1974">
        <f>IF(F28=0,0,H57/$F$28)</f>
        <v>0</v>
      </c>
      <c r="J57" s="485"/>
      <c r="K57" s="491"/>
      <c r="L57" s="520"/>
      <c r="M57" s="510"/>
      <c r="N57" s="1933"/>
      <c r="O57" s="1934"/>
      <c r="P57" s="1934"/>
      <c r="Q57" s="1934"/>
      <c r="R57" s="1936"/>
      <c r="S57" s="1937"/>
      <c r="T57" s="1898"/>
      <c r="U57" s="1899"/>
      <c r="V57" s="1899"/>
      <c r="W57" s="1899"/>
      <c r="X57" s="1899"/>
      <c r="Y57" s="1899"/>
      <c r="Z57" s="1899"/>
      <c r="AA57" s="1899"/>
      <c r="AB57" s="1899"/>
      <c r="AC57" s="1899"/>
      <c r="AD57" s="1899"/>
      <c r="AE57" s="1899"/>
      <c r="AF57" s="1899"/>
      <c r="AG57" s="1899"/>
      <c r="AH57" s="1899"/>
    </row>
    <row r="58" spans="1:34" ht="17.100000000000001" customHeight="1" thickBot="1">
      <c r="A58" s="465"/>
      <c r="J58" s="485"/>
      <c r="K58" s="491"/>
      <c r="L58" s="520"/>
      <c r="M58" s="510"/>
      <c r="N58" s="1933"/>
      <c r="O58" s="1934"/>
      <c r="P58" s="1934"/>
      <c r="Q58" s="1934"/>
      <c r="R58" s="1936"/>
      <c r="S58" s="1937"/>
      <c r="T58" s="1898"/>
      <c r="U58" s="1899"/>
      <c r="V58" s="1899"/>
      <c r="W58" s="1899"/>
      <c r="X58" s="1899"/>
      <c r="Y58" s="1899"/>
      <c r="Z58" s="1899"/>
      <c r="AA58" s="1899"/>
      <c r="AB58" s="1899"/>
      <c r="AC58" s="1899"/>
      <c r="AD58" s="1899"/>
      <c r="AE58" s="1899"/>
      <c r="AF58" s="1899"/>
      <c r="AG58" s="1899"/>
      <c r="AH58" s="1899"/>
    </row>
    <row r="59" spans="1:34" s="459" customFormat="1" ht="20.100000000000001" customHeight="1" thickBot="1">
      <c r="A59" s="474"/>
      <c r="B59" s="1864" t="s">
        <v>1109</v>
      </c>
      <c r="C59" s="1878"/>
      <c r="D59" s="1878"/>
      <c r="E59" s="1878"/>
      <c r="F59" s="1878"/>
      <c r="G59" s="1878"/>
      <c r="H59" s="1881"/>
      <c r="I59" s="1882"/>
      <c r="J59" s="494"/>
      <c r="K59" s="491"/>
      <c r="L59" s="520"/>
      <c r="M59" s="521"/>
      <c r="N59" s="1938"/>
      <c r="O59" s="1939"/>
      <c r="P59" s="1939"/>
      <c r="Q59" s="1939"/>
      <c r="R59" s="1940"/>
      <c r="S59" s="1941"/>
      <c r="T59" s="1904"/>
      <c r="U59" s="1905"/>
      <c r="V59" s="1905"/>
      <c r="W59" s="1905"/>
      <c r="X59" s="1905"/>
      <c r="Y59" s="1905"/>
      <c r="Z59" s="1905"/>
      <c r="AA59" s="1905"/>
      <c r="AB59" s="1905"/>
      <c r="AC59" s="1905"/>
      <c r="AD59" s="1905"/>
      <c r="AE59" s="1905"/>
      <c r="AF59" s="1905"/>
      <c r="AG59" s="1905"/>
      <c r="AH59" s="1905"/>
    </row>
    <row r="60" spans="1:34" ht="21.75" customHeight="1">
      <c r="A60" s="465"/>
      <c r="B60" s="1876"/>
      <c r="C60" s="497"/>
      <c r="D60" s="497"/>
      <c r="E60" s="498"/>
      <c r="F60" s="499" t="s">
        <v>1435</v>
      </c>
      <c r="G60" s="500" t="s">
        <v>1441</v>
      </c>
      <c r="H60" s="501" t="s">
        <v>1440</v>
      </c>
      <c r="I60" s="1877" t="s">
        <v>1439</v>
      </c>
      <c r="J60" s="485"/>
      <c r="K60" s="491"/>
      <c r="L60" s="520"/>
      <c r="M60" s="510"/>
      <c r="N60" s="1933"/>
      <c r="O60" s="1934"/>
      <c r="P60" s="1934"/>
      <c r="Q60" s="1934"/>
      <c r="R60" s="1936"/>
      <c r="S60" s="1937"/>
      <c r="T60" s="1898"/>
      <c r="U60" s="1899"/>
      <c r="V60" s="1899"/>
      <c r="W60" s="1899"/>
      <c r="X60" s="1899"/>
      <c r="Y60" s="1899"/>
      <c r="Z60" s="1899"/>
      <c r="AA60" s="1899"/>
      <c r="AB60" s="1899"/>
      <c r="AC60" s="1899"/>
      <c r="AD60" s="1899"/>
      <c r="AE60" s="1899"/>
      <c r="AF60" s="1899"/>
      <c r="AG60" s="1899"/>
      <c r="AH60" s="1899"/>
    </row>
    <row r="61" spans="1:34" ht="24.75" customHeight="1">
      <c r="A61" s="465"/>
      <c r="B61" s="2271" t="s">
        <v>479</v>
      </c>
      <c r="C61" s="2272"/>
      <c r="D61" s="2272"/>
      <c r="E61" s="2272"/>
      <c r="F61" s="2035"/>
      <c r="G61" s="1975"/>
      <c r="H61" s="2036"/>
      <c r="I61" s="2037"/>
      <c r="J61" s="485"/>
      <c r="K61" s="491"/>
      <c r="L61" s="520"/>
      <c r="M61" s="510"/>
      <c r="N61" s="1933"/>
      <c r="O61" s="1934"/>
      <c r="P61" s="1934"/>
      <c r="Q61" s="1934"/>
      <c r="R61" s="1936"/>
      <c r="S61" s="1937"/>
      <c r="T61" s="1898"/>
      <c r="U61" s="1899"/>
      <c r="V61" s="1899"/>
      <c r="W61" s="1899"/>
      <c r="X61" s="1899"/>
      <c r="Y61" s="1899"/>
      <c r="Z61" s="1899"/>
      <c r="AA61" s="1899"/>
      <c r="AB61" s="1899"/>
      <c r="AC61" s="1899"/>
      <c r="AD61" s="1899"/>
      <c r="AE61" s="1899"/>
      <c r="AF61" s="1899"/>
      <c r="AG61" s="1899"/>
      <c r="AH61" s="1899"/>
    </row>
    <row r="62" spans="1:34" ht="15" customHeight="1">
      <c r="A62" s="465"/>
      <c r="B62" s="2266" t="s">
        <v>1708</v>
      </c>
      <c r="C62" s="2267"/>
      <c r="D62" s="2267"/>
      <c r="E62" s="2268"/>
      <c r="F62" s="2038">
        <f>IF(F61&gt;(SUM(F39:F49)),SUM(F39:F49),F61)</f>
        <v>0</v>
      </c>
      <c r="G62" s="1975"/>
      <c r="H62" s="2036"/>
      <c r="I62" s="2037"/>
      <c r="J62" s="485"/>
      <c r="K62" s="491"/>
      <c r="L62" s="520"/>
      <c r="M62" s="510"/>
      <c r="N62" s="1933"/>
      <c r="O62" s="1934"/>
      <c r="P62" s="1934"/>
      <c r="Q62" s="1934"/>
      <c r="R62" s="1936"/>
      <c r="S62" s="1937"/>
      <c r="T62" s="1898"/>
      <c r="U62" s="1899"/>
      <c r="V62" s="1899"/>
      <c r="W62" s="1899"/>
      <c r="X62" s="1899"/>
      <c r="Y62" s="1899"/>
      <c r="Z62" s="1899"/>
      <c r="AA62" s="1899"/>
      <c r="AB62" s="1899"/>
      <c r="AC62" s="1899"/>
      <c r="AD62" s="1899"/>
      <c r="AE62" s="1899"/>
      <c r="AF62" s="1899"/>
      <c r="AG62" s="1899"/>
      <c r="AH62" s="1899"/>
    </row>
    <row r="63" spans="1:34" ht="15" customHeight="1">
      <c r="A63" s="465"/>
      <c r="B63" s="2266" t="s">
        <v>1709</v>
      </c>
      <c r="C63" s="2267"/>
      <c r="D63" s="2267"/>
      <c r="E63" s="2268"/>
      <c r="F63" s="2039">
        <v>1</v>
      </c>
      <c r="G63" s="1975"/>
      <c r="H63" s="2036"/>
      <c r="I63" s="2037"/>
      <c r="J63" s="485"/>
      <c r="K63" s="491"/>
      <c r="L63" s="520"/>
      <c r="M63" s="510"/>
      <c r="N63" s="1933"/>
      <c r="O63" s="1934"/>
      <c r="P63" s="1934"/>
      <c r="Q63" s="1934"/>
      <c r="R63" s="1936"/>
      <c r="S63" s="1937"/>
      <c r="T63" s="1898"/>
      <c r="U63" s="1899"/>
      <c r="V63" s="1899"/>
      <c r="W63" s="1899"/>
      <c r="X63" s="1899"/>
      <c r="Y63" s="1899"/>
      <c r="Z63" s="1899"/>
      <c r="AA63" s="1899"/>
      <c r="AB63" s="1899"/>
      <c r="AC63" s="1899"/>
      <c r="AD63" s="1899"/>
      <c r="AE63" s="1899"/>
      <c r="AF63" s="1899"/>
      <c r="AG63" s="1899"/>
      <c r="AH63" s="1899"/>
    </row>
    <row r="64" spans="1:34" ht="15" customHeight="1">
      <c r="A64" s="465"/>
      <c r="B64" s="2273" t="s">
        <v>1519</v>
      </c>
      <c r="C64" s="2274"/>
      <c r="D64" s="2274"/>
      <c r="E64" s="2274"/>
      <c r="F64" s="503" t="s">
        <v>537</v>
      </c>
      <c r="G64" s="1976">
        <f>VLOOKUP(F64,fueltype,2)</f>
        <v>1.2</v>
      </c>
      <c r="H64" s="1977"/>
      <c r="I64" s="1978"/>
      <c r="J64" s="485"/>
      <c r="K64" s="491"/>
      <c r="L64" s="520"/>
      <c r="M64" s="510"/>
      <c r="N64" s="1942"/>
      <c r="O64" s="1943"/>
      <c r="P64" s="1943"/>
      <c r="Q64" s="1943"/>
      <c r="R64" s="1936"/>
      <c r="S64" s="1937"/>
      <c r="T64" s="1898"/>
      <c r="U64" s="1899"/>
      <c r="V64" s="1899"/>
      <c r="W64" s="1899"/>
      <c r="X64" s="1899"/>
      <c r="Y64" s="1899"/>
      <c r="Z64" s="1899"/>
      <c r="AA64" s="1899"/>
      <c r="AB64" s="1899"/>
      <c r="AC64" s="1899"/>
      <c r="AD64" s="1899"/>
      <c r="AE64" s="1899"/>
      <c r="AF64" s="1899"/>
      <c r="AG64" s="1899"/>
      <c r="AH64" s="1899"/>
    </row>
    <row r="65" spans="1:34" ht="14.25" customHeight="1" thickBot="1">
      <c r="A65" s="465"/>
      <c r="B65" s="2280" t="s">
        <v>1520</v>
      </c>
      <c r="C65" s="2281"/>
      <c r="D65" s="2281"/>
      <c r="E65" s="2281"/>
      <c r="F65" s="2040">
        <f>F62/F63</f>
        <v>0</v>
      </c>
      <c r="G65" s="1979"/>
      <c r="H65" s="2041">
        <f>F62*F38-F65*G64</f>
        <v>0</v>
      </c>
      <c r="I65" s="2042">
        <f>IF(F28=0,0,H65/$F$28)</f>
        <v>0</v>
      </c>
      <c r="J65" s="485"/>
      <c r="K65" s="491"/>
      <c r="L65" s="520"/>
      <c r="M65" s="510"/>
      <c r="N65" s="1933"/>
      <c r="O65" s="1934"/>
      <c r="P65" s="1934"/>
      <c r="Q65" s="1934"/>
      <c r="R65" s="1936"/>
      <c r="S65" s="1937"/>
      <c r="T65" s="1898"/>
      <c r="U65" s="1899"/>
      <c r="V65" s="1899"/>
      <c r="W65" s="1899"/>
      <c r="X65" s="1899"/>
      <c r="Y65" s="1899"/>
      <c r="Z65" s="1899"/>
      <c r="AA65" s="1899"/>
      <c r="AB65" s="1899"/>
      <c r="AC65" s="1899"/>
      <c r="AD65" s="1899"/>
      <c r="AE65" s="1899"/>
      <c r="AF65" s="1899"/>
      <c r="AG65" s="1899"/>
      <c r="AH65" s="1899"/>
    </row>
    <row r="66" spans="1:34" ht="17.100000000000001" customHeight="1" thickBot="1">
      <c r="A66" s="465"/>
      <c r="J66" s="485"/>
      <c r="K66" s="491"/>
      <c r="L66" s="520"/>
      <c r="M66" s="510"/>
      <c r="N66" s="1933"/>
      <c r="O66" s="1934"/>
      <c r="P66" s="1934"/>
      <c r="Q66" s="1934"/>
      <c r="R66" s="1936"/>
      <c r="S66" s="1937"/>
      <c r="T66" s="1898"/>
      <c r="U66" s="1899"/>
      <c r="V66" s="1899"/>
      <c r="W66" s="1899"/>
      <c r="X66" s="1899"/>
      <c r="Y66" s="1899"/>
      <c r="Z66" s="1899"/>
      <c r="AA66" s="1899"/>
      <c r="AB66" s="1899"/>
      <c r="AC66" s="1899"/>
      <c r="AD66" s="1899"/>
      <c r="AE66" s="1899"/>
      <c r="AF66" s="1899"/>
      <c r="AG66" s="1899"/>
      <c r="AH66" s="1899"/>
    </row>
    <row r="67" spans="1:34" s="459" customFormat="1" ht="20.100000000000001" customHeight="1" thickBot="1">
      <c r="A67" s="474"/>
      <c r="B67" s="1864" t="s">
        <v>418</v>
      </c>
      <c r="C67" s="1892"/>
      <c r="D67" s="1892"/>
      <c r="E67" s="1892"/>
      <c r="F67" s="1892"/>
      <c r="G67" s="1892"/>
      <c r="H67" s="1892"/>
      <c r="I67" s="1893"/>
      <c r="J67" s="494"/>
      <c r="K67" s="491"/>
      <c r="L67" s="520"/>
      <c r="M67" s="521"/>
      <c r="N67" s="1938"/>
      <c r="O67" s="1939"/>
      <c r="P67" s="1939"/>
      <c r="Q67" s="1939"/>
      <c r="R67" s="1940"/>
      <c r="S67" s="1941"/>
      <c r="T67" s="1904"/>
      <c r="U67" s="1905"/>
      <c r="V67" s="1905"/>
      <c r="W67" s="1905"/>
      <c r="X67" s="1905"/>
      <c r="Y67" s="1905"/>
      <c r="Z67" s="1905"/>
      <c r="AA67" s="1905"/>
      <c r="AB67" s="1905"/>
      <c r="AC67" s="1905"/>
      <c r="AD67" s="1905"/>
      <c r="AE67" s="1905"/>
      <c r="AF67" s="1905"/>
      <c r="AG67" s="1905"/>
      <c r="AH67" s="1905"/>
    </row>
    <row r="68" spans="1:34" ht="15.75">
      <c r="A68" s="465"/>
      <c r="B68" s="1889"/>
      <c r="C68" s="1890" t="s">
        <v>419</v>
      </c>
      <c r="D68" s="1890"/>
      <c r="E68" s="1890"/>
      <c r="F68" s="1890"/>
      <c r="G68" s="2043"/>
      <c r="H68" s="1980">
        <f>IF(F28=0,0,E53/$F$28)</f>
        <v>0</v>
      </c>
      <c r="I68" s="1891" t="s">
        <v>1710</v>
      </c>
      <c r="J68" s="485"/>
      <c r="K68" s="491"/>
      <c r="L68" s="520"/>
      <c r="M68" s="510"/>
      <c r="N68" s="1933"/>
      <c r="O68" s="1934"/>
      <c r="P68" s="1934"/>
      <c r="Q68" s="1934"/>
      <c r="R68" s="1936"/>
      <c r="S68" s="1937"/>
      <c r="T68" s="1898"/>
      <c r="U68" s="1899"/>
      <c r="V68" s="1899"/>
      <c r="W68" s="1899"/>
      <c r="X68" s="1899"/>
      <c r="Y68" s="1899"/>
      <c r="Z68" s="1899"/>
      <c r="AA68" s="1899"/>
      <c r="AB68" s="1899"/>
      <c r="AC68" s="1899"/>
      <c r="AD68" s="1899"/>
      <c r="AE68" s="1899"/>
      <c r="AF68" s="1899"/>
      <c r="AG68" s="1899"/>
      <c r="AH68" s="1899"/>
    </row>
    <row r="69" spans="1:34" ht="15.75">
      <c r="A69" s="465"/>
      <c r="B69" s="1883"/>
      <c r="C69" s="2044" t="s">
        <v>420</v>
      </c>
      <c r="D69" s="2044"/>
      <c r="E69" s="2044"/>
      <c r="F69" s="2044"/>
      <c r="G69" s="2045"/>
      <c r="H69" s="1981">
        <f>IF(F28=0,0,(F53+G53-F57)/$F$28)</f>
        <v>0</v>
      </c>
      <c r="I69" s="1884" t="s">
        <v>421</v>
      </c>
      <c r="J69" s="485"/>
      <c r="K69" s="491"/>
      <c r="L69" s="520"/>
      <c r="M69" s="510"/>
      <c r="N69" s="1933"/>
      <c r="O69" s="1934"/>
      <c r="P69" s="1934"/>
      <c r="Q69" s="1934"/>
      <c r="R69" s="1936"/>
      <c r="S69" s="1937"/>
      <c r="T69" s="1898"/>
      <c r="U69" s="1899"/>
      <c r="V69" s="1899"/>
      <c r="W69" s="1899"/>
      <c r="X69" s="1899"/>
      <c r="Y69" s="1899"/>
      <c r="Z69" s="1899"/>
      <c r="AA69" s="1899"/>
      <c r="AB69" s="1899"/>
      <c r="AC69" s="1899"/>
      <c r="AD69" s="1899"/>
      <c r="AE69" s="1899"/>
      <c r="AF69" s="1899"/>
      <c r="AG69" s="1899"/>
      <c r="AH69" s="1899"/>
    </row>
    <row r="70" spans="1:34" ht="16.5">
      <c r="A70" s="465"/>
      <c r="B70" s="1883"/>
      <c r="C70" s="2046" t="s">
        <v>759</v>
      </c>
      <c r="D70" s="2046"/>
      <c r="E70" s="2046"/>
      <c r="F70" s="2046"/>
      <c r="G70" s="2047"/>
      <c r="H70" s="1981">
        <f>IF(F28=0,0,(E53*E38)/$F$28)</f>
        <v>0</v>
      </c>
      <c r="I70" s="1884" t="s">
        <v>1438</v>
      </c>
      <c r="J70" s="485"/>
      <c r="K70" s="491"/>
      <c r="L70" s="520"/>
      <c r="M70" s="510"/>
      <c r="N70" s="1933"/>
      <c r="O70" s="1934"/>
      <c r="P70" s="1934"/>
      <c r="Q70" s="1934"/>
      <c r="R70" s="1936"/>
      <c r="S70" s="1937"/>
      <c r="T70" s="1898"/>
      <c r="U70" s="1899"/>
      <c r="V70" s="1899"/>
      <c r="W70" s="1899"/>
      <c r="X70" s="1899"/>
      <c r="Y70" s="1899"/>
      <c r="Z70" s="1899"/>
      <c r="AA70" s="1899"/>
      <c r="AB70" s="1899"/>
      <c r="AC70" s="1899"/>
      <c r="AD70" s="1899"/>
      <c r="AE70" s="1899"/>
      <c r="AF70" s="1899"/>
      <c r="AG70" s="1899"/>
      <c r="AH70" s="1899"/>
    </row>
    <row r="71" spans="1:34" ht="16.5">
      <c r="A71" s="465"/>
      <c r="B71" s="1883"/>
      <c r="C71" s="2046" t="s">
        <v>760</v>
      </c>
      <c r="D71" s="2046"/>
      <c r="E71" s="2046"/>
      <c r="F71" s="2046"/>
      <c r="G71" s="2047"/>
      <c r="H71" s="1981">
        <f>IF(F28=0,0,(F53*F38+G53*G38-H57-H65)/$F$28)</f>
        <v>0</v>
      </c>
      <c r="I71" s="1884" t="s">
        <v>1438</v>
      </c>
      <c r="J71" s="485"/>
      <c r="K71" s="491"/>
      <c r="L71" s="520"/>
      <c r="M71" s="510"/>
      <c r="N71" s="1933"/>
      <c r="O71" s="1934"/>
      <c r="P71" s="1934"/>
      <c r="Q71" s="1934"/>
      <c r="R71" s="1936"/>
      <c r="S71" s="1937"/>
      <c r="T71" s="1898"/>
      <c r="U71" s="1899"/>
      <c r="V71" s="1899"/>
      <c r="W71" s="1899"/>
      <c r="X71" s="1899"/>
      <c r="Y71" s="1899"/>
      <c r="Z71" s="1899"/>
      <c r="AA71" s="1899"/>
      <c r="AB71" s="1899"/>
      <c r="AC71" s="1899"/>
      <c r="AD71" s="1899"/>
      <c r="AE71" s="1899"/>
      <c r="AF71" s="1899"/>
      <c r="AG71" s="1899"/>
      <c r="AH71" s="1899"/>
    </row>
    <row r="72" spans="1:34" ht="16.5">
      <c r="A72" s="465"/>
      <c r="B72" s="1883"/>
      <c r="C72" s="2046" t="s">
        <v>761</v>
      </c>
      <c r="D72" s="2046"/>
      <c r="E72" s="2046"/>
      <c r="F72" s="2046"/>
      <c r="G72" s="2047"/>
      <c r="H72" s="1981">
        <f>IF(F28=0,0,SUM(E39:E49)*E38/$F$28)</f>
        <v>0</v>
      </c>
      <c r="I72" s="1884" t="s">
        <v>1438</v>
      </c>
      <c r="J72" s="485"/>
      <c r="K72" s="491"/>
      <c r="L72" s="520"/>
      <c r="M72" s="510"/>
      <c r="N72" s="1933"/>
      <c r="O72" s="1934"/>
      <c r="P72" s="1934"/>
      <c r="Q72" s="1934"/>
      <c r="R72" s="1936"/>
      <c r="S72" s="1937"/>
      <c r="T72" s="1898"/>
      <c r="U72" s="1899"/>
      <c r="V72" s="1899"/>
      <c r="W72" s="1899"/>
      <c r="X72" s="1899"/>
      <c r="Y72" s="1899"/>
      <c r="Z72" s="1899"/>
      <c r="AA72" s="1899"/>
      <c r="AB72" s="1899"/>
      <c r="AC72" s="1899"/>
      <c r="AD72" s="1899"/>
      <c r="AE72" s="1899"/>
      <c r="AF72" s="1899"/>
      <c r="AG72" s="1899"/>
      <c r="AH72" s="1899"/>
    </row>
    <row r="73" spans="1:34" ht="16.5">
      <c r="A73" s="465"/>
      <c r="B73" s="1883"/>
      <c r="C73" s="496" t="s">
        <v>762</v>
      </c>
      <c r="D73" s="496"/>
      <c r="E73" s="496"/>
      <c r="F73" s="496"/>
      <c r="G73" s="502"/>
      <c r="H73" s="1981">
        <f>IF(F28=0,0,(SUM(F39:F49)*F38+G53*G38-H57-H65)/$F$28)</f>
        <v>0</v>
      </c>
      <c r="I73" s="1884" t="s">
        <v>1438</v>
      </c>
      <c r="J73" s="485"/>
      <c r="K73" s="491"/>
      <c r="L73" s="520"/>
      <c r="M73" s="510"/>
      <c r="N73" s="1933"/>
      <c r="O73" s="1934"/>
      <c r="P73" s="1895"/>
      <c r="Q73" s="1934"/>
      <c r="R73" s="1936"/>
      <c r="S73" s="1937"/>
      <c r="T73" s="1821"/>
      <c r="U73" s="1821"/>
      <c r="V73" s="1821"/>
      <c r="W73" s="1944"/>
      <c r="X73" s="1945"/>
      <c r="Y73" s="1945"/>
      <c r="Z73" s="1945"/>
      <c r="AA73" s="1945"/>
      <c r="AB73" s="1945"/>
      <c r="AC73" s="1945"/>
      <c r="AD73" s="1945"/>
      <c r="AE73" s="1945"/>
      <c r="AF73" s="1899"/>
      <c r="AG73" s="1899"/>
      <c r="AH73" s="1899"/>
    </row>
    <row r="74" spans="1:34" s="459" customFormat="1" ht="15.75" customHeight="1" thickBot="1">
      <c r="A74" s="474"/>
      <c r="B74" s="1885" t="s">
        <v>515</v>
      </c>
      <c r="C74" s="1886"/>
      <c r="D74" s="1886"/>
      <c r="E74" s="1886"/>
      <c r="F74" s="1886"/>
      <c r="G74" s="1887"/>
      <c r="H74" s="1982">
        <f>IF(H72=0,0,(H72-H73)/H72)</f>
        <v>0</v>
      </c>
      <c r="I74" s="1888"/>
      <c r="J74" s="494"/>
      <c r="K74" s="491"/>
      <c r="L74" s="520"/>
      <c r="M74" s="521"/>
      <c r="N74" s="1938"/>
      <c r="O74" s="1939"/>
      <c r="P74" s="1939"/>
      <c r="Q74" s="1939"/>
      <c r="R74" s="1940"/>
      <c r="S74" s="1941"/>
      <c r="T74" s="1821"/>
      <c r="U74" s="1821"/>
      <c r="V74" s="1821"/>
      <c r="W74" s="1944"/>
      <c r="X74" s="1945"/>
      <c r="Y74" s="1945"/>
      <c r="Z74" s="1945"/>
      <c r="AA74" s="1945"/>
      <c r="AB74" s="1945"/>
      <c r="AC74" s="1945"/>
      <c r="AD74" s="1945"/>
      <c r="AE74" s="1945"/>
      <c r="AF74" s="1905"/>
      <c r="AG74" s="1905"/>
      <c r="AH74" s="1905"/>
    </row>
    <row r="75" spans="1:34" ht="17.100000000000001" customHeight="1" thickBot="1">
      <c r="A75" s="465"/>
      <c r="B75" s="458"/>
      <c r="C75" s="458"/>
      <c r="D75" s="458"/>
      <c r="E75" s="458"/>
      <c r="F75" s="458"/>
      <c r="G75" s="458"/>
      <c r="H75" s="458"/>
      <c r="I75" s="458"/>
      <c r="J75" s="485"/>
      <c r="K75" s="491"/>
      <c r="L75" s="520"/>
      <c r="M75" s="510"/>
      <c r="N75" s="1933"/>
      <c r="O75" s="1934"/>
      <c r="P75" s="1934"/>
      <c r="Q75" s="1934"/>
      <c r="R75" s="1936"/>
      <c r="S75" s="1937"/>
      <c r="T75" s="1822" t="s">
        <v>313</v>
      </c>
      <c r="U75" s="1822"/>
      <c r="V75" s="1822"/>
      <c r="W75" s="1944"/>
      <c r="X75" s="1945"/>
      <c r="Y75" s="1945"/>
      <c r="Z75" s="1945"/>
      <c r="AA75" s="1945"/>
      <c r="AB75" s="1945"/>
      <c r="AC75" s="1945"/>
      <c r="AD75" s="1945"/>
      <c r="AE75" s="1945"/>
      <c r="AF75" s="1899"/>
      <c r="AG75" s="1899"/>
      <c r="AH75" s="1899"/>
    </row>
    <row r="76" spans="1:34">
      <c r="A76" s="458"/>
      <c r="B76" s="2282" t="s">
        <v>312</v>
      </c>
      <c r="C76" s="2283"/>
      <c r="D76" s="2283"/>
      <c r="E76" s="2283"/>
      <c r="F76" s="2283"/>
      <c r="G76" s="2283"/>
      <c r="H76" s="2284"/>
      <c r="I76" s="2277" t="str">
        <f>IF(H12=X126,T78,"-")</f>
        <v>-</v>
      </c>
      <c r="J76" s="480"/>
      <c r="K76" s="495"/>
      <c r="L76" s="522"/>
      <c r="M76" s="510"/>
      <c r="N76" s="1933"/>
      <c r="O76" s="1934"/>
      <c r="P76" s="1934"/>
      <c r="Q76" s="1934"/>
      <c r="R76" s="1894"/>
      <c r="S76" s="1897"/>
      <c r="T76" s="1934">
        <f>IF(H73&gt;0,20-20*(H73/H72),20)</f>
        <v>20</v>
      </c>
      <c r="U76" s="1822"/>
      <c r="V76" s="1822"/>
      <c r="W76" s="1944"/>
      <c r="X76" s="1945"/>
      <c r="Y76" s="1945"/>
      <c r="Z76" s="1945"/>
      <c r="AA76" s="1945"/>
      <c r="AB76" s="1945"/>
      <c r="AC76" s="1945"/>
      <c r="AD76" s="1945"/>
      <c r="AE76" s="1945"/>
      <c r="AF76" s="1899"/>
      <c r="AG76" s="1899"/>
      <c r="AH76" s="1899"/>
    </row>
    <row r="77" spans="1:34" ht="13.5" thickBot="1">
      <c r="A77" s="458"/>
      <c r="B77" s="2285"/>
      <c r="C77" s="2286"/>
      <c r="D77" s="2286"/>
      <c r="E77" s="2286"/>
      <c r="F77" s="2286"/>
      <c r="G77" s="2286"/>
      <c r="H77" s="2287"/>
      <c r="I77" s="2278"/>
      <c r="J77" s="485"/>
      <c r="K77" s="492"/>
      <c r="L77" s="523"/>
      <c r="M77" s="508"/>
      <c r="N77" s="1927"/>
      <c r="O77" s="1895"/>
      <c r="P77" s="1946"/>
      <c r="Q77" s="1946"/>
      <c r="R77" s="1894"/>
      <c r="S77" s="1897"/>
      <c r="T77" s="1823" t="s">
        <v>4</v>
      </c>
      <c r="U77" s="1823"/>
      <c r="V77" s="1823"/>
      <c r="W77" s="1947"/>
      <c r="X77" s="1948"/>
      <c r="Y77" s="1948"/>
      <c r="Z77" s="1948"/>
      <c r="AA77" s="1948"/>
      <c r="AB77" s="1948"/>
      <c r="AC77" s="1948"/>
      <c r="AD77" s="1948"/>
      <c r="AE77" s="1948"/>
      <c r="AF77" s="1899"/>
      <c r="AG77" s="1899"/>
      <c r="AH77" s="1899"/>
    </row>
    <row r="78" spans="1:34" ht="13.5" thickBot="1">
      <c r="A78" s="458"/>
      <c r="B78" s="2288"/>
      <c r="C78" s="2289"/>
      <c r="D78" s="2289"/>
      <c r="E78" s="2289"/>
      <c r="F78" s="2289"/>
      <c r="G78" s="2289"/>
      <c r="H78" s="2290"/>
      <c r="I78" s="2279"/>
      <c r="J78" s="485"/>
      <c r="K78" s="492"/>
      <c r="L78" s="523"/>
      <c r="M78" s="508"/>
      <c r="N78" s="1927"/>
      <c r="O78" s="1946"/>
      <c r="P78" s="1946"/>
      <c r="Q78" s="1946"/>
      <c r="R78" s="1894"/>
      <c r="S78" s="1897"/>
      <c r="T78" s="1949">
        <f>VLOOKUP(1,W81:X101,2,FALSE)</f>
        <v>0</v>
      </c>
      <c r="U78" s="1822"/>
      <c r="V78" s="1822"/>
      <c r="W78" s="1944"/>
      <c r="X78" s="1945"/>
      <c r="Y78" s="1945"/>
      <c r="Z78" s="1945"/>
      <c r="AA78" s="1945"/>
      <c r="AB78" s="1945"/>
      <c r="AC78" s="1945"/>
      <c r="AD78" s="1945"/>
      <c r="AE78" s="1945"/>
      <c r="AF78" s="1899"/>
      <c r="AG78" s="1899"/>
      <c r="AH78" s="1899"/>
    </row>
    <row r="79" spans="1:34">
      <c r="A79" s="458"/>
      <c r="J79" s="485"/>
      <c r="L79" s="508"/>
      <c r="M79" s="508"/>
      <c r="N79" s="1927"/>
      <c r="O79" s="1946"/>
      <c r="P79" s="1946"/>
      <c r="Q79" s="1946"/>
      <c r="R79" s="1927"/>
      <c r="S79" s="1897"/>
      <c r="T79" s="1822"/>
      <c r="U79" s="1822"/>
      <c r="V79" s="1822"/>
      <c r="W79" s="1950"/>
      <c r="X79" s="1945"/>
      <c r="Y79" s="1945"/>
      <c r="Z79" s="1945"/>
      <c r="AA79" s="1945"/>
      <c r="AB79" s="1945"/>
      <c r="AC79" s="1945"/>
      <c r="AD79" s="1945"/>
      <c r="AE79" s="1945"/>
      <c r="AF79" s="1899"/>
      <c r="AG79" s="1899"/>
      <c r="AH79" s="1899"/>
    </row>
    <row r="80" spans="1:34">
      <c r="A80" s="458"/>
      <c r="J80" s="485"/>
      <c r="L80" s="508"/>
      <c r="M80" s="508"/>
      <c r="N80" s="1927"/>
      <c r="O80" s="1946"/>
      <c r="P80" s="1946"/>
      <c r="Q80" s="1946"/>
      <c r="R80" s="1927"/>
      <c r="S80" s="1897"/>
      <c r="T80" s="1951" t="s">
        <v>5</v>
      </c>
      <c r="U80" s="1952" t="s">
        <v>6</v>
      </c>
      <c r="V80" s="1952" t="s">
        <v>7</v>
      </c>
      <c r="W80" s="1953" t="s">
        <v>8</v>
      </c>
      <c r="X80" s="1954" t="s">
        <v>9</v>
      </c>
      <c r="Y80" s="1945"/>
      <c r="Z80" s="1945"/>
      <c r="AA80" s="1945"/>
      <c r="AB80" s="1945"/>
      <c r="AC80" s="1945"/>
      <c r="AD80" s="1945"/>
      <c r="AE80" s="1945"/>
      <c r="AF80" s="1899"/>
      <c r="AG80" s="1899"/>
      <c r="AH80" s="1899"/>
    </row>
    <row r="81" spans="1:34">
      <c r="A81" s="458"/>
      <c r="B81" s="475"/>
      <c r="C81" s="458"/>
      <c r="D81" s="458"/>
      <c r="E81" s="458"/>
      <c r="F81" s="458"/>
      <c r="G81" s="458"/>
      <c r="H81" s="458"/>
      <c r="I81" s="458"/>
      <c r="J81" s="485"/>
      <c r="L81" s="508"/>
      <c r="M81" s="508"/>
      <c r="N81" s="1927"/>
      <c r="O81" s="1946"/>
      <c r="P81" s="1946"/>
      <c r="Q81" s="1946"/>
      <c r="R81" s="1927"/>
      <c r="S81" s="1897"/>
      <c r="T81" s="1822" t="s">
        <v>10</v>
      </c>
      <c r="U81" s="1952">
        <v>0</v>
      </c>
      <c r="V81" s="1952">
        <v>5</v>
      </c>
      <c r="W81" s="1953">
        <f>IF((AND(($H$74*100)&gt;=U81,($H$74*100)&lt;V81)),1,0)</f>
        <v>1</v>
      </c>
      <c r="X81" s="1954">
        <v>0</v>
      </c>
      <c r="Y81" s="1945"/>
      <c r="Z81" s="1945"/>
      <c r="AA81" s="1945"/>
      <c r="AB81" s="1945"/>
      <c r="AC81" s="1945"/>
      <c r="AD81" s="1945"/>
      <c r="AE81" s="1945"/>
      <c r="AF81" s="1899"/>
      <c r="AG81" s="1899"/>
      <c r="AH81" s="1899"/>
    </row>
    <row r="82" spans="1:34">
      <c r="A82" s="458"/>
      <c r="B82" s="475"/>
      <c r="C82" s="458"/>
      <c r="D82" s="458"/>
      <c r="E82" s="458"/>
      <c r="F82" s="458"/>
      <c r="G82" s="458"/>
      <c r="H82" s="458"/>
      <c r="I82" s="476"/>
      <c r="J82" s="485"/>
      <c r="L82" s="508"/>
      <c r="M82" s="508"/>
      <c r="N82" s="1927"/>
      <c r="O82" s="1946"/>
      <c r="P82" s="1946"/>
      <c r="Q82" s="1946"/>
      <c r="R82" s="1927"/>
      <c r="S82" s="1897"/>
      <c r="T82" s="1822" t="s">
        <v>11</v>
      </c>
      <c r="U82" s="1952">
        <v>5</v>
      </c>
      <c r="V82" s="1952">
        <v>10</v>
      </c>
      <c r="W82" s="1953">
        <f t="shared" ref="W82:W101" si="0">IF((AND(($H$74*100)&gt;=U82,($H$74*100)&lt;V82)),1,0)</f>
        <v>0</v>
      </c>
      <c r="X82" s="1955">
        <v>1</v>
      </c>
      <c r="Y82" s="1945"/>
      <c r="Z82" s="1945"/>
      <c r="AA82" s="1945"/>
      <c r="AB82" s="1945"/>
      <c r="AC82" s="1945"/>
      <c r="AD82" s="1945"/>
      <c r="AE82" s="1945"/>
      <c r="AF82" s="1899"/>
      <c r="AG82" s="1899"/>
      <c r="AH82" s="1899"/>
    </row>
    <row r="83" spans="1:34">
      <c r="A83" s="458"/>
      <c r="B83" s="458"/>
      <c r="C83" s="458"/>
      <c r="D83" s="458"/>
      <c r="E83" s="458"/>
      <c r="F83" s="458"/>
      <c r="G83" s="458"/>
      <c r="H83" s="458"/>
      <c r="I83" s="458"/>
      <c r="J83" s="485"/>
      <c r="L83" s="508"/>
      <c r="M83" s="508"/>
      <c r="N83" s="1927"/>
      <c r="O83" s="1946"/>
      <c r="P83" s="1946"/>
      <c r="Q83" s="1946"/>
      <c r="R83" s="1927"/>
      <c r="S83" s="1897"/>
      <c r="T83" s="1822" t="s">
        <v>12</v>
      </c>
      <c r="U83" s="1952">
        <v>10</v>
      </c>
      <c r="V83" s="1952">
        <v>15</v>
      </c>
      <c r="W83" s="1953">
        <f t="shared" si="0"/>
        <v>0</v>
      </c>
      <c r="X83" s="1955">
        <v>2</v>
      </c>
      <c r="Y83" s="1945"/>
      <c r="Z83" s="1945"/>
      <c r="AA83" s="1945"/>
      <c r="AB83" s="1945"/>
      <c r="AC83" s="1945"/>
      <c r="AD83" s="1945"/>
      <c r="AE83" s="1945"/>
      <c r="AF83" s="1899"/>
      <c r="AG83" s="1899"/>
      <c r="AH83" s="1899"/>
    </row>
    <row r="84" spans="1:34">
      <c r="A84" s="458"/>
      <c r="B84" s="458"/>
      <c r="C84" s="458"/>
      <c r="D84" s="458"/>
      <c r="E84" s="458"/>
      <c r="F84" s="458"/>
      <c r="G84" s="458"/>
      <c r="H84" s="458"/>
      <c r="I84" s="458"/>
      <c r="J84" s="485"/>
      <c r="K84" s="486"/>
      <c r="L84" s="508"/>
      <c r="M84" s="508"/>
      <c r="N84" s="1927"/>
      <c r="O84" s="1946"/>
      <c r="P84" s="1946"/>
      <c r="Q84" s="1946"/>
      <c r="R84" s="1927"/>
      <c r="S84" s="1897"/>
      <c r="T84" s="1822" t="s">
        <v>13</v>
      </c>
      <c r="U84" s="1952">
        <v>15</v>
      </c>
      <c r="V84" s="1952">
        <v>20</v>
      </c>
      <c r="W84" s="1953">
        <f t="shared" si="0"/>
        <v>0</v>
      </c>
      <c r="X84" s="1955">
        <v>3</v>
      </c>
      <c r="Y84" s="1945"/>
      <c r="Z84" s="1945"/>
      <c r="AA84" s="1945"/>
      <c r="AB84" s="1945"/>
      <c r="AC84" s="1945"/>
      <c r="AD84" s="1945"/>
      <c r="AE84" s="1945"/>
      <c r="AF84" s="1899"/>
      <c r="AG84" s="1899"/>
      <c r="AH84" s="1899"/>
    </row>
    <row r="85" spans="1:34">
      <c r="A85" s="458"/>
      <c r="J85" s="485"/>
      <c r="L85" s="504"/>
      <c r="M85" s="504"/>
      <c r="N85" s="2013"/>
      <c r="O85" s="1943"/>
      <c r="P85" s="1943"/>
      <c r="Q85" s="1943"/>
      <c r="R85" s="2013"/>
      <c r="S85" s="1897"/>
      <c r="T85" s="1822" t="s">
        <v>1548</v>
      </c>
      <c r="U85" s="1952">
        <v>20</v>
      </c>
      <c r="V85" s="1952">
        <v>25</v>
      </c>
      <c r="W85" s="1953">
        <f t="shared" si="0"/>
        <v>0</v>
      </c>
      <c r="X85" s="1955">
        <v>4</v>
      </c>
      <c r="Y85" s="1945"/>
      <c r="Z85" s="1945"/>
      <c r="AA85" s="1945"/>
      <c r="AB85" s="1945"/>
      <c r="AC85" s="1945"/>
      <c r="AD85" s="1945"/>
      <c r="AE85" s="1945"/>
      <c r="AF85" s="1899"/>
      <c r="AG85" s="1899"/>
      <c r="AH85" s="1899"/>
    </row>
    <row r="86" spans="1:34" ht="15.75" hidden="1">
      <c r="A86" s="458"/>
      <c r="B86" s="1986" t="s">
        <v>1453</v>
      </c>
      <c r="C86" s="2014"/>
      <c r="D86" s="2014"/>
      <c r="E86" s="2014"/>
      <c r="F86" s="2014"/>
      <c r="G86" s="2014"/>
      <c r="H86" s="2015"/>
      <c r="I86" s="2016"/>
      <c r="J86" s="1985"/>
      <c r="L86" s="504"/>
      <c r="M86" s="504"/>
      <c r="N86" s="2013"/>
      <c r="O86" s="1943"/>
      <c r="P86" s="1943"/>
      <c r="Q86" s="1943"/>
      <c r="R86" s="2013"/>
      <c r="S86" s="1897"/>
      <c r="T86" s="1822" t="s">
        <v>1549</v>
      </c>
      <c r="U86" s="1952">
        <v>25</v>
      </c>
      <c r="V86" s="1952">
        <v>30</v>
      </c>
      <c r="W86" s="1953">
        <f t="shared" si="0"/>
        <v>0</v>
      </c>
      <c r="X86" s="1955">
        <v>5</v>
      </c>
      <c r="Y86" s="1945"/>
      <c r="Z86" s="1945"/>
      <c r="AA86" s="1945"/>
      <c r="AB86" s="1945"/>
      <c r="AC86" s="1945"/>
      <c r="AD86" s="1945"/>
      <c r="AE86" s="1945"/>
      <c r="AF86" s="1899"/>
      <c r="AG86" s="1899"/>
      <c r="AH86" s="1899"/>
    </row>
    <row r="87" spans="1:34" ht="15.75" hidden="1">
      <c r="A87" s="458"/>
      <c r="B87" s="1986"/>
      <c r="C87" s="2014"/>
      <c r="D87" s="2014"/>
      <c r="E87" s="2014"/>
      <c r="F87" s="2014"/>
      <c r="G87" s="2014"/>
      <c r="H87" s="2015"/>
      <c r="I87" s="2016"/>
      <c r="J87" s="1985"/>
      <c r="L87" s="504"/>
      <c r="M87" s="504"/>
      <c r="N87" s="2013"/>
      <c r="O87" s="1943"/>
      <c r="P87" s="1943"/>
      <c r="Q87" s="1943"/>
      <c r="R87" s="2013"/>
      <c r="S87" s="1897"/>
      <c r="T87" s="1822" t="s">
        <v>1550</v>
      </c>
      <c r="U87" s="1952">
        <v>30</v>
      </c>
      <c r="V87" s="1952">
        <v>35</v>
      </c>
      <c r="W87" s="1953">
        <f t="shared" si="0"/>
        <v>0</v>
      </c>
      <c r="X87" s="1955">
        <v>6</v>
      </c>
      <c r="Y87" s="1945"/>
      <c r="Z87" s="1945"/>
      <c r="AA87" s="1945"/>
      <c r="AB87" s="1945"/>
      <c r="AC87" s="1945"/>
      <c r="AD87" s="1945"/>
      <c r="AE87" s="1945"/>
      <c r="AF87" s="1899"/>
      <c r="AG87" s="1899"/>
      <c r="AH87" s="1899"/>
    </row>
    <row r="88" spans="1:34" ht="15.75" hidden="1">
      <c r="B88" s="1986"/>
      <c r="C88" s="2014" t="s">
        <v>1325</v>
      </c>
      <c r="D88" s="2014"/>
      <c r="E88" s="1990"/>
      <c r="F88" s="1998">
        <f>F28</f>
        <v>0</v>
      </c>
      <c r="G88" s="2014" t="s">
        <v>763</v>
      </c>
      <c r="H88" s="2258" t="s">
        <v>1447</v>
      </c>
      <c r="I88" s="2259"/>
      <c r="J88" s="2259"/>
      <c r="N88" s="1897"/>
      <c r="O88" s="1895"/>
      <c r="P88" s="1895"/>
      <c r="Q88" s="1895"/>
      <c r="R88" s="1897"/>
      <c r="S88" s="1897"/>
      <c r="T88" s="1822" t="s">
        <v>1551</v>
      </c>
      <c r="U88" s="1952">
        <v>35</v>
      </c>
      <c r="V88" s="1952">
        <v>40</v>
      </c>
      <c r="W88" s="1953">
        <f t="shared" si="0"/>
        <v>0</v>
      </c>
      <c r="X88" s="1955">
        <v>7</v>
      </c>
      <c r="Y88" s="1945"/>
      <c r="Z88" s="1945"/>
      <c r="AA88" s="1945"/>
      <c r="AB88" s="1945"/>
      <c r="AC88" s="1945"/>
      <c r="AD88" s="1945"/>
      <c r="AE88" s="1945"/>
      <c r="AF88" s="1899"/>
      <c r="AG88" s="1899"/>
      <c r="AH88" s="1899"/>
    </row>
    <row r="89" spans="1:34" ht="15.75" hidden="1">
      <c r="B89" s="1986"/>
      <c r="C89" s="2014" t="s">
        <v>1448</v>
      </c>
      <c r="D89" s="2014"/>
      <c r="E89" s="2014"/>
      <c r="F89" s="1991">
        <v>0.15</v>
      </c>
      <c r="G89" s="2014" t="s">
        <v>778</v>
      </c>
      <c r="H89" s="2259"/>
      <c r="I89" s="2259"/>
      <c r="J89" s="2259"/>
      <c r="N89" s="1897"/>
      <c r="O89" s="1895"/>
      <c r="P89" s="1895"/>
      <c r="Q89" s="1895"/>
      <c r="R89" s="1897"/>
      <c r="S89" s="1897"/>
      <c r="T89" s="1822" t="s">
        <v>1552</v>
      </c>
      <c r="U89" s="1952">
        <v>40</v>
      </c>
      <c r="V89" s="1952">
        <v>45</v>
      </c>
      <c r="W89" s="1953">
        <f t="shared" si="0"/>
        <v>0</v>
      </c>
      <c r="X89" s="1955">
        <v>8</v>
      </c>
      <c r="Y89" s="1945"/>
      <c r="Z89" s="1945"/>
      <c r="AA89" s="1945"/>
      <c r="AB89" s="1945"/>
      <c r="AC89" s="1945"/>
      <c r="AD89" s="1945"/>
      <c r="AE89" s="1945"/>
      <c r="AF89" s="1899"/>
      <c r="AG89" s="1899"/>
      <c r="AH89" s="1899"/>
    </row>
    <row r="90" spans="1:34" ht="15.75" hidden="1">
      <c r="B90" s="1986"/>
      <c r="C90" s="2014" t="s">
        <v>1449</v>
      </c>
      <c r="D90" s="2014"/>
      <c r="E90" s="2014"/>
      <c r="F90" s="1991">
        <f>F88*F89</f>
        <v>0</v>
      </c>
      <c r="G90" s="2014" t="s">
        <v>1446</v>
      </c>
      <c r="H90" s="2259"/>
      <c r="I90" s="2259"/>
      <c r="J90" s="2259"/>
      <c r="N90" s="1897"/>
      <c r="O90" s="1895"/>
      <c r="P90" s="1895"/>
      <c r="Q90" s="1895"/>
      <c r="R90" s="1897"/>
      <c r="S90" s="1897"/>
      <c r="T90" s="1822" t="s">
        <v>1553</v>
      </c>
      <c r="U90" s="1952">
        <v>45</v>
      </c>
      <c r="V90" s="1952">
        <v>50</v>
      </c>
      <c r="W90" s="1953">
        <f t="shared" si="0"/>
        <v>0</v>
      </c>
      <c r="X90" s="1955">
        <v>9</v>
      </c>
      <c r="Y90" s="1945"/>
      <c r="Z90" s="1945"/>
      <c r="AA90" s="1945"/>
      <c r="AB90" s="1945"/>
      <c r="AC90" s="1945"/>
      <c r="AD90" s="1945"/>
      <c r="AE90" s="1945"/>
      <c r="AF90" s="1899"/>
      <c r="AG90" s="1899"/>
      <c r="AH90" s="1899"/>
    </row>
    <row r="91" spans="1:34" ht="12.75" hidden="1" customHeight="1">
      <c r="B91" s="1986"/>
      <c r="C91" s="2014" t="s">
        <v>1449</v>
      </c>
      <c r="D91" s="2014"/>
      <c r="E91" s="2017"/>
      <c r="F91" s="1991">
        <f>F90/1000</f>
        <v>0</v>
      </c>
      <c r="G91" s="2014" t="s">
        <v>904</v>
      </c>
      <c r="H91" s="2260"/>
      <c r="I91" s="2260"/>
      <c r="J91" s="2260"/>
      <c r="N91" s="1897"/>
      <c r="O91" s="1895"/>
      <c r="P91" s="1895"/>
      <c r="Q91" s="1895"/>
      <c r="R91" s="1897"/>
      <c r="S91" s="1897"/>
      <c r="T91" s="1822" t="s">
        <v>1554</v>
      </c>
      <c r="U91" s="1952">
        <v>50</v>
      </c>
      <c r="V91" s="1952">
        <v>55</v>
      </c>
      <c r="W91" s="1953">
        <f t="shared" si="0"/>
        <v>0</v>
      </c>
      <c r="X91" s="1955">
        <v>10</v>
      </c>
      <c r="Y91" s="1945"/>
      <c r="Z91" s="1945"/>
      <c r="AA91" s="1945"/>
      <c r="AB91" s="1945"/>
      <c r="AC91" s="1945"/>
      <c r="AD91" s="1945"/>
      <c r="AE91" s="1945"/>
      <c r="AF91" s="1899"/>
      <c r="AG91" s="1899"/>
      <c r="AH91" s="1899"/>
    </row>
    <row r="92" spans="1:34" ht="12.75" hidden="1" customHeight="1">
      <c r="A92" s="1984"/>
      <c r="B92" s="1986"/>
      <c r="C92" s="2258" t="s">
        <v>1450</v>
      </c>
      <c r="D92" s="2259"/>
      <c r="E92" s="2259"/>
      <c r="F92" s="1992">
        <v>0.9</v>
      </c>
      <c r="G92" s="2014"/>
      <c r="H92" s="2015"/>
      <c r="I92" s="2016"/>
      <c r="J92" s="1985"/>
      <c r="K92" s="1985"/>
      <c r="L92" s="1897"/>
      <c r="N92" s="1897"/>
      <c r="O92" s="1895"/>
      <c r="P92" s="1895"/>
      <c r="Q92" s="1895"/>
      <c r="R92" s="1897"/>
      <c r="S92" s="1897"/>
      <c r="T92" s="1822" t="s">
        <v>14</v>
      </c>
      <c r="U92" s="1952">
        <v>55</v>
      </c>
      <c r="V92" s="1952">
        <v>60</v>
      </c>
      <c r="W92" s="1953">
        <f t="shared" si="0"/>
        <v>0</v>
      </c>
      <c r="X92" s="1955">
        <v>11</v>
      </c>
      <c r="Y92" s="1945"/>
      <c r="Z92" s="1945"/>
      <c r="AA92" s="1945"/>
      <c r="AB92" s="1945"/>
      <c r="AC92" s="1945"/>
      <c r="AD92" s="1945"/>
      <c r="AE92" s="1945"/>
      <c r="AF92" s="1899"/>
      <c r="AG92" s="1899"/>
      <c r="AH92" s="1899"/>
    </row>
    <row r="93" spans="1:34" ht="15.75" hidden="1" customHeight="1">
      <c r="A93" s="1984"/>
      <c r="B93" s="1986"/>
      <c r="C93" s="1984"/>
      <c r="D93" s="2014"/>
      <c r="E93" s="2014"/>
      <c r="F93" s="2014"/>
      <c r="G93" s="2014"/>
      <c r="H93" s="2015"/>
      <c r="I93" s="2016"/>
      <c r="J93" s="1985"/>
      <c r="K93" s="1985"/>
      <c r="L93" s="1897"/>
      <c r="N93" s="1897"/>
      <c r="O93" s="1895"/>
      <c r="P93" s="1895"/>
      <c r="Q93" s="1895"/>
      <c r="R93" s="1897"/>
      <c r="S93" s="1897"/>
      <c r="T93" s="1822" t="s">
        <v>15</v>
      </c>
      <c r="U93" s="1952">
        <v>60</v>
      </c>
      <c r="V93" s="1952">
        <v>65</v>
      </c>
      <c r="W93" s="1953">
        <f t="shared" si="0"/>
        <v>0</v>
      </c>
      <c r="X93" s="1955">
        <v>12</v>
      </c>
      <c r="Y93" s="1945"/>
      <c r="Z93" s="1945"/>
      <c r="AA93" s="1945"/>
      <c r="AB93" s="1945"/>
      <c r="AC93" s="1945"/>
      <c r="AD93" s="1945"/>
      <c r="AE93" s="1945"/>
      <c r="AF93" s="1899"/>
      <c r="AG93" s="1899"/>
      <c r="AH93" s="1899"/>
    </row>
    <row r="94" spans="1:34" ht="15.75" hidden="1" customHeight="1">
      <c r="A94" s="1984"/>
      <c r="B94" s="1986"/>
      <c r="C94" s="2023" t="s">
        <v>1451</v>
      </c>
      <c r="D94" s="2014"/>
      <c r="E94" s="2014"/>
      <c r="F94" s="2024">
        <f>(F91*1000*4200*55)/(3600*1000)*260/F92</f>
        <v>0</v>
      </c>
      <c r="G94" s="2015" t="s">
        <v>1435</v>
      </c>
      <c r="H94" s="1990"/>
      <c r="I94" s="2016"/>
      <c r="J94" s="1985"/>
      <c r="K94" s="1985"/>
      <c r="L94" s="2291"/>
      <c r="N94" s="1897"/>
      <c r="O94" s="1895"/>
      <c r="P94" s="1895"/>
      <c r="Q94" s="1895"/>
      <c r="R94" s="1897"/>
      <c r="S94" s="1897"/>
      <c r="T94" s="1822" t="s">
        <v>16</v>
      </c>
      <c r="U94" s="1952">
        <v>65</v>
      </c>
      <c r="V94" s="1952">
        <v>70</v>
      </c>
      <c r="W94" s="1953">
        <f t="shared" si="0"/>
        <v>0</v>
      </c>
      <c r="X94" s="1955">
        <v>13</v>
      </c>
      <c r="Y94" s="1945"/>
      <c r="Z94" s="1945"/>
      <c r="AA94" s="1945"/>
      <c r="AB94" s="1945"/>
      <c r="AC94" s="1945"/>
      <c r="AD94" s="1945"/>
      <c r="AE94" s="1945"/>
      <c r="AF94" s="1899"/>
      <c r="AG94" s="1899"/>
      <c r="AH94" s="1899"/>
    </row>
    <row r="95" spans="1:34" ht="15.75" hidden="1" customHeight="1">
      <c r="A95" s="1984"/>
      <c r="B95" s="1994"/>
      <c r="C95" s="2014"/>
      <c r="D95" s="2014"/>
      <c r="E95" s="2014"/>
      <c r="F95" s="1995"/>
      <c r="G95" s="2014"/>
      <c r="H95" s="2025"/>
      <c r="I95" s="2026"/>
      <c r="J95" s="1985"/>
      <c r="K95" s="1985"/>
      <c r="L95" s="2291"/>
      <c r="N95" s="1897"/>
      <c r="O95" s="1895"/>
      <c r="P95" s="1895"/>
      <c r="Q95" s="1895"/>
      <c r="R95" s="1897"/>
      <c r="S95" s="1897"/>
      <c r="T95" s="1822" t="s">
        <v>17</v>
      </c>
      <c r="U95" s="1952">
        <v>70</v>
      </c>
      <c r="V95" s="1952">
        <v>75</v>
      </c>
      <c r="W95" s="1953">
        <f t="shared" si="0"/>
        <v>0</v>
      </c>
      <c r="X95" s="1955">
        <v>14</v>
      </c>
      <c r="Y95" s="1945"/>
      <c r="Z95" s="1945"/>
      <c r="AA95" s="1945"/>
      <c r="AB95" s="1945"/>
      <c r="AC95" s="1945"/>
      <c r="AD95" s="1945"/>
      <c r="AE95" s="1945"/>
      <c r="AF95" s="1899"/>
      <c r="AG95" s="1899"/>
      <c r="AH95" s="1899"/>
    </row>
    <row r="96" spans="1:34" ht="15.75" hidden="1" customHeight="1">
      <c r="A96" s="1984"/>
      <c r="B96" s="1994"/>
      <c r="C96" s="2023" t="s">
        <v>1452</v>
      </c>
      <c r="D96" s="2023"/>
      <c r="E96" s="2023"/>
      <c r="F96" s="2023"/>
      <c r="G96" s="2023"/>
      <c r="H96" s="2015"/>
      <c r="I96" s="2016"/>
      <c r="J96" s="1985"/>
      <c r="K96" s="1985"/>
      <c r="L96" s="2291"/>
      <c r="N96" s="1897"/>
      <c r="O96" s="1895"/>
      <c r="P96" s="1895"/>
      <c r="Q96" s="1895"/>
      <c r="R96" s="1897"/>
      <c r="S96" s="1897"/>
      <c r="T96" s="1822" t="s">
        <v>18</v>
      </c>
      <c r="U96" s="1952">
        <v>75</v>
      </c>
      <c r="V96" s="1952">
        <v>80</v>
      </c>
      <c r="W96" s="1953">
        <f t="shared" si="0"/>
        <v>0</v>
      </c>
      <c r="X96" s="1955">
        <v>15</v>
      </c>
      <c r="Y96" s="1945"/>
      <c r="Z96" s="1945"/>
      <c r="AA96" s="1945"/>
      <c r="AB96" s="1945"/>
      <c r="AC96" s="1945"/>
      <c r="AD96" s="1945"/>
      <c r="AE96" s="1945"/>
      <c r="AF96" s="1899"/>
      <c r="AG96" s="1899"/>
      <c r="AH96" s="1899"/>
    </row>
    <row r="97" spans="1:34" ht="15.75" hidden="1" customHeight="1">
      <c r="A97" s="1984"/>
      <c r="B97" s="1984"/>
      <c r="C97" s="2023" t="s">
        <v>201</v>
      </c>
      <c r="D97" s="2023"/>
      <c r="E97" s="2023"/>
      <c r="F97" s="2023"/>
      <c r="G97" s="2023"/>
      <c r="H97" s="1984"/>
      <c r="I97" s="1984"/>
      <c r="J97" s="1985"/>
      <c r="K97" s="1985"/>
      <c r="L97" s="2291"/>
      <c r="N97" s="1897"/>
      <c r="O97" s="1895"/>
      <c r="P97" s="1895"/>
      <c r="Q97" s="1895"/>
      <c r="R97" s="1897"/>
      <c r="S97" s="1897"/>
      <c r="T97" s="1822" t="s">
        <v>19</v>
      </c>
      <c r="U97" s="1952">
        <v>80</v>
      </c>
      <c r="V97" s="1952">
        <v>85</v>
      </c>
      <c r="W97" s="1953">
        <f t="shared" si="0"/>
        <v>0</v>
      </c>
      <c r="X97" s="1955">
        <v>16</v>
      </c>
      <c r="Y97" s="1945"/>
      <c r="Z97" s="1945"/>
      <c r="AA97" s="1945"/>
      <c r="AB97" s="1945"/>
      <c r="AC97" s="1945"/>
      <c r="AD97" s="1945"/>
      <c r="AE97" s="1945"/>
      <c r="AF97" s="1899"/>
      <c r="AG97" s="1899"/>
      <c r="AH97" s="1899"/>
    </row>
    <row r="98" spans="1:34" ht="15.75" hidden="1" customHeight="1">
      <c r="A98" s="1984"/>
      <c r="B98" s="1990"/>
      <c r="C98" s="2023" t="s">
        <v>202</v>
      </c>
      <c r="D98" s="2023"/>
      <c r="E98" s="2023"/>
      <c r="F98" s="2023"/>
      <c r="G98" s="2023"/>
      <c r="H98" s="1990"/>
      <c r="I98" s="1990"/>
      <c r="J98" s="486"/>
      <c r="K98" s="1985"/>
      <c r="L98" s="1897"/>
      <c r="N98" s="1897"/>
      <c r="O98" s="1895"/>
      <c r="P98" s="1895"/>
      <c r="Q98" s="1895"/>
      <c r="R98" s="1897"/>
      <c r="S98" s="1897"/>
      <c r="T98" s="1822" t="s">
        <v>20</v>
      </c>
      <c r="U98" s="1952">
        <v>85</v>
      </c>
      <c r="V98" s="1952">
        <v>90</v>
      </c>
      <c r="W98" s="1953">
        <f t="shared" si="0"/>
        <v>0</v>
      </c>
      <c r="X98" s="1955">
        <v>17</v>
      </c>
      <c r="Y98" s="1945"/>
      <c r="Z98" s="1945"/>
      <c r="AA98" s="1945"/>
      <c r="AB98" s="1945"/>
      <c r="AC98" s="1945"/>
      <c r="AD98" s="1945"/>
      <c r="AE98" s="1945"/>
      <c r="AF98" s="1899"/>
      <c r="AG98" s="1899"/>
      <c r="AH98" s="1899"/>
    </row>
    <row r="99" spans="1:34" ht="15.75">
      <c r="A99" s="1899"/>
      <c r="B99" s="2018"/>
      <c r="C99" s="2019"/>
      <c r="D99" s="2019"/>
      <c r="E99" s="2019"/>
      <c r="F99" s="2019"/>
      <c r="G99" s="2019"/>
      <c r="H99" s="2020"/>
      <c r="I99" s="2021"/>
      <c r="J99" s="1898"/>
      <c r="K99" s="1898"/>
      <c r="L99" s="2010"/>
      <c r="N99" s="1897"/>
      <c r="O99" s="1895"/>
      <c r="P99" s="1895"/>
      <c r="Q99" s="1895"/>
      <c r="R99" s="1897"/>
      <c r="S99" s="1897"/>
      <c r="T99" s="1822" t="s">
        <v>1555</v>
      </c>
      <c r="U99" s="1952">
        <v>90</v>
      </c>
      <c r="V99" s="1952">
        <v>95</v>
      </c>
      <c r="W99" s="1953">
        <f t="shared" si="0"/>
        <v>0</v>
      </c>
      <c r="X99" s="1955">
        <v>18</v>
      </c>
      <c r="Y99" s="1945"/>
      <c r="Z99" s="1945"/>
      <c r="AA99" s="1945"/>
      <c r="AB99" s="1945"/>
      <c r="AC99" s="1945"/>
      <c r="AD99" s="1945"/>
      <c r="AE99" s="1945"/>
      <c r="AF99" s="1899"/>
      <c r="AG99" s="1899"/>
      <c r="AH99" s="1899"/>
    </row>
    <row r="100" spans="1:34" ht="15.75">
      <c r="A100" s="1899"/>
      <c r="B100" s="2018"/>
      <c r="C100" s="2269"/>
      <c r="D100" s="2270"/>
      <c r="E100" s="2270"/>
      <c r="F100" s="2270"/>
      <c r="G100" s="2022"/>
      <c r="H100" s="2020"/>
      <c r="I100" s="2021"/>
      <c r="J100" s="1898"/>
      <c r="K100" s="1898"/>
      <c r="L100" s="1897"/>
      <c r="N100" s="1897"/>
      <c r="O100" s="1895"/>
      <c r="P100" s="1895"/>
      <c r="Q100" s="1895"/>
      <c r="R100" s="1897"/>
      <c r="S100" s="1897"/>
      <c r="T100" s="1822" t="s">
        <v>1556</v>
      </c>
      <c r="U100" s="1952">
        <v>95</v>
      </c>
      <c r="V100" s="1952">
        <v>100</v>
      </c>
      <c r="W100" s="1953">
        <f t="shared" si="0"/>
        <v>0</v>
      </c>
      <c r="X100" s="1955">
        <v>19</v>
      </c>
      <c r="Y100" s="1945"/>
      <c r="Z100" s="1945"/>
      <c r="AA100" s="1945"/>
      <c r="AB100" s="1945"/>
      <c r="AC100" s="1945"/>
      <c r="AD100" s="1945"/>
      <c r="AE100" s="1945"/>
      <c r="AF100" s="1899"/>
      <c r="AG100" s="1899"/>
      <c r="AH100" s="1899"/>
    </row>
    <row r="101" spans="1:34" ht="15.75" customHeight="1">
      <c r="A101" s="1984"/>
      <c r="B101" s="1986"/>
      <c r="C101" s="1984"/>
      <c r="D101" s="1987"/>
      <c r="E101" s="1987"/>
      <c r="F101" s="1987"/>
      <c r="G101" s="1987"/>
      <c r="H101" s="1988"/>
      <c r="I101" s="1989"/>
      <c r="J101" s="1985"/>
      <c r="K101" s="1985"/>
      <c r="L101" s="1897"/>
      <c r="N101" s="1897"/>
      <c r="O101" s="1895"/>
      <c r="P101" s="1895"/>
      <c r="Q101" s="1895"/>
      <c r="R101" s="1897"/>
      <c r="S101" s="1897"/>
      <c r="T101" s="1822" t="s">
        <v>21</v>
      </c>
      <c r="U101" s="1952">
        <v>100</v>
      </c>
      <c r="V101" s="1952">
        <v>500</v>
      </c>
      <c r="W101" s="1953">
        <f t="shared" si="0"/>
        <v>0</v>
      </c>
      <c r="X101" s="1955">
        <v>20</v>
      </c>
      <c r="Y101" s="1945"/>
      <c r="Z101" s="1945"/>
      <c r="AA101" s="1945"/>
      <c r="AB101" s="1945"/>
      <c r="AC101" s="1945"/>
      <c r="AD101" s="1945"/>
      <c r="AE101" s="1945"/>
      <c r="AF101" s="1899"/>
      <c r="AG101" s="1899"/>
      <c r="AH101" s="1899"/>
    </row>
    <row r="102" spans="1:34" ht="15.75" customHeight="1">
      <c r="A102" s="1984"/>
      <c r="B102" s="1986"/>
      <c r="C102" s="1993"/>
      <c r="D102" s="1987"/>
      <c r="E102" s="1987"/>
      <c r="F102" s="1999"/>
      <c r="G102" s="1988"/>
      <c r="H102" s="1990"/>
      <c r="I102" s="1989"/>
      <c r="J102" s="1985"/>
      <c r="K102" s="1985"/>
      <c r="L102" s="1897"/>
      <c r="N102" s="1897"/>
      <c r="O102" s="1895"/>
      <c r="P102" s="1895"/>
      <c r="Q102" s="1895"/>
      <c r="R102" s="1897"/>
      <c r="S102" s="1897"/>
      <c r="T102" s="1956"/>
      <c r="U102" s="1956"/>
      <c r="V102" s="1956"/>
      <c r="W102" s="1945"/>
      <c r="X102" s="1957"/>
      <c r="Y102" s="1957"/>
      <c r="Z102" s="1957"/>
      <c r="AA102" s="1945"/>
      <c r="AB102" s="1945"/>
      <c r="AC102" s="1945"/>
      <c r="AD102" s="1945"/>
      <c r="AE102" s="1945"/>
      <c r="AF102" s="1899"/>
      <c r="AG102" s="1899"/>
      <c r="AH102" s="1899"/>
    </row>
    <row r="103" spans="1:34" ht="12" customHeight="1">
      <c r="A103" s="1984"/>
      <c r="B103" s="1994"/>
      <c r="C103" s="1987"/>
      <c r="D103" s="1987"/>
      <c r="E103" s="1987"/>
      <c r="F103" s="1995"/>
      <c r="G103" s="1987"/>
      <c r="H103" s="1996"/>
      <c r="I103" s="1997"/>
      <c r="J103" s="1985"/>
      <c r="K103" s="1985"/>
      <c r="L103" s="1897"/>
      <c r="N103" s="1897"/>
      <c r="O103" s="1895"/>
      <c r="P103" s="1895"/>
      <c r="Q103" s="1895"/>
      <c r="R103" s="1897"/>
      <c r="S103" s="1897"/>
      <c r="T103" s="1956"/>
      <c r="U103" s="1956"/>
      <c r="V103" s="1956"/>
      <c r="W103" s="1945"/>
      <c r="X103" s="1945"/>
      <c r="Y103" s="1945"/>
      <c r="Z103" s="1945"/>
      <c r="AA103" s="1945"/>
      <c r="AB103" s="1945"/>
      <c r="AC103" s="1945"/>
      <c r="AD103" s="1945"/>
      <c r="AE103" s="1945"/>
      <c r="AF103" s="1899"/>
      <c r="AG103" s="1899"/>
      <c r="AH103" s="1899"/>
    </row>
    <row r="104" spans="1:34" ht="12.75" customHeight="1">
      <c r="A104" s="1984"/>
      <c r="B104" s="1994"/>
      <c r="C104" s="1993"/>
      <c r="D104" s="1993"/>
      <c r="E104" s="1993"/>
      <c r="F104" s="1993"/>
      <c r="G104" s="1993"/>
      <c r="H104" s="1988"/>
      <c r="I104" s="1989"/>
      <c r="J104" s="1985"/>
      <c r="K104" s="1985"/>
      <c r="L104" s="1897"/>
      <c r="N104" s="1897"/>
      <c r="O104" s="1895"/>
      <c r="P104" s="1895"/>
      <c r="Q104" s="1895"/>
      <c r="R104" s="1897"/>
      <c r="S104" s="1897"/>
      <c r="T104" s="1824"/>
      <c r="U104" s="1824"/>
      <c r="V104" s="1824"/>
      <c r="W104" s="1824"/>
      <c r="X104" s="1825" t="s">
        <v>22</v>
      </c>
      <c r="Y104" s="1824"/>
      <c r="Z104" s="1824"/>
      <c r="AA104" s="1824"/>
      <c r="AB104" s="1824"/>
      <c r="AC104" s="1824"/>
      <c r="AD104" s="1824"/>
      <c r="AE104" s="1824"/>
      <c r="AF104" s="1899"/>
      <c r="AG104" s="1899"/>
      <c r="AH104" s="1899"/>
    </row>
    <row r="105" spans="1:34">
      <c r="A105" s="1984"/>
      <c r="B105" s="1984"/>
      <c r="C105" s="1993"/>
      <c r="D105" s="1993"/>
      <c r="E105" s="1993"/>
      <c r="F105" s="1993"/>
      <c r="G105" s="1993"/>
      <c r="H105" s="1984"/>
      <c r="I105" s="1984"/>
      <c r="J105" s="1985"/>
      <c r="K105" s="1985"/>
      <c r="L105" s="1897"/>
      <c r="N105" s="1897"/>
      <c r="O105" s="1895"/>
      <c r="P105" s="1895"/>
      <c r="Q105" s="1895"/>
      <c r="R105" s="1897"/>
      <c r="S105" s="1897"/>
      <c r="T105" s="1824"/>
      <c r="U105" s="1824"/>
      <c r="V105" s="1824"/>
      <c r="W105" s="1824"/>
      <c r="X105" s="1826"/>
      <c r="Y105" s="1824"/>
      <c r="Z105" s="1824"/>
      <c r="AA105" s="1824"/>
      <c r="AB105" s="1827" t="s">
        <v>328</v>
      </c>
      <c r="AC105" s="1824"/>
      <c r="AD105" s="1824"/>
      <c r="AE105" s="1824"/>
      <c r="AF105" s="1899"/>
      <c r="AG105" s="1899"/>
      <c r="AH105" s="1899"/>
    </row>
    <row r="106" spans="1:34">
      <c r="A106" s="1990"/>
      <c r="B106" s="1990"/>
      <c r="C106" s="1993"/>
      <c r="D106" s="1993"/>
      <c r="E106" s="1993"/>
      <c r="F106" s="1993"/>
      <c r="G106" s="1993"/>
      <c r="H106" s="1990"/>
      <c r="I106" s="1990"/>
      <c r="J106" s="486"/>
      <c r="K106" s="486"/>
      <c r="N106" s="1897"/>
      <c r="O106" s="1895"/>
      <c r="P106" s="1895"/>
      <c r="Q106" s="1895"/>
      <c r="R106" s="1897"/>
      <c r="S106" s="1897"/>
      <c r="T106" s="1824"/>
      <c r="U106" s="1824"/>
      <c r="V106" s="1824"/>
      <c r="W106" s="1824"/>
      <c r="X106" s="1828"/>
      <c r="Y106" s="1824"/>
      <c r="Z106" s="1824"/>
      <c r="AA106" s="1824"/>
      <c r="AB106" s="1827" t="s">
        <v>329</v>
      </c>
      <c r="AC106" s="1824"/>
      <c r="AD106" s="1824"/>
      <c r="AE106" s="1824"/>
      <c r="AF106" s="1899"/>
      <c r="AG106" s="1899"/>
      <c r="AH106" s="1899"/>
    </row>
    <row r="107" spans="1:34">
      <c r="A107" s="1990"/>
      <c r="B107" s="1990"/>
      <c r="C107" s="1990"/>
      <c r="D107" s="1990"/>
      <c r="E107" s="1990"/>
      <c r="F107" s="1990"/>
      <c r="G107" s="1990"/>
      <c r="H107" s="1990"/>
      <c r="I107" s="1990"/>
      <c r="J107" s="486"/>
      <c r="K107" s="486"/>
      <c r="N107" s="1897"/>
      <c r="O107" s="1895"/>
      <c r="P107" s="1895"/>
      <c r="Q107" s="1895"/>
      <c r="R107" s="1897"/>
      <c r="S107" s="1897"/>
      <c r="T107" s="1824"/>
      <c r="U107" s="1824"/>
      <c r="V107" s="1824"/>
      <c r="W107" s="1824"/>
      <c r="X107" s="1828"/>
      <c r="Y107" s="1824"/>
      <c r="Z107" s="1824"/>
      <c r="AA107" s="1824"/>
      <c r="AB107" s="1827"/>
      <c r="AC107" s="1824"/>
      <c r="AD107" s="1824"/>
      <c r="AE107" s="1824"/>
      <c r="AF107" s="1899"/>
      <c r="AG107" s="1899"/>
      <c r="AH107" s="1899"/>
    </row>
    <row r="108" spans="1:34">
      <c r="A108" s="1990"/>
      <c r="B108" s="1990"/>
      <c r="C108" s="1990"/>
      <c r="D108" s="1990"/>
      <c r="E108" s="1990"/>
      <c r="F108" s="1990"/>
      <c r="G108" s="1990"/>
      <c r="H108" s="1990"/>
      <c r="I108" s="1990"/>
      <c r="J108" s="486"/>
      <c r="K108" s="486"/>
      <c r="N108" s="1897"/>
      <c r="O108" s="1895"/>
      <c r="P108" s="1895"/>
      <c r="Q108" s="1895"/>
      <c r="R108" s="1897"/>
      <c r="S108" s="1897"/>
      <c r="T108" s="1824"/>
      <c r="U108" s="1824"/>
      <c r="V108" s="1824"/>
      <c r="W108" s="1824"/>
      <c r="X108" s="1829"/>
      <c r="Y108" s="1824"/>
      <c r="Z108" s="1824"/>
      <c r="AA108" s="1824"/>
      <c r="AB108" s="1824"/>
      <c r="AC108" s="1824"/>
      <c r="AD108" s="1824"/>
      <c r="AE108" s="1824"/>
      <c r="AF108" s="1899"/>
      <c r="AG108" s="1899"/>
      <c r="AH108" s="1899"/>
    </row>
    <row r="109" spans="1:34">
      <c r="A109" s="1990"/>
      <c r="B109" s="1990"/>
      <c r="C109" s="1990"/>
      <c r="D109" s="1990"/>
      <c r="E109" s="1990"/>
      <c r="F109" s="1990"/>
      <c r="G109" s="1990"/>
      <c r="H109" s="1990"/>
      <c r="I109" s="1990"/>
      <c r="J109" s="486"/>
      <c r="K109" s="486"/>
      <c r="N109" s="1897"/>
      <c r="O109" s="1895"/>
      <c r="P109" s="1895"/>
      <c r="Q109" s="1895"/>
      <c r="R109" s="1897"/>
      <c r="S109" s="1897"/>
      <c r="T109" s="1824"/>
      <c r="U109" s="1824"/>
      <c r="V109" s="1824"/>
      <c r="W109" s="1824"/>
      <c r="X109" s="1830" t="s">
        <v>23</v>
      </c>
      <c r="Y109" s="1824"/>
      <c r="Z109" s="1824"/>
      <c r="AA109" s="1824"/>
      <c r="AB109" s="1824"/>
      <c r="AC109" s="1824"/>
      <c r="AD109" s="1824"/>
      <c r="AE109" s="1824"/>
      <c r="AF109" s="1899"/>
      <c r="AG109" s="1899"/>
      <c r="AH109" s="1899"/>
    </row>
    <row r="110" spans="1:34">
      <c r="N110" s="1897"/>
      <c r="O110" s="1895"/>
      <c r="P110" s="1895"/>
      <c r="Q110" s="1895"/>
      <c r="R110" s="1897"/>
      <c r="S110" s="1897"/>
      <c r="T110" s="1824"/>
      <c r="U110" s="1824"/>
      <c r="V110" s="1824"/>
      <c r="W110" s="1824"/>
      <c r="X110" s="1831" t="s">
        <v>24</v>
      </c>
      <c r="Y110" s="1824"/>
      <c r="Z110" s="1824"/>
      <c r="AA110" s="1824"/>
      <c r="AB110" s="1824"/>
      <c r="AC110" s="1824"/>
      <c r="AD110" s="1824"/>
      <c r="AE110" s="1824"/>
      <c r="AF110" s="1899"/>
      <c r="AG110" s="1899"/>
      <c r="AH110" s="1899"/>
    </row>
    <row r="111" spans="1:34">
      <c r="N111" s="1897"/>
      <c r="O111" s="1895"/>
      <c r="P111" s="1895"/>
      <c r="Q111" s="1895"/>
      <c r="R111" s="1897"/>
      <c r="S111" s="1897"/>
      <c r="T111" s="1824"/>
      <c r="U111" s="1824"/>
      <c r="V111" s="1824"/>
      <c r="W111" s="1824"/>
      <c r="X111" s="1831" t="s">
        <v>25</v>
      </c>
      <c r="Y111" s="1824"/>
      <c r="Z111" s="1824"/>
      <c r="AA111" s="1824"/>
      <c r="AB111" s="1824"/>
      <c r="AC111" s="1824"/>
      <c r="AD111" s="1824"/>
      <c r="AE111" s="1824"/>
      <c r="AF111" s="1899"/>
      <c r="AG111" s="1899"/>
      <c r="AH111" s="1899"/>
    </row>
    <row r="112" spans="1:34">
      <c r="N112" s="1897"/>
      <c r="O112" s="1895"/>
      <c r="P112" s="1895"/>
      <c r="Q112" s="1895"/>
      <c r="R112" s="1897"/>
      <c r="S112" s="1897"/>
      <c r="T112" s="1824"/>
      <c r="U112" s="1824"/>
      <c r="V112" s="1824"/>
      <c r="W112" s="1824"/>
      <c r="X112" s="1824"/>
      <c r="Y112" s="1824"/>
      <c r="Z112" s="1824"/>
      <c r="AA112" s="1824"/>
      <c r="AB112" s="1824"/>
      <c r="AC112" s="1824"/>
      <c r="AD112" s="1824"/>
      <c r="AE112" s="1824"/>
      <c r="AF112" s="1899"/>
      <c r="AG112" s="1899"/>
      <c r="AH112" s="1899"/>
    </row>
    <row r="113" spans="14:34">
      <c r="N113" s="1897"/>
      <c r="O113" s="1895"/>
      <c r="P113" s="1895"/>
      <c r="Q113" s="1895"/>
      <c r="R113" s="1897"/>
      <c r="S113" s="1897"/>
      <c r="T113" s="1824"/>
      <c r="U113" s="1824"/>
      <c r="V113" s="1824"/>
      <c r="W113" s="1824"/>
      <c r="X113" s="1830" t="s">
        <v>520</v>
      </c>
      <c r="Y113" s="1824"/>
      <c r="Z113" s="1824"/>
      <c r="AA113" s="1824"/>
      <c r="AB113" s="1824"/>
      <c r="AC113" s="1824"/>
      <c r="AD113" s="1824"/>
      <c r="AE113" s="1824"/>
      <c r="AF113" s="1899"/>
      <c r="AG113" s="1899"/>
      <c r="AH113" s="1899"/>
    </row>
    <row r="114" spans="14:34">
      <c r="N114" s="1897"/>
      <c r="O114" s="1895"/>
      <c r="P114" s="1895"/>
      <c r="Q114" s="1895"/>
      <c r="R114" s="1897"/>
      <c r="S114" s="1897"/>
      <c r="T114" s="1824"/>
      <c r="U114" s="1824"/>
      <c r="V114" s="1824"/>
      <c r="W114" s="1824"/>
      <c r="X114" s="1827" t="s">
        <v>326</v>
      </c>
      <c r="Y114" s="1824"/>
      <c r="Z114" s="1824"/>
      <c r="AA114" s="1824"/>
      <c r="AB114" s="1824"/>
      <c r="AC114" s="1824"/>
      <c r="AD114" s="1824"/>
      <c r="AE114" s="1824"/>
      <c r="AF114" s="1899"/>
      <c r="AG114" s="1899"/>
      <c r="AH114" s="1899"/>
    </row>
    <row r="115" spans="14:34">
      <c r="N115" s="1897"/>
      <c r="O115" s="1895"/>
      <c r="P115" s="1895"/>
      <c r="Q115" s="1895"/>
      <c r="R115" s="1897"/>
      <c r="S115" s="1897"/>
      <c r="T115" s="1824"/>
      <c r="U115" s="1824"/>
      <c r="V115" s="1824"/>
      <c r="W115" s="1824"/>
      <c r="X115" s="1827" t="s">
        <v>327</v>
      </c>
      <c r="Y115" s="1824"/>
      <c r="Z115" s="1824"/>
      <c r="AA115" s="1824"/>
      <c r="AB115" s="1824"/>
      <c r="AC115" s="1824"/>
      <c r="AD115" s="1824"/>
      <c r="AE115" s="1824"/>
      <c r="AF115" s="1899"/>
      <c r="AG115" s="1899"/>
      <c r="AH115" s="1899"/>
    </row>
    <row r="116" spans="14:34">
      <c r="N116" s="1897"/>
      <c r="O116" s="1895"/>
      <c r="P116" s="1895"/>
      <c r="Q116" s="1895"/>
      <c r="R116" s="1897"/>
      <c r="S116" s="1897"/>
      <c r="T116" s="1824"/>
      <c r="U116" s="1824"/>
      <c r="V116" s="1824"/>
      <c r="W116" s="1824"/>
      <c r="X116" s="1827" t="s">
        <v>330</v>
      </c>
      <c r="Y116" s="1824"/>
      <c r="Z116" s="1824"/>
      <c r="AA116" s="1824"/>
      <c r="AB116" s="1824"/>
      <c r="AC116" s="1824"/>
      <c r="AD116" s="1824"/>
      <c r="AE116" s="1824"/>
      <c r="AF116" s="1899"/>
      <c r="AG116" s="1899"/>
      <c r="AH116" s="1899"/>
    </row>
    <row r="117" spans="14:34">
      <c r="N117" s="1897"/>
      <c r="O117" s="1895"/>
      <c r="P117" s="1895"/>
      <c r="Q117" s="1895"/>
      <c r="R117" s="1897"/>
      <c r="S117" s="1897"/>
      <c r="T117" s="1824"/>
      <c r="U117" s="1824"/>
      <c r="V117" s="1824"/>
      <c r="W117" s="1824"/>
      <c r="X117" s="1824"/>
      <c r="Y117" s="1824"/>
      <c r="Z117" s="1824"/>
      <c r="AA117" s="1824"/>
      <c r="AB117" s="1824"/>
      <c r="AC117" s="1824"/>
      <c r="AD117" s="1824"/>
      <c r="AE117" s="1824"/>
      <c r="AF117" s="1899"/>
      <c r="AG117" s="1899"/>
      <c r="AH117" s="1899"/>
    </row>
    <row r="118" spans="14:34">
      <c r="N118" s="1897"/>
      <c r="O118" s="1895"/>
      <c r="P118" s="1895"/>
      <c r="Q118" s="1895"/>
      <c r="R118" s="1897"/>
      <c r="S118" s="1897"/>
      <c r="T118" s="1824"/>
      <c r="U118" s="1824"/>
      <c r="V118" s="1824"/>
      <c r="W118" s="1824"/>
      <c r="X118" s="1830" t="s">
        <v>26</v>
      </c>
      <c r="Y118" s="1824"/>
      <c r="Z118" s="1824"/>
      <c r="AA118" s="1824"/>
      <c r="AB118" s="1824"/>
      <c r="AC118" s="1824"/>
      <c r="AD118" s="1824"/>
      <c r="AE118" s="1824"/>
      <c r="AF118" s="1899"/>
      <c r="AG118" s="1899"/>
      <c r="AH118" s="1899"/>
    </row>
    <row r="119" spans="14:34">
      <c r="N119" s="1897"/>
      <c r="O119" s="1895"/>
      <c r="P119" s="1895"/>
      <c r="Q119" s="1895"/>
      <c r="R119" s="1897"/>
      <c r="S119" s="1897"/>
      <c r="T119" s="1824"/>
      <c r="U119" s="1824"/>
      <c r="V119" s="1824" t="str">
        <f>HLOOKUP(Energy!G5,X119:Z122,3)</f>
        <v>-</v>
      </c>
      <c r="W119" s="1824">
        <v>1</v>
      </c>
      <c r="X119" s="1827" t="s">
        <v>27</v>
      </c>
      <c r="Y119" s="1824"/>
      <c r="Z119" s="1827" t="str">
        <f>X110</f>
        <v>YES; Ene- Conditional Requirement achieved</v>
      </c>
      <c r="AA119" s="1824"/>
      <c r="AB119" s="1824"/>
      <c r="AC119" s="1824"/>
      <c r="AD119" s="1824" t="b">
        <v>1</v>
      </c>
      <c r="AE119" s="1824">
        <f>IF(AD119=FALSE,0,1)</f>
        <v>1</v>
      </c>
      <c r="AF119" s="1899"/>
      <c r="AG119" s="1899"/>
      <c r="AH119" s="1899"/>
    </row>
    <row r="120" spans="14:34">
      <c r="N120" s="1897"/>
      <c r="O120" s="1895"/>
      <c r="P120" s="1895"/>
      <c r="Q120" s="1895"/>
      <c r="R120" s="1897"/>
      <c r="S120" s="1897"/>
      <c r="T120" s="1824"/>
      <c r="U120" s="1824"/>
      <c r="V120" s="1824"/>
      <c r="W120" s="1824">
        <v>2</v>
      </c>
      <c r="X120" s="1827" t="s">
        <v>28</v>
      </c>
      <c r="Y120" s="1824"/>
      <c r="Z120" s="1827" t="str">
        <f>X110</f>
        <v>YES; Ene- Conditional Requirement achieved</v>
      </c>
      <c r="AA120" s="1824"/>
      <c r="AB120" s="1824"/>
      <c r="AC120" s="1824"/>
      <c r="AD120" s="1824" t="b">
        <v>0</v>
      </c>
      <c r="AE120" s="1824">
        <f>IF(AD120=FALSE,0,1)</f>
        <v>0</v>
      </c>
      <c r="AF120" s="1899"/>
      <c r="AG120" s="1899"/>
      <c r="AH120" s="1899"/>
    </row>
    <row r="121" spans="14:34">
      <c r="N121" s="1897"/>
      <c r="O121" s="1895"/>
      <c r="P121" s="1895"/>
      <c r="Q121" s="1895"/>
      <c r="R121" s="1897"/>
      <c r="S121" s="1897"/>
      <c r="T121" s="1824"/>
      <c r="U121" s="1824"/>
      <c r="V121" s="1824"/>
      <c r="W121" s="1824">
        <v>3</v>
      </c>
      <c r="X121" s="1824" t="s">
        <v>29</v>
      </c>
      <c r="Y121" s="1824"/>
      <c r="Z121" s="1832" t="s">
        <v>30</v>
      </c>
      <c r="AA121" s="1824"/>
      <c r="AB121" s="1824"/>
      <c r="AC121" s="1824"/>
      <c r="AD121" s="1824" t="b">
        <v>0</v>
      </c>
      <c r="AE121" s="1824">
        <f>IF(AD121=FALSE,0,1)</f>
        <v>0</v>
      </c>
      <c r="AF121" s="1899"/>
      <c r="AG121" s="1899"/>
      <c r="AH121" s="1899"/>
    </row>
    <row r="122" spans="14:34">
      <c r="N122" s="1897"/>
      <c r="O122" s="1895"/>
      <c r="P122" s="1895"/>
      <c r="Q122" s="1895"/>
      <c r="R122" s="1897"/>
      <c r="S122" s="1897"/>
      <c r="T122" s="1824"/>
      <c r="U122" s="1824"/>
      <c r="V122" s="1824"/>
      <c r="W122" s="1824">
        <v>4</v>
      </c>
      <c r="X122" s="1824" t="s">
        <v>31</v>
      </c>
      <c r="Y122" s="1824"/>
      <c r="Z122" s="1827" t="str">
        <f>X111</f>
        <v>NO; Ene- Conditional Requirement NOT achieved</v>
      </c>
      <c r="AA122" s="1824"/>
      <c r="AB122" s="1824"/>
      <c r="AC122" s="1824"/>
      <c r="AD122" s="1824"/>
      <c r="AE122" s="1824"/>
      <c r="AF122" s="1899"/>
      <c r="AG122" s="1899"/>
      <c r="AH122" s="1899"/>
    </row>
    <row r="123" spans="14:34">
      <c r="N123" s="1897"/>
      <c r="O123" s="1895"/>
      <c r="P123" s="1895"/>
      <c r="Q123" s="1895"/>
      <c r="R123" s="1897"/>
      <c r="S123" s="1897"/>
      <c r="T123" s="1824"/>
      <c r="U123" s="1824"/>
      <c r="V123" s="1824"/>
      <c r="W123" s="1824"/>
      <c r="X123" s="1824"/>
      <c r="Y123" s="1824"/>
      <c r="Z123" s="1824"/>
      <c r="AA123" s="1824"/>
      <c r="AB123" s="1824"/>
      <c r="AC123" s="1824"/>
      <c r="AD123" s="1824"/>
      <c r="AE123" s="1824"/>
      <c r="AF123" s="1899"/>
      <c r="AG123" s="1899"/>
      <c r="AH123" s="1899"/>
    </row>
    <row r="124" spans="14:34">
      <c r="N124" s="1897"/>
      <c r="O124" s="1895"/>
      <c r="P124" s="1895"/>
      <c r="Q124" s="1895"/>
      <c r="R124" s="1897"/>
      <c r="S124" s="1897"/>
      <c r="T124" s="1824"/>
      <c r="U124" s="1824"/>
      <c r="V124" s="1824"/>
      <c r="W124" s="1824"/>
      <c r="X124" s="1824"/>
      <c r="Y124" s="1824"/>
      <c r="Z124" s="1824"/>
      <c r="AA124" s="1824"/>
      <c r="AB124" s="1824"/>
      <c r="AC124" s="1824"/>
      <c r="AD124" s="1824"/>
      <c r="AE124" s="1824"/>
      <c r="AF124" s="1899"/>
      <c r="AG124" s="1899"/>
      <c r="AH124" s="1899"/>
    </row>
    <row r="125" spans="14:34" ht="13.5" thickBot="1">
      <c r="N125" s="1897"/>
      <c r="O125" s="1895"/>
      <c r="P125" s="1895"/>
      <c r="Q125" s="1895"/>
      <c r="R125" s="1897"/>
      <c r="S125" s="1897"/>
      <c r="T125" s="1824"/>
      <c r="U125" s="1824"/>
      <c r="V125" s="1824"/>
      <c r="W125" s="1841"/>
      <c r="X125" s="1842" t="s">
        <v>32</v>
      </c>
      <c r="Y125" s="1841"/>
      <c r="Z125" s="1843" t="s">
        <v>33</v>
      </c>
      <c r="AA125" s="1841"/>
      <c r="AB125" s="1824"/>
      <c r="AC125" s="1824"/>
      <c r="AD125" s="1824"/>
      <c r="AE125" s="1824"/>
      <c r="AF125" s="1899"/>
      <c r="AG125" s="1899"/>
      <c r="AH125" s="1899"/>
    </row>
    <row r="126" spans="14:34" ht="13.5" thickBot="1">
      <c r="N126" s="1897"/>
      <c r="O126" s="1895"/>
      <c r="P126" s="1895"/>
      <c r="Q126" s="1895"/>
      <c r="R126" s="1897"/>
      <c r="S126" s="1897"/>
      <c r="T126" s="1833" t="s">
        <v>35</v>
      </c>
      <c r="U126" s="1834">
        <f>'Building Input'!C32</f>
        <v>0</v>
      </c>
      <c r="V126" s="1824"/>
      <c r="W126" s="1841"/>
      <c r="X126" s="1845" t="s">
        <v>27</v>
      </c>
      <c r="Y126" s="1846"/>
      <c r="Z126" s="1835">
        <f>H12</f>
        <v>0</v>
      </c>
      <c r="AA126" s="1841"/>
      <c r="AB126" s="1824"/>
      <c r="AC126" s="1824"/>
      <c r="AD126" s="1824"/>
      <c r="AE126" s="1824"/>
      <c r="AF126" s="1899"/>
      <c r="AG126" s="1899"/>
      <c r="AH126" s="1899"/>
    </row>
    <row r="127" spans="14:34" ht="13.5" thickBot="1">
      <c r="N127" s="1897"/>
      <c r="O127" s="1895"/>
      <c r="P127" s="1895"/>
      <c r="Q127" s="1895"/>
      <c r="R127" s="1897"/>
      <c r="S127" s="1897"/>
      <c r="T127" s="1833" t="s">
        <v>34</v>
      </c>
      <c r="U127" s="1836">
        <v>2000</v>
      </c>
      <c r="V127" s="1824"/>
      <c r="W127" s="1841"/>
      <c r="X127" s="1847" t="str">
        <f>IF(U126&lt;U127,"Compliance Route 2","-")</f>
        <v>Compliance Route 2</v>
      </c>
      <c r="Y127" s="1848"/>
      <c r="Z127" s="1844" t="s">
        <v>331</v>
      </c>
      <c r="AA127" s="1841"/>
      <c r="AB127" s="1824"/>
      <c r="AC127" s="1824"/>
      <c r="AD127" s="1824"/>
      <c r="AE127" s="1824"/>
      <c r="AF127" s="1899"/>
      <c r="AG127" s="1899"/>
      <c r="AH127" s="1899"/>
    </row>
    <row r="128" spans="14:34">
      <c r="N128" s="1897"/>
      <c r="O128" s="1895"/>
      <c r="P128" s="1895"/>
      <c r="Q128" s="1895"/>
      <c r="R128" s="1897"/>
      <c r="S128" s="1897"/>
      <c r="T128" s="1824"/>
      <c r="U128" s="1824"/>
      <c r="V128" s="1824"/>
      <c r="W128" s="1841"/>
      <c r="X128" s="1958" t="s">
        <v>306</v>
      </c>
      <c r="Y128" s="1848"/>
      <c r="Z128" s="1841"/>
      <c r="AA128" s="1841"/>
      <c r="AB128" s="1824"/>
      <c r="AC128" s="1824"/>
      <c r="AD128" s="1824"/>
      <c r="AE128" s="1824"/>
      <c r="AF128" s="1899"/>
      <c r="AG128" s="1899"/>
      <c r="AH128" s="1899"/>
    </row>
    <row r="129" spans="14:34" ht="13.5" thickBot="1">
      <c r="N129" s="1897"/>
      <c r="O129" s="1895"/>
      <c r="P129" s="1895"/>
      <c r="Q129" s="1895"/>
      <c r="R129" s="1897"/>
      <c r="S129" s="1897"/>
      <c r="T129" s="1824"/>
      <c r="U129" s="1824"/>
      <c r="V129" s="1824"/>
      <c r="W129" s="1841"/>
      <c r="X129" s="1849" t="s">
        <v>31</v>
      </c>
      <c r="Y129" s="1850"/>
      <c r="Z129" s="1841"/>
      <c r="AA129" s="1841"/>
      <c r="AB129" s="1824"/>
      <c r="AC129" s="1824"/>
      <c r="AD129" s="1824"/>
      <c r="AE129" s="1824"/>
      <c r="AF129" s="1899"/>
      <c r="AG129" s="1899"/>
      <c r="AH129" s="1899"/>
    </row>
    <row r="130" spans="14:34">
      <c r="N130" s="1897"/>
      <c r="O130" s="1895"/>
      <c r="P130" s="1895"/>
      <c r="Q130" s="1895"/>
      <c r="R130" s="1897"/>
      <c r="S130" s="1897"/>
      <c r="T130" s="1898"/>
      <c r="U130" s="1899"/>
      <c r="V130" s="1899"/>
      <c r="W130" s="1899"/>
      <c r="X130" s="1899"/>
      <c r="Y130" s="1899"/>
      <c r="Z130" s="1899"/>
      <c r="AA130" s="1899"/>
      <c r="AB130" s="1899"/>
      <c r="AC130" s="1899"/>
      <c r="AD130" s="1899"/>
      <c r="AE130" s="1899"/>
      <c r="AF130" s="1899"/>
      <c r="AG130" s="1899"/>
      <c r="AH130" s="1899"/>
    </row>
    <row r="131" spans="14:34">
      <c r="N131" s="1897"/>
      <c r="O131" s="1895"/>
      <c r="P131" s="1895"/>
      <c r="Q131" s="1895"/>
      <c r="R131" s="1897"/>
      <c r="S131" s="1897"/>
      <c r="T131" s="1898"/>
      <c r="U131" s="1899"/>
      <c r="V131" s="1899"/>
      <c r="W131" s="1899"/>
      <c r="X131" s="1899"/>
      <c r="Y131" s="1899"/>
      <c r="Z131" s="1899"/>
      <c r="AA131" s="1899"/>
      <c r="AB131" s="1899"/>
      <c r="AC131" s="1899"/>
      <c r="AD131" s="1899"/>
      <c r="AE131" s="1899"/>
      <c r="AF131" s="1899"/>
      <c r="AG131" s="1899"/>
      <c r="AH131" s="1899"/>
    </row>
  </sheetData>
  <sheetProtection password="AD9B" sheet="1" objects="1" scenarios="1" selectLockedCells="1"/>
  <mergeCells count="53">
    <mergeCell ref="C100:F100"/>
    <mergeCell ref="C92:E92"/>
    <mergeCell ref="B61:E61"/>
    <mergeCell ref="B64:E64"/>
    <mergeCell ref="N48:P50"/>
    <mergeCell ref="B49:D49"/>
    <mergeCell ref="B50:D50"/>
    <mergeCell ref="I76:I78"/>
    <mergeCell ref="B65:E65"/>
    <mergeCell ref="B76:H78"/>
    <mergeCell ref="L94:L97"/>
    <mergeCell ref="B46:D46"/>
    <mergeCell ref="B47:D47"/>
    <mergeCell ref="B48:D48"/>
    <mergeCell ref="B57:E57"/>
    <mergeCell ref="H88:J91"/>
    <mergeCell ref="H50:K50"/>
    <mergeCell ref="B51:D51"/>
    <mergeCell ref="B52:D52"/>
    <mergeCell ref="B53:D53"/>
    <mergeCell ref="B62:E62"/>
    <mergeCell ref="B63:E63"/>
    <mergeCell ref="I35:I37"/>
    <mergeCell ref="G35:G37"/>
    <mergeCell ref="B42:D42"/>
    <mergeCell ref="B39:D39"/>
    <mergeCell ref="F35:F37"/>
    <mergeCell ref="E35:E37"/>
    <mergeCell ref="B41:D41"/>
    <mergeCell ref="H35:H37"/>
    <mergeCell ref="B40:D40"/>
    <mergeCell ref="B35:D37"/>
    <mergeCell ref="U28:W28"/>
    <mergeCell ref="U29:U31"/>
    <mergeCell ref="H12:H14"/>
    <mergeCell ref="H16:H18"/>
    <mergeCell ref="H20:H22"/>
    <mergeCell ref="J16:K18"/>
    <mergeCell ref="H24:H26"/>
    <mergeCell ref="B43:D43"/>
    <mergeCell ref="B45:D45"/>
    <mergeCell ref="B44:D44"/>
    <mergeCell ref="G2:H2"/>
    <mergeCell ref="G5:H5"/>
    <mergeCell ref="B12:G14"/>
    <mergeCell ref="B34:D34"/>
    <mergeCell ref="F33:G33"/>
    <mergeCell ref="B3:H3"/>
    <mergeCell ref="B16:G18"/>
    <mergeCell ref="B20:G22"/>
    <mergeCell ref="B24:G26"/>
    <mergeCell ref="F34:G34"/>
    <mergeCell ref="B33:D33"/>
  </mergeCells>
  <phoneticPr fontId="17" type="noConversion"/>
  <conditionalFormatting sqref="H103:H104 D101:E103 F101:F102 C103 I101:I104 H101 B100:C100 G101:G103 E39:E53 B99:I99 B101:B104 F39:F57 B81:B82 B67 H60:I60 C54:E56 B64 B59:F60 G59:H59 H40:H46 H33:I33 C34:D37 B33:B37 E33:F37 H49:H57 G39:G54 B39:B57 G35:I37 I39:I46 I53:I57 I48:I49 I51 G100:I100 I92:I96 H92:H93 H95:H96 D93:E95 F93:F94 C86:C92 E86:E87 F86:F88 E89:E91 D86:D91 I86:I87 C95 H86:H88 B86:B96 G86:G95 F64 H64:I64 B73:G74">
    <cfRule type="expression" dxfId="54" priority="5" stopIfTrue="1">
      <formula>#REF!=0</formula>
    </cfRule>
  </conditionalFormatting>
  <conditionalFormatting sqref="I5">
    <cfRule type="cellIs" dxfId="53" priority="6" stopIfTrue="1" operator="equal">
      <formula>"Not Achieved"</formula>
    </cfRule>
  </conditionalFormatting>
  <conditionalFormatting sqref="H61:I63 B61:B63 F61:F63">
    <cfRule type="expression" dxfId="52" priority="4" stopIfTrue="1">
      <formula>#REF!=0</formula>
    </cfRule>
  </conditionalFormatting>
  <conditionalFormatting sqref="B68:G72">
    <cfRule type="expression" dxfId="51" priority="2" stopIfTrue="1">
      <formula>#REF!=0</formula>
    </cfRule>
  </conditionalFormatting>
  <conditionalFormatting sqref="H65:I65 B65 F65">
    <cfRule type="expression" dxfId="50" priority="1" stopIfTrue="1">
      <formula>#REF!=0</formula>
    </cfRule>
  </conditionalFormatting>
  <dataValidations count="4">
    <dataValidation type="list" allowBlank="1" showInputMessage="1" showErrorMessage="1" sqref="H16:H18">
      <formula1>$O$35:$O$37</formula1>
    </dataValidation>
    <dataValidation type="list" showInputMessage="1" showErrorMessage="1" sqref="H12:H14">
      <formula1>$X$126:$X$130</formula1>
    </dataValidation>
    <dataValidation type="list" allowBlank="1" showInputMessage="1" showErrorMessage="1" sqref="F64">
      <formula1>$O$16:$O$27</formula1>
    </dataValidation>
    <dataValidation type="list" allowBlank="1" showInputMessage="1" showErrorMessage="1" sqref="G15">
      <formula1>$O$35:$O$36</formula1>
    </dataValidation>
  </dataValidations>
  <printOptions horizontalCentered="1"/>
  <pageMargins left="0.59055118110236227" right="0.59055118110236227" top="0.47244094488188981" bottom="0.47244094488188981" header="0.23622047244094491" footer="0.35433070866141736"/>
  <pageSetup paperSize="9" scale="62" orientation="portrait" blackAndWhite="1" r:id="rId1"/>
  <headerFooter alignWithMargins="0">
    <oddHeader>&amp;LGreen Building Council of South Africa&amp;R&amp;T   &amp;D</oddHeader>
    <oddFooter>&amp;L&amp;F&amp;CPage &amp;P of &amp;N&amp;RCategory: Energy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71" r:id="rId4" name="Button 7">
              <controlPr defaultSize="0" print="0" autoFill="0" autoPict="0" macro="[0]!GoToEnergy">
                <anchor moveWithCells="1" sizeWithCells="1">
                  <from>
                    <xdr:col>4</xdr:col>
                    <xdr:colOff>180975</xdr:colOff>
                    <xdr:row>79</xdr:row>
                    <xdr:rowOff>76200</xdr:rowOff>
                  </from>
                  <to>
                    <xdr:col>8</xdr:col>
                    <xdr:colOff>28575</xdr:colOff>
                    <xdr:row>81</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M22"/>
  <sheetViews>
    <sheetView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B5" sqref="B5"/>
    </sheetView>
  </sheetViews>
  <sheetFormatPr defaultColWidth="7.875" defaultRowHeight="12.75"/>
  <cols>
    <col min="1" max="1" width="7.25" style="384" customWidth="1"/>
    <col min="2" max="2" width="15.125" style="384" customWidth="1"/>
    <col min="3" max="3" width="25.625" style="384" customWidth="1"/>
    <col min="4" max="4" width="64.875" style="384" customWidth="1"/>
    <col min="5" max="5" width="20.625" style="384" hidden="1" customWidth="1"/>
    <col min="6" max="8" width="12.625" style="526" customWidth="1"/>
    <col min="9" max="9" width="31" style="384" customWidth="1"/>
    <col min="10" max="10" width="10.875" style="384" customWidth="1"/>
    <col min="11" max="12" width="8.875" style="384" customWidth="1"/>
    <col min="13" max="16384" width="7.875" style="384"/>
  </cols>
  <sheetData>
    <row r="1" spans="1:13" s="1010" customFormat="1" ht="24" customHeight="1" thickBot="1">
      <c r="A1" s="995" t="str">
        <f>Calculation!N31</f>
        <v>Green Star SA - Office Design v1</v>
      </c>
      <c r="F1" s="439"/>
      <c r="G1" s="997" t="s">
        <v>483</v>
      </c>
      <c r="H1" s="998">
        <f>'Credit Summary'!J51</f>
        <v>0.09</v>
      </c>
      <c r="I1" s="999" t="s">
        <v>484</v>
      </c>
      <c r="J1" s="1000"/>
    </row>
    <row r="2" spans="1:13" s="372" customFormat="1" ht="30" customHeight="1" thickBot="1">
      <c r="A2" s="371" t="s">
        <v>1218</v>
      </c>
      <c r="D2" s="996" t="s">
        <v>485</v>
      </c>
      <c r="F2" s="1002">
        <f>F11</f>
        <v>14</v>
      </c>
      <c r="G2" s="1003">
        <f>G11</f>
        <v>0</v>
      </c>
      <c r="H2" s="1002">
        <f>H11</f>
        <v>0</v>
      </c>
      <c r="I2" s="1004">
        <f>'Credit Summary'!K51</f>
        <v>0</v>
      </c>
      <c r="J2" s="1000"/>
    </row>
    <row r="3" spans="1:13" s="372" customFormat="1" ht="19.5" customHeight="1" thickBot="1">
      <c r="A3" s="1011" t="s">
        <v>1217</v>
      </c>
      <c r="B3" s="1012"/>
      <c r="C3" s="1013" t="str">
        <f>IF('Building Input'!$C$5=0,"",'Building Input'!$C$5)</f>
        <v/>
      </c>
      <c r="F3" s="439"/>
      <c r="G3" s="1132" t="str">
        <f>IF(OR((J3=Calculation!$D$97),(J3=Calculation!$D$98),((G2+H2)&gt;F2)),Calculation!$D$99,"")</f>
        <v/>
      </c>
      <c r="H3" s="439"/>
      <c r="I3" s="1001"/>
      <c r="J3" s="1008" t="str">
        <f>T(J5:J10)</f>
        <v/>
      </c>
    </row>
    <row r="4" spans="1:13" ht="33" customHeight="1" thickBot="1">
      <c r="A4" s="528" t="s">
        <v>1219</v>
      </c>
      <c r="B4" s="529" t="s">
        <v>1220</v>
      </c>
      <c r="C4" s="529" t="s">
        <v>1221</v>
      </c>
      <c r="D4" s="529" t="s">
        <v>489</v>
      </c>
      <c r="E4" s="529" t="s">
        <v>64</v>
      </c>
      <c r="F4" s="530" t="s">
        <v>490</v>
      </c>
      <c r="G4" s="530" t="s">
        <v>518</v>
      </c>
      <c r="H4" s="530" t="s">
        <v>519</v>
      </c>
      <c r="I4" s="531" t="s">
        <v>520</v>
      </c>
    </row>
    <row r="5" spans="1:13" ht="264" customHeight="1">
      <c r="A5" s="240" t="s">
        <v>1477</v>
      </c>
      <c r="B5" s="536" t="s">
        <v>830</v>
      </c>
      <c r="C5" s="536" t="s">
        <v>301</v>
      </c>
      <c r="D5" s="365" t="s">
        <v>415</v>
      </c>
      <c r="E5" s="1129"/>
      <c r="F5" s="244">
        <f>IF(G5="na",0,2)</f>
        <v>2</v>
      </c>
      <c r="G5" s="245"/>
      <c r="H5" s="245"/>
      <c r="I5" s="537"/>
      <c r="J5" s="1009" t="str">
        <f>IF(ISBLANK(G5),IF(H5&gt;F5,Calculation!$D$97,""),IF(G5="na","",IF(OR(G5="na",ISNUMBER(G5)),IF(G5+H5&gt;F5,Calculation!$D$97,""),Calculation!$D$98)))</f>
        <v/>
      </c>
      <c r="K5" s="524"/>
      <c r="L5" s="525"/>
      <c r="M5" s="726"/>
    </row>
    <row r="6" spans="1:13" ht="180.75" customHeight="1">
      <c r="A6" s="241" t="s">
        <v>1478</v>
      </c>
      <c r="B6" s="538" t="s">
        <v>52</v>
      </c>
      <c r="C6" s="230" t="s">
        <v>416</v>
      </c>
      <c r="D6" s="229" t="s">
        <v>1202</v>
      </c>
      <c r="E6" s="231"/>
      <c r="F6" s="242">
        <f>IF(G6="na",0,2)</f>
        <v>2</v>
      </c>
      <c r="G6" s="228"/>
      <c r="H6" s="228"/>
      <c r="I6" s="441"/>
      <c r="J6" s="1009" t="str">
        <f>IF(ISBLANK(G6),IF(H6&gt;F6,Calculation!$D$97,""),IF(G6="na","",IF(OR(G6="na",ISNUMBER(G6)),IF(G6+H6&gt;F6,Calculation!$D$97,""),Calculation!$D$98)))</f>
        <v/>
      </c>
      <c r="K6" s="524" t="str">
        <f>IF(H6="na"," ",IF(H6="n/a","Please enter 'na' in order to reduce the total no. of points available",IF(H6+I6&gt;G6,"Please ensure the total number of points claimed is less than the total no. of points available"," ")))</f>
        <v xml:space="preserve"> </v>
      </c>
      <c r="L6" s="525"/>
      <c r="M6" s="726"/>
    </row>
    <row r="7" spans="1:13" ht="260.25" customHeight="1">
      <c r="A7" s="2294" t="s">
        <v>1479</v>
      </c>
      <c r="B7" s="2186" t="s">
        <v>53</v>
      </c>
      <c r="C7" s="2296" t="s">
        <v>1091</v>
      </c>
      <c r="D7" s="229" t="s">
        <v>1006</v>
      </c>
      <c r="E7" s="2296"/>
      <c r="F7" s="242">
        <v>2</v>
      </c>
      <c r="G7" s="228"/>
      <c r="H7" s="228"/>
      <c r="I7" s="2292"/>
      <c r="J7" s="1009" t="str">
        <f>IF(OR(ISTEXT(G7)=TRUE,ISTEXT(H7)=TRUE),Calculation!$D$100,IF(G7+H7&gt;F7,Calculation!$D$97,""))</f>
        <v/>
      </c>
      <c r="K7" s="524"/>
      <c r="L7" s="525"/>
      <c r="M7" s="726"/>
    </row>
    <row r="8" spans="1:13" ht="93" customHeight="1">
      <c r="A8" s="2295"/>
      <c r="B8" s="2298"/>
      <c r="C8" s="2297"/>
      <c r="D8" s="230" t="s">
        <v>224</v>
      </c>
      <c r="E8" s="2296"/>
      <c r="F8" s="242">
        <v>1</v>
      </c>
      <c r="G8" s="1130"/>
      <c r="H8" s="228"/>
      <c r="I8" s="2293"/>
      <c r="J8" s="1009" t="str">
        <f>IF(OR(ISTEXT(G8)=TRUE,ISTEXT(H8)=TRUE),Calculation!$D$100,IF(G8+H8&gt;F8,Calculation!$D$97,""))</f>
        <v/>
      </c>
      <c r="K8" s="524"/>
      <c r="L8" s="525"/>
      <c r="M8" s="726"/>
    </row>
    <row r="9" spans="1:13" ht="120" customHeight="1">
      <c r="A9" s="241" t="s">
        <v>1480</v>
      </c>
      <c r="B9" s="230" t="s">
        <v>54</v>
      </c>
      <c r="C9" s="230" t="s">
        <v>388</v>
      </c>
      <c r="D9" s="230" t="s">
        <v>225</v>
      </c>
      <c r="E9" s="231"/>
      <c r="F9" s="242">
        <v>5</v>
      </c>
      <c r="G9" s="454">
        <f>'Transport Calculator'!D27</f>
        <v>0</v>
      </c>
      <c r="H9" s="228"/>
      <c r="I9" s="441"/>
      <c r="J9" s="1009" t="str">
        <f>IF(OR(ISTEXT(G9)=TRUE,ISTEXT(H9)=TRUE),Calculation!$D$100,IF(G9+H9&gt;F9,Calculation!$D$97,""))</f>
        <v/>
      </c>
    </row>
    <row r="10" spans="1:13" ht="196.5" customHeight="1" thickBot="1">
      <c r="A10" s="247" t="s">
        <v>1481</v>
      </c>
      <c r="B10" s="234" t="s">
        <v>1340</v>
      </c>
      <c r="C10" s="234" t="s">
        <v>1622</v>
      </c>
      <c r="D10" s="234" t="s">
        <v>1362</v>
      </c>
      <c r="E10" s="235"/>
      <c r="F10" s="246">
        <v>2</v>
      </c>
      <c r="G10" s="1131"/>
      <c r="H10" s="236"/>
      <c r="I10" s="453"/>
      <c r="J10" s="1009" t="str">
        <f>IF(OR(ISTEXT(G10)=TRUE,ISTEXT(H10)=TRUE),Calculation!$D$100,IF(G10+H10&gt;F10,Calculation!$D$97,""))</f>
        <v/>
      </c>
    </row>
    <row r="11" spans="1:13" ht="18.75" thickBot="1">
      <c r="A11" s="532"/>
      <c r="B11" s="533"/>
      <c r="C11" s="533"/>
      <c r="D11" s="388" t="s">
        <v>729</v>
      </c>
      <c r="E11" s="534" t="s">
        <v>729</v>
      </c>
      <c r="F11" s="390">
        <f>SUM(F5:F10)</f>
        <v>14</v>
      </c>
      <c r="G11" s="390">
        <f>SUM(G5:G10)</f>
        <v>0</v>
      </c>
      <c r="H11" s="390">
        <f>SUM(H5:H10)</f>
        <v>0</v>
      </c>
      <c r="I11" s="535"/>
      <c r="J11" s="435"/>
    </row>
    <row r="12" spans="1:13">
      <c r="A12" s="372"/>
    </row>
    <row r="13" spans="1:13">
      <c r="A13" s="372"/>
    </row>
    <row r="14" spans="1:13">
      <c r="A14" s="372"/>
    </row>
    <row r="15" spans="1:13">
      <c r="A15" s="1005" t="str">
        <f>Calculation!$C$86</f>
        <v>Project Teams are to refer to the Green Star SA Office v1 Technical Manual for explicit credit criteria and documentation requirements.</v>
      </c>
    </row>
    <row r="16" spans="1:13">
      <c r="A16" s="1005" t="str">
        <f>Calculation!$C$87</f>
        <v>The Green Star Technical Clarifications (TC) and Credit Interpretation Request (CIR) rulings provide an essential source of information to all</v>
      </c>
    </row>
    <row r="17" spans="1:1">
      <c r="A17" s="1005" t="str">
        <f>Calculation!$C$88</f>
        <v>projects undertaking Green Star assessment. They are available on the GBCSA website http://www.gbcsa.org.za . Technical Clarifications</v>
      </c>
    </row>
    <row r="18" spans="1:1">
      <c r="A18" s="1005" t="str">
        <f>Calculation!$C$89</f>
        <v xml:space="preserve">often represent the GBCSA answers to technical queries and complement Green Star SA Technical Manuals. They do not amend but clarify </v>
      </c>
    </row>
    <row r="19" spans="1:1">
      <c r="A19" s="1005" t="str">
        <f>Calculation!$C$90</f>
        <v xml:space="preserve">Credit Criteria or Compliance Requirements. They are an extension of the Technical Manual; it is the responsibility of the project teams to stay </v>
      </c>
    </row>
    <row r="20" spans="1:1">
      <c r="A20" s="1005" t="str">
        <f>Calculation!$C$91</f>
        <v xml:space="preserve">up-to-date with this section of the GBCSA website. The CIR rulings offer alternative compliance options whenever those have been deemed </v>
      </c>
    </row>
    <row r="21" spans="1:1">
      <c r="A21" s="1005" t="str">
        <f>Calculation!$C$92</f>
        <v>equivalent in meeting the Aim of Credit.</v>
      </c>
    </row>
    <row r="22" spans="1:1">
      <c r="A22" s="1005"/>
    </row>
  </sheetData>
  <sheetProtection password="AD9B" sheet="1" objects="1" scenarios="1"/>
  <mergeCells count="5">
    <mergeCell ref="I7:I8"/>
    <mergeCell ref="A7:A8"/>
    <mergeCell ref="C7:C8"/>
    <mergeCell ref="B7:B8"/>
    <mergeCell ref="E7:E8"/>
  </mergeCells>
  <phoneticPr fontId="0" type="noConversion"/>
  <printOptions horizontalCentered="1"/>
  <pageMargins left="0.59055118110236227" right="0.59055118110236227" top="0.47244094488188981" bottom="0.47244094488188981" header="0.23622047244094491" footer="0.35433070866141736"/>
  <pageSetup paperSize="9" scale="62" fitToHeight="2" orientation="landscape" blackAndWhite="1" r:id="rId1"/>
  <headerFooter alignWithMargins="0">
    <oddHeader>&amp;LGreen Building Council of South Africa&amp;R&amp;T   &amp;D</oddHeader>
    <oddFooter>&amp;L&amp;F&amp;CPage &amp;P of &amp;N&amp;RCategory: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081" r:id="rId4" name="Button 1">
              <controlPr defaultSize="0" print="0" autoFill="0" autoPict="0" macro="[0]!GoToCreditSummary">
                <anchor moveWithCells="1" sizeWithCells="1">
                  <from>
                    <xdr:col>6</xdr:col>
                    <xdr:colOff>0</xdr:colOff>
                    <xdr:row>11</xdr:row>
                    <xdr:rowOff>104775</xdr:rowOff>
                  </from>
                  <to>
                    <xdr:col>8</xdr:col>
                    <xdr:colOff>9525</xdr:colOff>
                    <xdr:row>13</xdr:row>
                    <xdr:rowOff>57150</xdr:rowOff>
                  </to>
                </anchor>
              </controlPr>
            </control>
          </mc:Choice>
        </mc:AlternateContent>
        <mc:AlternateContent xmlns:mc="http://schemas.openxmlformats.org/markup-compatibility/2006">
          <mc:Choice Requires="x14">
            <control shapeId="46082" r:id="rId5" name="Button 2">
              <controlPr defaultSize="0" print="0" autoFill="0" autoPict="0" macro="[0]!GoToTransportCalc">
                <anchor moveWithCells="1" sizeWithCells="1">
                  <from>
                    <xdr:col>3</xdr:col>
                    <xdr:colOff>1219200</xdr:colOff>
                    <xdr:row>8</xdr:row>
                    <xdr:rowOff>1076325</xdr:rowOff>
                  </from>
                  <to>
                    <xdr:col>3</xdr:col>
                    <xdr:colOff>3162300</xdr:colOff>
                    <xdr:row>8</xdr:row>
                    <xdr:rowOff>1352550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autoPageBreaks="0" fitToPage="1"/>
  </sheetPr>
  <dimension ref="A1:AS63"/>
  <sheetViews>
    <sheetView zoomScale="80" zoomScaleNormal="100" zoomScaleSheetLayoutView="100" workbookViewId="0">
      <pane ySplit="6" topLeftCell="A7" activePane="bottomLeft" state="frozen"/>
      <selection activeCell="D17" sqref="D17"/>
      <selection pane="bottomLeft" activeCell="A11" sqref="A11"/>
    </sheetView>
  </sheetViews>
  <sheetFormatPr defaultColWidth="7.875" defaultRowHeight="12.75"/>
  <cols>
    <col min="1" max="1" width="2.375" style="561" customWidth="1"/>
    <col min="2" max="2" width="19.375" style="560" customWidth="1"/>
    <col min="3" max="6" width="10" style="560" customWidth="1"/>
    <col min="7" max="7" width="7.875" style="560"/>
    <col min="8" max="8" width="19.75" style="648" hidden="1" customWidth="1"/>
    <col min="9" max="9" width="13.375" style="648" hidden="1" customWidth="1"/>
    <col min="10" max="10" width="21.375" style="649" hidden="1" customWidth="1"/>
    <col min="11" max="11" width="15.375" style="648" hidden="1" customWidth="1"/>
    <col min="12" max="12" width="11" style="648" hidden="1" customWidth="1"/>
    <col min="13" max="13" width="12.625" style="648" hidden="1" customWidth="1"/>
    <col min="14" max="14" width="11" style="648" hidden="1" customWidth="1"/>
    <col min="15" max="15" width="3.25" style="649" hidden="1" customWidth="1"/>
    <col min="16" max="16" width="7.875" style="649" hidden="1" customWidth="1"/>
    <col min="17" max="17" width="3.75" style="649" hidden="1" customWidth="1"/>
    <col min="18" max="18" width="11" style="649" hidden="1" customWidth="1"/>
    <col min="19" max="25" width="7.875" style="649" hidden="1" customWidth="1"/>
    <col min="26" max="26" width="8.625" style="649" hidden="1" customWidth="1"/>
    <col min="27" max="33" width="7.875" style="649" hidden="1" customWidth="1"/>
    <col min="34" max="16384" width="7.875" style="561"/>
  </cols>
  <sheetData>
    <row r="1" spans="1:33" s="541" customFormat="1" ht="27" customHeight="1">
      <c r="A1" s="539"/>
      <c r="B1" s="540" t="str">
        <f>Calculation!N31</f>
        <v>Green Star SA - Office Design v1</v>
      </c>
      <c r="D1" s="542"/>
      <c r="E1" s="542"/>
      <c r="F1" s="542"/>
      <c r="G1" s="542"/>
      <c r="H1" s="583"/>
      <c r="I1" s="584"/>
      <c r="J1" s="585"/>
      <c r="K1" s="585"/>
      <c r="L1" s="583"/>
      <c r="M1" s="583"/>
      <c r="N1" s="583"/>
      <c r="O1" s="583"/>
      <c r="P1" s="583"/>
      <c r="Q1" s="583"/>
      <c r="R1" s="583"/>
      <c r="S1" s="583"/>
      <c r="T1" s="583"/>
      <c r="U1" s="583"/>
      <c r="V1" s="583"/>
      <c r="W1" s="583"/>
      <c r="X1" s="583"/>
      <c r="Y1" s="583"/>
      <c r="Z1" s="583"/>
      <c r="AA1" s="583"/>
      <c r="AB1" s="583"/>
      <c r="AC1" s="583"/>
      <c r="AD1" s="583"/>
      <c r="AE1" s="583"/>
      <c r="AF1" s="583"/>
      <c r="AG1" s="583"/>
    </row>
    <row r="2" spans="1:33" s="546" customFormat="1" ht="27" customHeight="1">
      <c r="A2" s="543"/>
      <c r="B2" s="544" t="s">
        <v>375</v>
      </c>
      <c r="C2" s="545"/>
      <c r="E2" s="287" t="s">
        <v>373</v>
      </c>
      <c r="F2" s="288"/>
      <c r="G2" s="582">
        <f>D27</f>
        <v>0</v>
      </c>
      <c r="H2" s="586"/>
      <c r="I2" s="586"/>
      <c r="J2" s="587"/>
      <c r="K2" s="587"/>
      <c r="L2" s="588"/>
      <c r="M2" s="588"/>
      <c r="N2" s="588"/>
      <c r="O2" s="588"/>
      <c r="P2" s="588"/>
      <c r="Q2" s="588"/>
      <c r="R2" s="588"/>
      <c r="S2" s="588"/>
      <c r="T2" s="588"/>
      <c r="U2" s="588"/>
      <c r="V2" s="588"/>
      <c r="W2" s="588"/>
      <c r="X2" s="588"/>
      <c r="Y2" s="2299"/>
      <c r="Z2" s="2299"/>
      <c r="AA2" s="2299"/>
      <c r="AB2" s="2299"/>
      <c r="AC2" s="589"/>
      <c r="AD2" s="590"/>
      <c r="AE2" s="590"/>
      <c r="AF2" s="590"/>
      <c r="AG2" s="590"/>
    </row>
    <row r="3" spans="1:33" s="549" customFormat="1" ht="27" hidden="1" customHeight="1">
      <c r="A3" s="548"/>
      <c r="C3" s="550"/>
      <c r="D3" s="550"/>
      <c r="E3" s="550"/>
      <c r="F3" s="550"/>
      <c r="G3" s="550"/>
      <c r="H3" s="591"/>
      <c r="I3" s="591"/>
      <c r="J3" s="592"/>
      <c r="K3" s="593" t="s">
        <v>1117</v>
      </c>
      <c r="L3" s="591"/>
      <c r="M3" s="591"/>
      <c r="N3" s="591"/>
      <c r="O3" s="592"/>
      <c r="P3" s="592"/>
      <c r="Q3" s="592"/>
      <c r="R3" s="592"/>
      <c r="S3" s="592"/>
      <c r="T3" s="592"/>
      <c r="U3" s="592"/>
      <c r="V3" s="592"/>
      <c r="W3" s="592"/>
      <c r="X3" s="592"/>
      <c r="Y3" s="589"/>
      <c r="Z3" s="589"/>
      <c r="AA3" s="589"/>
      <c r="AB3" s="589"/>
      <c r="AC3" s="594"/>
      <c r="AD3" s="594"/>
      <c r="AE3" s="594"/>
      <c r="AF3" s="594"/>
      <c r="AG3" s="594"/>
    </row>
    <row r="4" spans="1:33" s="549" customFormat="1" ht="27" hidden="1" customHeight="1">
      <c r="A4" s="548"/>
      <c r="H4" s="592"/>
      <c r="I4" s="592"/>
      <c r="J4" s="592"/>
      <c r="K4" s="593"/>
      <c r="L4" s="591"/>
      <c r="M4" s="591"/>
      <c r="N4" s="591"/>
      <c r="O4" s="592"/>
      <c r="P4" s="592"/>
      <c r="Q4" s="592"/>
      <c r="R4" s="592"/>
      <c r="S4" s="592"/>
      <c r="T4" s="592"/>
      <c r="U4" s="592"/>
      <c r="V4" s="592"/>
      <c r="W4" s="592"/>
      <c r="X4" s="592"/>
      <c r="Y4" s="589"/>
      <c r="Z4" s="589"/>
      <c r="AA4" s="589"/>
      <c r="AB4" s="589"/>
      <c r="AC4" s="594"/>
      <c r="AD4" s="594"/>
      <c r="AE4" s="594"/>
      <c r="AF4" s="594"/>
      <c r="AG4" s="594"/>
    </row>
    <row r="5" spans="1:33" s="549" customFormat="1" ht="27" hidden="1" customHeight="1">
      <c r="A5" s="548"/>
      <c r="H5" s="592"/>
      <c r="I5" s="592"/>
      <c r="J5" s="592"/>
      <c r="K5" s="593"/>
      <c r="L5" s="591"/>
      <c r="M5" s="591"/>
      <c r="N5" s="591"/>
      <c r="O5" s="592"/>
      <c r="P5" s="592"/>
      <c r="Q5" s="592"/>
      <c r="R5" s="592"/>
      <c r="S5" s="592"/>
      <c r="T5" s="592"/>
      <c r="U5" s="592"/>
      <c r="V5" s="592"/>
      <c r="W5" s="592"/>
      <c r="X5" s="592"/>
      <c r="Y5" s="589"/>
      <c r="Z5" s="595" t="b">
        <v>0</v>
      </c>
      <c r="AA5" s="589"/>
      <c r="AB5" s="589"/>
      <c r="AC5" s="594"/>
      <c r="AD5" s="594"/>
      <c r="AE5" s="594"/>
      <c r="AF5" s="594"/>
      <c r="AG5" s="594"/>
    </row>
    <row r="6" spans="1:33" s="549" customFormat="1" ht="6" customHeight="1">
      <c r="A6" s="548"/>
      <c r="H6" s="592"/>
      <c r="I6" s="592"/>
      <c r="J6" s="592"/>
      <c r="K6" s="593"/>
      <c r="L6" s="591"/>
      <c r="M6" s="591"/>
      <c r="N6" s="591"/>
      <c r="O6" s="592"/>
      <c r="P6" s="592"/>
      <c r="Q6" s="592"/>
      <c r="R6" s="592"/>
      <c r="S6" s="592"/>
      <c r="T6" s="592"/>
      <c r="U6" s="592"/>
      <c r="V6" s="592"/>
      <c r="W6" s="592"/>
      <c r="X6" s="592"/>
      <c r="Y6" s="589"/>
      <c r="Z6" s="589"/>
      <c r="AA6" s="589"/>
      <c r="AB6" s="589"/>
      <c r="AC6" s="594"/>
      <c r="AD6" s="594"/>
      <c r="AE6" s="594"/>
      <c r="AF6" s="594"/>
      <c r="AG6" s="594"/>
    </row>
    <row r="7" spans="1:33" s="549" customFormat="1" ht="20.25" customHeight="1" thickBot="1">
      <c r="A7" s="548"/>
      <c r="B7" s="551"/>
      <c r="C7" s="551"/>
      <c r="D7" s="551"/>
      <c r="E7" s="551"/>
      <c r="F7" s="551"/>
      <c r="G7" s="551"/>
      <c r="H7" s="596"/>
      <c r="I7" s="596"/>
      <c r="J7" s="596"/>
      <c r="K7" s="593"/>
      <c r="L7" s="591"/>
      <c r="M7" s="591"/>
      <c r="N7" s="591"/>
      <c r="O7" s="592"/>
      <c r="P7" s="592"/>
      <c r="Q7" s="592"/>
      <c r="R7" s="592"/>
      <c r="S7" s="592"/>
      <c r="T7" s="592"/>
      <c r="U7" s="592"/>
      <c r="V7" s="592"/>
      <c r="W7" s="592"/>
      <c r="X7" s="592"/>
      <c r="Y7" s="589"/>
      <c r="Z7" s="589"/>
      <c r="AA7" s="589"/>
      <c r="AB7" s="589"/>
      <c r="AC7" s="594"/>
      <c r="AD7" s="594"/>
      <c r="AE7" s="594"/>
      <c r="AF7" s="594"/>
      <c r="AG7" s="594"/>
    </row>
    <row r="8" spans="1:33" s="552" customFormat="1" ht="21.75" customHeight="1" thickBot="1">
      <c r="B8" s="2306" t="s">
        <v>703</v>
      </c>
      <c r="C8" s="2307"/>
      <c r="D8" s="2307"/>
      <c r="E8" s="2307"/>
      <c r="F8" s="2308"/>
      <c r="G8" s="551"/>
      <c r="H8" s="597"/>
      <c r="I8" s="598"/>
      <c r="J8" s="599"/>
      <c r="K8" s="600" t="s">
        <v>152</v>
      </c>
      <c r="L8" s="601"/>
      <c r="M8" s="601"/>
      <c r="N8" s="601"/>
      <c r="O8" s="601"/>
      <c r="P8" s="601"/>
      <c r="Q8" s="601"/>
      <c r="R8" s="601"/>
      <c r="S8" s="601"/>
      <c r="T8" s="601"/>
      <c r="U8" s="601"/>
      <c r="V8" s="602"/>
      <c r="W8" s="602"/>
      <c r="X8" s="602"/>
      <c r="Y8" s="603"/>
      <c r="Z8" s="603"/>
      <c r="AA8" s="603"/>
      <c r="AB8" s="603"/>
      <c r="AC8" s="603"/>
      <c r="AD8" s="603"/>
      <c r="AE8" s="603"/>
      <c r="AF8" s="603"/>
      <c r="AG8" s="589"/>
    </row>
    <row r="9" spans="1:33" s="552" customFormat="1" ht="21.75" customHeight="1" thickBot="1">
      <c r="B9" s="293"/>
      <c r="C9" s="2314" t="s">
        <v>494</v>
      </c>
      <c r="D9" s="2315"/>
      <c r="E9" s="2314" t="s">
        <v>704</v>
      </c>
      <c r="F9" s="2315"/>
      <c r="G9" s="551"/>
      <c r="H9" s="604"/>
      <c r="I9" s="605"/>
      <c r="J9" s="606"/>
      <c r="K9" s="600"/>
      <c r="L9" s="601"/>
      <c r="M9" s="601"/>
      <c r="N9" s="601"/>
      <c r="O9" s="601"/>
      <c r="P9" s="601"/>
      <c r="Q9" s="601"/>
      <c r="R9" s="601"/>
      <c r="S9" s="601"/>
      <c r="T9" s="601"/>
      <c r="U9" s="601"/>
      <c r="V9" s="602"/>
      <c r="W9" s="602"/>
      <c r="X9" s="602"/>
      <c r="Y9" s="603"/>
      <c r="Z9" s="603"/>
      <c r="AA9" s="603"/>
      <c r="AB9" s="603"/>
      <c r="AC9" s="603"/>
      <c r="AD9" s="603"/>
      <c r="AE9" s="603"/>
      <c r="AF9" s="603"/>
      <c r="AG9" s="589"/>
    </row>
    <row r="10" spans="1:33" s="552" customFormat="1" ht="41.25" customHeight="1">
      <c r="B10" s="2324" t="s">
        <v>153</v>
      </c>
      <c r="C10" s="2322" t="s">
        <v>154</v>
      </c>
      <c r="D10" s="2323"/>
      <c r="E10" s="2322" t="s">
        <v>154</v>
      </c>
      <c r="F10" s="2323"/>
      <c r="G10" s="551"/>
      <c r="H10" s="2300"/>
      <c r="I10" s="2301"/>
      <c r="J10" s="2302"/>
      <c r="K10" s="601" t="s">
        <v>205</v>
      </c>
      <c r="L10" s="601"/>
      <c r="M10" s="601"/>
      <c r="N10" s="601"/>
      <c r="O10" s="601"/>
      <c r="P10" s="601"/>
      <c r="Q10" s="601"/>
      <c r="R10" s="601"/>
      <c r="S10" s="601"/>
      <c r="T10" s="601"/>
      <c r="U10" s="601"/>
      <c r="V10" s="602"/>
      <c r="W10" s="602"/>
      <c r="X10" s="602"/>
      <c r="Y10" s="607"/>
      <c r="Z10" s="607"/>
      <c r="AA10" s="607"/>
      <c r="AB10" s="607"/>
      <c r="AC10" s="607"/>
      <c r="AD10" s="607"/>
      <c r="AE10" s="607"/>
      <c r="AF10" s="607"/>
      <c r="AG10" s="589"/>
    </row>
    <row r="11" spans="1:33" s="554" customFormat="1" ht="41.25" customHeight="1" thickBot="1">
      <c r="B11" s="2325"/>
      <c r="C11" s="574" t="s">
        <v>206</v>
      </c>
      <c r="D11" s="575" t="s">
        <v>207</v>
      </c>
      <c r="E11" s="574" t="s">
        <v>206</v>
      </c>
      <c r="F11" s="575" t="s">
        <v>207</v>
      </c>
      <c r="H11" s="2303"/>
      <c r="I11" s="2304"/>
      <c r="J11" s="2305"/>
      <c r="K11" s="601"/>
      <c r="L11" s="601"/>
      <c r="M11" s="601"/>
      <c r="N11" s="601"/>
      <c r="O11" s="601"/>
      <c r="P11" s="601"/>
      <c r="Q11" s="601"/>
      <c r="R11" s="601"/>
      <c r="S11" s="601"/>
      <c r="T11" s="601"/>
      <c r="U11" s="601"/>
      <c r="V11" s="608"/>
      <c r="W11" s="608"/>
      <c r="X11" s="608"/>
      <c r="Y11" s="607"/>
      <c r="Z11" s="607"/>
      <c r="AA11" s="607"/>
      <c r="AB11" s="607"/>
      <c r="AC11" s="607"/>
      <c r="AD11" s="607"/>
      <c r="AE11" s="607"/>
      <c r="AF11" s="607"/>
      <c r="AG11" s="609"/>
    </row>
    <row r="12" spans="1:33" s="556" customFormat="1" ht="20.100000000000001" customHeight="1">
      <c r="B12" s="576" t="s">
        <v>208</v>
      </c>
      <c r="C12" s="270"/>
      <c r="D12" s="271"/>
      <c r="E12" s="270"/>
      <c r="F12" s="271"/>
      <c r="G12" s="557"/>
      <c r="H12" s="2316"/>
      <c r="I12" s="2317"/>
      <c r="J12" s="2318"/>
      <c r="K12" s="610" t="s">
        <v>209</v>
      </c>
      <c r="L12" s="611"/>
      <c r="M12" s="612"/>
      <c r="N12" s="612"/>
      <c r="O12" s="613"/>
      <c r="P12" s="614" t="s">
        <v>210</v>
      </c>
      <c r="Q12" s="613"/>
      <c r="R12" s="610" t="s">
        <v>211</v>
      </c>
      <c r="S12" s="611"/>
      <c r="T12" s="613"/>
      <c r="U12" s="613"/>
      <c r="V12" s="615"/>
      <c r="W12" s="615"/>
      <c r="X12" s="615"/>
      <c r="Y12" s="616"/>
      <c r="Z12" s="616"/>
      <c r="AA12" s="616"/>
      <c r="AB12" s="616"/>
      <c r="AC12" s="616"/>
      <c r="AD12" s="616"/>
      <c r="AE12" s="616"/>
      <c r="AF12" s="616"/>
      <c r="AG12" s="617"/>
    </row>
    <row r="13" spans="1:33" s="556" customFormat="1" ht="20.100000000000001" customHeight="1">
      <c r="B13" s="576" t="s">
        <v>212</v>
      </c>
      <c r="C13" s="270"/>
      <c r="D13" s="271"/>
      <c r="E13" s="270"/>
      <c r="F13" s="271"/>
      <c r="G13" s="557"/>
      <c r="H13" s="2319"/>
      <c r="I13" s="2320"/>
      <c r="J13" s="2321"/>
      <c r="K13" s="610"/>
      <c r="L13" s="611"/>
      <c r="M13" s="612"/>
      <c r="N13" s="612"/>
      <c r="O13" s="613"/>
      <c r="P13" s="614" t="s">
        <v>1688</v>
      </c>
      <c r="Q13" s="613"/>
      <c r="R13" s="610"/>
      <c r="S13" s="611"/>
      <c r="T13" s="613"/>
      <c r="U13" s="613"/>
      <c r="V13" s="615"/>
      <c r="W13" s="615"/>
      <c r="X13" s="615"/>
      <c r="Y13" s="616"/>
      <c r="Z13" s="616"/>
      <c r="AA13" s="616"/>
      <c r="AB13" s="616"/>
      <c r="AC13" s="616"/>
      <c r="AD13" s="616"/>
      <c r="AE13" s="616"/>
      <c r="AF13" s="616"/>
      <c r="AG13" s="617"/>
    </row>
    <row r="14" spans="1:33" s="556" customFormat="1" ht="20.100000000000001" customHeight="1">
      <c r="B14" s="576" t="s">
        <v>213</v>
      </c>
      <c r="C14" s="270"/>
      <c r="D14" s="271"/>
      <c r="E14" s="270"/>
      <c r="F14" s="271"/>
      <c r="G14" s="557"/>
      <c r="H14" s="2319"/>
      <c r="I14" s="2320"/>
      <c r="J14" s="2321"/>
      <c r="K14" s="618" t="s">
        <v>705</v>
      </c>
      <c r="L14" s="619"/>
      <c r="M14" s="2312" t="s">
        <v>706</v>
      </c>
      <c r="N14" s="2313"/>
      <c r="O14" s="622"/>
      <c r="P14" s="623"/>
      <c r="Q14" s="613"/>
      <c r="R14" s="624" t="s">
        <v>214</v>
      </c>
      <c r="S14" s="625" t="s">
        <v>166</v>
      </c>
      <c r="T14" s="613"/>
      <c r="U14" s="613"/>
      <c r="V14" s="615"/>
      <c r="W14" s="615"/>
      <c r="X14" s="615"/>
      <c r="Y14" s="615"/>
      <c r="Z14" s="615"/>
      <c r="AA14" s="615"/>
      <c r="AB14" s="615"/>
      <c r="AC14" s="615"/>
      <c r="AD14" s="615"/>
      <c r="AE14" s="615"/>
      <c r="AF14" s="615"/>
      <c r="AG14" s="615"/>
    </row>
    <row r="15" spans="1:33" s="556" customFormat="1" ht="20.100000000000001" customHeight="1" thickBot="1">
      <c r="B15" s="577" t="s">
        <v>1135</v>
      </c>
      <c r="C15" s="272"/>
      <c r="D15" s="273"/>
      <c r="E15" s="272"/>
      <c r="F15" s="273"/>
      <c r="G15" s="557"/>
      <c r="H15" s="2309"/>
      <c r="I15" s="2310"/>
      <c r="J15" s="2311"/>
      <c r="K15" s="620" t="s">
        <v>1136</v>
      </c>
      <c r="L15" s="625" t="s">
        <v>1137</v>
      </c>
      <c r="M15" s="620" t="s">
        <v>1136</v>
      </c>
      <c r="N15" s="621" t="s">
        <v>1137</v>
      </c>
      <c r="O15" s="613"/>
      <c r="P15" s="626"/>
      <c r="Q15" s="622"/>
      <c r="R15" s="627">
        <v>10</v>
      </c>
      <c r="S15" s="619">
        <v>1</v>
      </c>
      <c r="T15" s="613"/>
      <c r="U15" s="613"/>
      <c r="V15" s="615"/>
      <c r="W15" s="615"/>
      <c r="X15" s="615"/>
      <c r="Y15" s="615"/>
      <c r="Z15" s="615"/>
      <c r="AA15" s="615"/>
      <c r="AB15" s="615"/>
      <c r="AC15" s="615"/>
      <c r="AD15" s="615"/>
      <c r="AE15" s="615"/>
      <c r="AF15" s="615"/>
      <c r="AG15" s="615"/>
    </row>
    <row r="16" spans="1:33" s="552" customFormat="1" ht="15" customHeight="1" thickBot="1">
      <c r="B16" s="551"/>
      <c r="C16" s="551"/>
      <c r="D16" s="551"/>
      <c r="E16" s="551"/>
      <c r="F16" s="551"/>
      <c r="G16" s="551"/>
      <c r="H16" s="2303"/>
      <c r="I16" s="2304"/>
      <c r="J16" s="2305"/>
      <c r="K16" s="628">
        <v>6</v>
      </c>
      <c r="L16" s="629">
        <v>4</v>
      </c>
      <c r="M16" s="630">
        <v>3</v>
      </c>
      <c r="N16" s="630">
        <v>1</v>
      </c>
      <c r="O16" s="601"/>
      <c r="P16" s="631">
        <f>C12*K16+D12*L16+E12*M16+F12*N16</f>
        <v>0</v>
      </c>
      <c r="Q16" s="632"/>
      <c r="R16" s="628">
        <v>20</v>
      </c>
      <c r="S16" s="629">
        <v>2</v>
      </c>
      <c r="T16" s="601"/>
      <c r="U16" s="601"/>
      <c r="V16" s="602"/>
      <c r="W16" s="602"/>
      <c r="X16" s="602"/>
      <c r="Y16" s="602"/>
      <c r="Z16" s="602"/>
      <c r="AA16" s="602"/>
      <c r="AB16" s="602"/>
      <c r="AC16" s="602"/>
      <c r="AD16" s="602"/>
      <c r="AE16" s="602"/>
      <c r="AF16" s="602"/>
      <c r="AG16" s="602"/>
    </row>
    <row r="17" spans="1:45" s="552" customFormat="1" ht="15.75" customHeight="1" thickBot="1">
      <c r="B17" s="551"/>
      <c r="C17" s="551"/>
      <c r="D17" s="551"/>
      <c r="E17" s="551"/>
      <c r="F17" s="551"/>
      <c r="G17" s="551"/>
      <c r="H17" s="633"/>
      <c r="I17" s="634"/>
      <c r="J17" s="635"/>
      <c r="K17" s="628">
        <v>5</v>
      </c>
      <c r="L17" s="629">
        <v>3</v>
      </c>
      <c r="M17" s="630">
        <v>2</v>
      </c>
      <c r="N17" s="630">
        <v>0</v>
      </c>
      <c r="O17" s="601"/>
      <c r="P17" s="631">
        <f>C13*K17+D13*L17+E13*M17+F13*N17</f>
        <v>0</v>
      </c>
      <c r="Q17" s="632"/>
      <c r="R17" s="628">
        <v>40</v>
      </c>
      <c r="S17" s="629">
        <v>3</v>
      </c>
      <c r="T17" s="601"/>
      <c r="U17" s="601"/>
      <c r="V17" s="602"/>
      <c r="W17" s="602"/>
      <c r="X17" s="602"/>
      <c r="Y17" s="602"/>
      <c r="Z17" s="602"/>
      <c r="AA17" s="602"/>
      <c r="AB17" s="602"/>
      <c r="AC17" s="602"/>
      <c r="AD17" s="602"/>
      <c r="AE17" s="602"/>
      <c r="AF17" s="602"/>
      <c r="AG17" s="602"/>
    </row>
    <row r="18" spans="1:45" s="552" customFormat="1" ht="16.5" customHeight="1" thickBot="1">
      <c r="B18" s="290" t="s">
        <v>384</v>
      </c>
      <c r="C18" s="291"/>
      <c r="D18" s="292"/>
      <c r="E18" s="551"/>
      <c r="F18" s="551"/>
      <c r="G18" s="551"/>
      <c r="H18" s="2309"/>
      <c r="I18" s="2331"/>
      <c r="J18" s="2332"/>
      <c r="K18" s="628">
        <v>4</v>
      </c>
      <c r="L18" s="629">
        <v>2</v>
      </c>
      <c r="M18" s="630">
        <v>1</v>
      </c>
      <c r="N18" s="630">
        <v>0</v>
      </c>
      <c r="O18" s="601"/>
      <c r="P18" s="631">
        <f>C14*K18+D14*L18+E14*M18+F14*N18</f>
        <v>0</v>
      </c>
      <c r="Q18" s="632"/>
      <c r="R18" s="628">
        <v>60</v>
      </c>
      <c r="S18" s="629">
        <v>4</v>
      </c>
      <c r="T18" s="601"/>
      <c r="U18" s="601"/>
      <c r="V18" s="602"/>
      <c r="W18" s="602"/>
      <c r="X18" s="602"/>
      <c r="Y18" s="602"/>
      <c r="Z18" s="602"/>
      <c r="AA18" s="602"/>
      <c r="AB18" s="602"/>
      <c r="AC18" s="602"/>
      <c r="AD18" s="602"/>
      <c r="AE18" s="602"/>
      <c r="AF18" s="602"/>
      <c r="AG18" s="602"/>
    </row>
    <row r="19" spans="1:45" s="552" customFormat="1" ht="41.25" customHeight="1">
      <c r="B19" s="2324" t="s">
        <v>153</v>
      </c>
      <c r="C19" s="2322" t="s">
        <v>154</v>
      </c>
      <c r="D19" s="2323"/>
      <c r="E19" s="551"/>
      <c r="F19" s="551"/>
      <c r="G19" s="551"/>
      <c r="H19" s="2333"/>
      <c r="I19" s="2334"/>
      <c r="J19" s="2335"/>
      <c r="K19" s="628">
        <v>3</v>
      </c>
      <c r="L19" s="629">
        <v>1</v>
      </c>
      <c r="M19" s="630">
        <v>0</v>
      </c>
      <c r="N19" s="630">
        <v>0</v>
      </c>
      <c r="O19" s="601"/>
      <c r="P19" s="631">
        <f>C15*K19+D15*L19+E15*M19+F15*N19</f>
        <v>0</v>
      </c>
      <c r="Q19" s="632"/>
      <c r="R19" s="628">
        <v>80</v>
      </c>
      <c r="S19" s="629">
        <v>5</v>
      </c>
      <c r="T19" s="601"/>
      <c r="U19" s="601"/>
      <c r="V19" s="602"/>
      <c r="W19" s="602"/>
      <c r="X19" s="602"/>
      <c r="Y19" s="602"/>
      <c r="Z19" s="602"/>
      <c r="AA19" s="602"/>
      <c r="AB19" s="602"/>
      <c r="AC19" s="602"/>
      <c r="AD19" s="602"/>
      <c r="AE19" s="602"/>
      <c r="AF19" s="602"/>
      <c r="AG19" s="602"/>
    </row>
    <row r="20" spans="1:45" s="552" customFormat="1" ht="41.25" customHeight="1" thickBot="1">
      <c r="B20" s="2325"/>
      <c r="C20" s="578" t="s">
        <v>206</v>
      </c>
      <c r="D20" s="575" t="s">
        <v>207</v>
      </c>
      <c r="E20" s="551"/>
      <c r="F20" s="551"/>
      <c r="G20" s="551"/>
      <c r="H20" s="636"/>
      <c r="I20" s="637"/>
      <c r="J20" s="638"/>
      <c r="K20" s="639"/>
      <c r="L20" s="640"/>
      <c r="M20" s="589"/>
      <c r="N20" s="589"/>
      <c r="O20" s="602"/>
      <c r="P20" s="641"/>
      <c r="Q20" s="602"/>
      <c r="R20" s="639"/>
      <c r="S20" s="640"/>
      <c r="T20" s="601"/>
      <c r="U20" s="601"/>
      <c r="V20" s="602"/>
      <c r="W20" s="602"/>
      <c r="X20" s="602"/>
      <c r="Y20" s="602"/>
      <c r="Z20" s="602"/>
      <c r="AA20" s="602"/>
      <c r="AB20" s="602"/>
      <c r="AC20" s="602"/>
      <c r="AD20" s="602"/>
      <c r="AE20" s="602"/>
      <c r="AF20" s="602"/>
      <c r="AG20" s="602"/>
    </row>
    <row r="21" spans="1:45" s="556" customFormat="1" ht="20.100000000000001" customHeight="1">
      <c r="B21" s="576" t="s">
        <v>208</v>
      </c>
      <c r="C21" s="274"/>
      <c r="D21" s="271"/>
      <c r="E21" s="557"/>
      <c r="F21" s="557"/>
      <c r="G21" s="557"/>
      <c r="H21" s="2316"/>
      <c r="I21" s="2317"/>
      <c r="J21" s="2318"/>
      <c r="K21" s="610"/>
      <c r="L21" s="611"/>
      <c r="M21" s="612"/>
      <c r="N21" s="612"/>
      <c r="O21" s="613"/>
      <c r="P21" s="626"/>
      <c r="Q21" s="622"/>
      <c r="R21" s="627"/>
      <c r="S21" s="611"/>
      <c r="T21" s="613"/>
      <c r="U21" s="613"/>
      <c r="V21" s="615"/>
      <c r="W21" s="615"/>
      <c r="X21" s="615"/>
      <c r="Y21" s="615"/>
      <c r="Z21" s="615"/>
      <c r="AA21" s="615"/>
      <c r="AB21" s="615"/>
      <c r="AC21" s="615"/>
      <c r="AD21" s="615"/>
      <c r="AE21" s="615"/>
      <c r="AF21" s="615"/>
      <c r="AG21" s="615"/>
    </row>
    <row r="22" spans="1:45" s="556" customFormat="1" ht="20.100000000000001" customHeight="1">
      <c r="B22" s="576" t="s">
        <v>212</v>
      </c>
      <c r="C22" s="274"/>
      <c r="D22" s="271"/>
      <c r="E22" s="557"/>
      <c r="F22" s="557"/>
      <c r="G22" s="557"/>
      <c r="H22" s="2319"/>
      <c r="I22" s="2320"/>
      <c r="J22" s="2321"/>
      <c r="K22" s="627"/>
      <c r="L22" s="619"/>
      <c r="M22" s="642"/>
      <c r="N22" s="642"/>
      <c r="O22" s="613"/>
      <c r="P22" s="643"/>
      <c r="Q22" s="622"/>
      <c r="R22" s="627"/>
      <c r="S22" s="611"/>
      <c r="T22" s="613"/>
      <c r="U22" s="613"/>
      <c r="V22" s="615"/>
      <c r="W22" s="615"/>
      <c r="X22" s="615"/>
      <c r="Y22" s="615"/>
      <c r="Z22" s="615"/>
      <c r="AA22" s="615"/>
      <c r="AB22" s="615"/>
      <c r="AC22" s="615"/>
      <c r="AD22" s="615"/>
      <c r="AE22" s="615"/>
      <c r="AF22" s="615"/>
      <c r="AG22" s="615"/>
    </row>
    <row r="23" spans="1:45" s="556" customFormat="1" ht="20.100000000000001" customHeight="1">
      <c r="B23" s="576" t="s">
        <v>213</v>
      </c>
      <c r="C23" s="274"/>
      <c r="D23" s="271"/>
      <c r="E23" s="557"/>
      <c r="F23" s="557"/>
      <c r="G23" s="557"/>
      <c r="H23" s="2319"/>
      <c r="I23" s="2320"/>
      <c r="J23" s="2321"/>
      <c r="K23" s="620" t="s">
        <v>385</v>
      </c>
      <c r="L23" s="625"/>
      <c r="M23" s="621"/>
      <c r="N23" s="621"/>
      <c r="O23" s="613"/>
      <c r="P23" s="643"/>
      <c r="Q23" s="613"/>
      <c r="R23" s="610"/>
      <c r="S23" s="611"/>
      <c r="T23" s="613"/>
      <c r="U23" s="613"/>
      <c r="V23" s="615"/>
      <c r="W23" s="615"/>
      <c r="X23" s="615"/>
      <c r="Y23" s="615"/>
      <c r="Z23" s="615"/>
      <c r="AA23" s="615"/>
      <c r="AB23" s="615"/>
      <c r="AC23" s="615"/>
      <c r="AD23" s="615"/>
      <c r="AE23" s="615"/>
      <c r="AF23" s="615"/>
      <c r="AG23" s="615"/>
    </row>
    <row r="24" spans="1:45" s="556" customFormat="1" ht="20.100000000000001" customHeight="1" thickBot="1">
      <c r="B24" s="577" t="s">
        <v>1135</v>
      </c>
      <c r="C24" s="275"/>
      <c r="D24" s="273"/>
      <c r="E24" s="557"/>
      <c r="F24" s="557"/>
      <c r="G24" s="557"/>
      <c r="H24" s="2319"/>
      <c r="I24" s="2320"/>
      <c r="J24" s="2321"/>
      <c r="K24" s="627">
        <v>7</v>
      </c>
      <c r="L24" s="619">
        <v>5</v>
      </c>
      <c r="M24" s="642"/>
      <c r="N24" s="642"/>
      <c r="O24" s="613"/>
      <c r="P24" s="643">
        <f>C21*K24+D21*L24</f>
        <v>0</v>
      </c>
      <c r="Q24" s="622"/>
      <c r="R24" s="644" t="s">
        <v>1183</v>
      </c>
      <c r="S24" s="645">
        <f>IF(P29&lt;R15,0,VLOOKUP(P29,R15:S21,2))</f>
        <v>0</v>
      </c>
      <c r="T24" s="613"/>
      <c r="U24" s="613"/>
      <c r="V24" s="615"/>
      <c r="W24" s="615"/>
      <c r="X24" s="615"/>
      <c r="Y24" s="615"/>
      <c r="Z24" s="615"/>
      <c r="AA24" s="615"/>
      <c r="AB24" s="615"/>
      <c r="AC24" s="615"/>
      <c r="AD24" s="615"/>
      <c r="AE24" s="615"/>
      <c r="AF24" s="615"/>
      <c r="AG24" s="615"/>
    </row>
    <row r="25" spans="1:45" s="552" customFormat="1" ht="15">
      <c r="B25" s="551"/>
      <c r="C25" s="551"/>
      <c r="D25" s="551"/>
      <c r="E25" s="551"/>
      <c r="F25" s="551"/>
      <c r="G25" s="551"/>
      <c r="H25" s="2319"/>
      <c r="I25" s="2320"/>
      <c r="J25" s="2321"/>
      <c r="K25" s="628">
        <v>6</v>
      </c>
      <c r="L25" s="629">
        <v>4</v>
      </c>
      <c r="M25" s="630"/>
      <c r="N25" s="630"/>
      <c r="O25" s="601"/>
      <c r="P25" s="631">
        <f>C22*K25+D22*L25</f>
        <v>0</v>
      </c>
      <c r="Q25" s="632"/>
      <c r="R25" s="628"/>
      <c r="S25" s="646"/>
      <c r="T25" s="601"/>
      <c r="U25" s="601"/>
      <c r="V25" s="602"/>
      <c r="W25" s="602"/>
      <c r="X25" s="602"/>
      <c r="Y25" s="602"/>
      <c r="Z25" s="602"/>
      <c r="AA25" s="602"/>
      <c r="AB25" s="602"/>
      <c r="AC25" s="602"/>
      <c r="AD25" s="602"/>
      <c r="AE25" s="602"/>
      <c r="AF25" s="602"/>
      <c r="AG25" s="602"/>
    </row>
    <row r="26" spans="1:45" s="552" customFormat="1" ht="15.75" thickBot="1">
      <c r="B26" s="551"/>
      <c r="C26" s="551"/>
      <c r="D26" s="551"/>
      <c r="E26" s="551"/>
      <c r="F26" s="551"/>
      <c r="G26" s="551"/>
      <c r="H26" s="2319"/>
      <c r="I26" s="2320"/>
      <c r="J26" s="2337"/>
      <c r="K26" s="628"/>
      <c r="L26" s="629"/>
      <c r="M26" s="630"/>
      <c r="N26" s="630"/>
      <c r="O26" s="601"/>
      <c r="P26" s="631"/>
      <c r="Q26" s="632"/>
      <c r="R26" s="628"/>
      <c r="S26" s="646"/>
      <c r="T26" s="601"/>
      <c r="U26" s="601"/>
      <c r="V26" s="602"/>
      <c r="W26" s="602"/>
      <c r="X26" s="602"/>
      <c r="Y26" s="602"/>
      <c r="Z26" s="602"/>
      <c r="AA26" s="602"/>
      <c r="AB26" s="602"/>
      <c r="AC26" s="602"/>
      <c r="AD26" s="602"/>
      <c r="AE26" s="602"/>
      <c r="AF26" s="602"/>
      <c r="AG26" s="602"/>
    </row>
    <row r="27" spans="1:45" s="552" customFormat="1" ht="18.75" thickBot="1">
      <c r="B27" s="579" t="s">
        <v>1406</v>
      </c>
      <c r="C27" s="580"/>
      <c r="D27" s="581">
        <f>S24</f>
        <v>0</v>
      </c>
      <c r="E27" s="551"/>
      <c r="F27" s="551"/>
      <c r="G27" s="551"/>
      <c r="H27" s="2336"/>
      <c r="I27" s="2336"/>
      <c r="J27" s="647"/>
      <c r="K27" s="630">
        <v>5</v>
      </c>
      <c r="L27" s="629">
        <v>3</v>
      </c>
      <c r="M27" s="630"/>
      <c r="N27" s="630"/>
      <c r="O27" s="601"/>
      <c r="P27" s="631">
        <f>C23*K27+D23*L27</f>
        <v>0</v>
      </c>
      <c r="Q27" s="632"/>
      <c r="R27" s="628"/>
      <c r="S27" s="646"/>
      <c r="T27" s="601"/>
      <c r="U27" s="601"/>
      <c r="V27" s="602"/>
      <c r="W27" s="602"/>
      <c r="X27" s="602"/>
      <c r="Y27" s="602"/>
      <c r="Z27" s="602"/>
      <c r="AA27" s="602"/>
      <c r="AB27" s="602"/>
      <c r="AC27" s="602"/>
      <c r="AD27" s="602"/>
      <c r="AE27" s="602"/>
      <c r="AF27" s="602"/>
      <c r="AG27" s="602"/>
    </row>
    <row r="28" spans="1:45" ht="48.75" customHeight="1">
      <c r="A28" s="558"/>
      <c r="B28" s="559"/>
      <c r="K28" s="628">
        <v>4</v>
      </c>
      <c r="L28" s="629">
        <v>2</v>
      </c>
      <c r="M28" s="630"/>
      <c r="N28" s="630"/>
      <c r="O28" s="601"/>
      <c r="P28" s="631">
        <f>C24*K28+D24*L28</f>
        <v>0</v>
      </c>
      <c r="Q28" s="632"/>
      <c r="R28" s="628"/>
      <c r="S28" s="646"/>
      <c r="T28" s="601"/>
      <c r="U28" s="601"/>
      <c r="AI28" s="552"/>
      <c r="AJ28" s="552"/>
      <c r="AK28" s="552"/>
      <c r="AL28" s="552"/>
      <c r="AM28" s="552"/>
      <c r="AN28" s="552"/>
      <c r="AO28" s="552"/>
      <c r="AP28" s="552"/>
      <c r="AQ28" s="552"/>
      <c r="AR28" s="552"/>
      <c r="AS28" s="552"/>
    </row>
    <row r="29" spans="1:45" ht="13.5" thickBot="1">
      <c r="A29" s="562"/>
      <c r="K29" s="650"/>
      <c r="L29" s="651"/>
      <c r="M29" s="630"/>
      <c r="N29" s="630"/>
      <c r="O29" s="601"/>
      <c r="P29" s="652">
        <f>SUM(P16:P28)</f>
        <v>0</v>
      </c>
      <c r="Q29" s="632"/>
      <c r="R29" s="650"/>
      <c r="S29" s="653"/>
      <c r="T29" s="601"/>
      <c r="U29" s="601"/>
    </row>
    <row r="30" spans="1:45" s="553" customFormat="1" ht="15" customHeight="1">
      <c r="A30" s="563" t="s">
        <v>1184</v>
      </c>
      <c r="H30" s="601"/>
      <c r="I30" s="601"/>
      <c r="J30" s="601"/>
      <c r="K30" s="654"/>
      <c r="L30" s="601"/>
      <c r="M30" s="601"/>
      <c r="N30" s="601"/>
      <c r="O30" s="601"/>
      <c r="P30" s="601"/>
      <c r="Q30" s="601"/>
      <c r="R30" s="601"/>
      <c r="S30" s="601"/>
      <c r="T30" s="601"/>
      <c r="U30" s="601"/>
      <c r="V30" s="601"/>
      <c r="W30" s="601"/>
      <c r="X30" s="601"/>
      <c r="Y30" s="601"/>
      <c r="Z30" s="601"/>
      <c r="AA30" s="601"/>
      <c r="AB30" s="601"/>
      <c r="AC30" s="601"/>
      <c r="AD30" s="601"/>
      <c r="AE30" s="601"/>
      <c r="AF30" s="601"/>
      <c r="AG30" s="601"/>
    </row>
    <row r="31" spans="1:45" s="553" customFormat="1" ht="30" customHeight="1">
      <c r="A31" s="564" t="s">
        <v>640</v>
      </c>
      <c r="B31" s="2329" t="s">
        <v>1185</v>
      </c>
      <c r="C31" s="2329"/>
      <c r="D31" s="2329"/>
      <c r="E31" s="2329"/>
      <c r="F31" s="2329"/>
      <c r="G31" s="2329"/>
      <c r="H31" s="2329"/>
      <c r="I31" s="2329"/>
      <c r="J31" s="2329"/>
      <c r="K31" s="601"/>
      <c r="L31" s="601"/>
      <c r="M31" s="601"/>
      <c r="N31" s="601"/>
      <c r="O31" s="601"/>
      <c r="P31" s="601"/>
      <c r="Q31" s="601"/>
      <c r="R31" s="601"/>
      <c r="S31" s="601"/>
      <c r="T31" s="601"/>
      <c r="U31" s="601"/>
      <c r="V31" s="601"/>
      <c r="W31" s="601"/>
      <c r="X31" s="601"/>
      <c r="Y31" s="601"/>
      <c r="Z31" s="601"/>
      <c r="AA31" s="601"/>
      <c r="AB31" s="601"/>
      <c r="AC31" s="601"/>
      <c r="AD31" s="601"/>
      <c r="AE31" s="601"/>
      <c r="AF31" s="601"/>
      <c r="AG31" s="601"/>
    </row>
    <row r="32" spans="1:45" s="553" customFormat="1" ht="30" customHeight="1">
      <c r="A32" s="564" t="s">
        <v>641</v>
      </c>
      <c r="B32" s="2329" t="s">
        <v>1186</v>
      </c>
      <c r="C32" s="2329"/>
      <c r="D32" s="2329"/>
      <c r="E32" s="2329"/>
      <c r="F32" s="2329"/>
      <c r="G32" s="2329"/>
      <c r="H32" s="2329"/>
      <c r="I32" s="2329"/>
      <c r="J32" s="2329"/>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row>
    <row r="33" spans="1:33" s="553" customFormat="1" ht="30" customHeight="1">
      <c r="A33" s="564" t="s">
        <v>504</v>
      </c>
      <c r="B33" s="2329" t="s">
        <v>635</v>
      </c>
      <c r="C33" s="2329"/>
      <c r="D33" s="2329"/>
      <c r="E33" s="2329"/>
      <c r="F33" s="2329"/>
      <c r="G33" s="2329"/>
      <c r="H33" s="2329"/>
      <c r="I33" s="2329"/>
      <c r="J33" s="2329"/>
      <c r="K33" s="601"/>
      <c r="L33" s="601"/>
      <c r="M33" s="601"/>
      <c r="N33" s="601"/>
      <c r="O33" s="601"/>
      <c r="P33" s="601"/>
      <c r="Q33" s="601"/>
      <c r="R33" s="601"/>
      <c r="S33" s="601"/>
      <c r="T33" s="601"/>
      <c r="U33" s="601"/>
      <c r="V33" s="601"/>
      <c r="W33" s="601"/>
      <c r="X33" s="601"/>
      <c r="Y33" s="601"/>
      <c r="Z33" s="601"/>
      <c r="AA33" s="601"/>
      <c r="AB33" s="601"/>
      <c r="AC33" s="601"/>
      <c r="AD33" s="601"/>
      <c r="AE33" s="601"/>
      <c r="AF33" s="601"/>
      <c r="AG33" s="601"/>
    </row>
    <row r="34" spans="1:33" s="553" customFormat="1" ht="15" customHeight="1">
      <c r="A34" s="563" t="s">
        <v>636</v>
      </c>
      <c r="B34" s="565"/>
      <c r="C34" s="565"/>
      <c r="D34" s="565"/>
      <c r="E34" s="565"/>
      <c r="F34" s="565"/>
      <c r="G34" s="565"/>
      <c r="H34" s="655"/>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row>
    <row r="35" spans="1:33" s="553" customFormat="1" ht="104.25" customHeight="1">
      <c r="A35" s="564" t="s">
        <v>640</v>
      </c>
      <c r="B35" s="2329" t="s">
        <v>1175</v>
      </c>
      <c r="C35" s="2329"/>
      <c r="D35" s="2329"/>
      <c r="E35" s="2329"/>
      <c r="F35" s="2329"/>
      <c r="G35" s="2329"/>
      <c r="H35" s="2329"/>
      <c r="I35" s="2329"/>
      <c r="J35" s="2329"/>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row>
    <row r="36" spans="1:33" s="553" customFormat="1" ht="40.5" customHeight="1">
      <c r="A36" s="564" t="s">
        <v>641</v>
      </c>
      <c r="B36" s="2329" t="s">
        <v>417</v>
      </c>
      <c r="C36" s="2329"/>
      <c r="D36" s="2329"/>
      <c r="E36" s="2329"/>
      <c r="F36" s="2329"/>
      <c r="G36" s="2329"/>
      <c r="H36" s="2329"/>
      <c r="I36" s="2329"/>
      <c r="J36" s="2329"/>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row>
    <row r="37" spans="1:33" ht="111.75" customHeight="1">
      <c r="A37" s="564"/>
      <c r="B37" s="2329"/>
      <c r="C37" s="2329"/>
      <c r="D37" s="2329"/>
      <c r="E37" s="2329"/>
      <c r="F37" s="2329"/>
      <c r="G37" s="2329"/>
      <c r="H37" s="2329"/>
      <c r="I37" s="2329"/>
      <c r="J37" s="2329"/>
    </row>
    <row r="38" spans="1:33" ht="29.25" customHeight="1">
      <c r="A38" s="564"/>
      <c r="B38" s="2329"/>
      <c r="C38" s="2329"/>
      <c r="D38" s="2329"/>
      <c r="E38" s="2329"/>
      <c r="F38" s="2329"/>
      <c r="G38" s="2329"/>
      <c r="H38" s="2329"/>
      <c r="I38" s="2330"/>
      <c r="J38" s="2330"/>
    </row>
    <row r="39" spans="1:33" ht="72.75" customHeight="1">
      <c r="A39" s="2327"/>
      <c r="B39" s="2327"/>
      <c r="C39" s="2327"/>
      <c r="D39" s="2327"/>
      <c r="E39" s="2327"/>
      <c r="F39" s="2327"/>
      <c r="G39" s="2327"/>
      <c r="H39" s="2327"/>
      <c r="I39" s="2327"/>
    </row>
    <row r="40" spans="1:33">
      <c r="A40" s="2327"/>
      <c r="B40" s="2327"/>
      <c r="C40" s="2327"/>
      <c r="D40" s="2327"/>
      <c r="E40" s="2327"/>
      <c r="F40" s="2327"/>
      <c r="G40" s="2327"/>
      <c r="H40" s="2327"/>
      <c r="I40" s="2327"/>
    </row>
    <row r="41" spans="1:33" ht="25.5" customHeight="1">
      <c r="A41" s="2327"/>
      <c r="B41" s="2327"/>
      <c r="C41" s="2327"/>
      <c r="D41" s="2327"/>
      <c r="E41" s="2327"/>
      <c r="F41" s="2327"/>
      <c r="G41" s="2327"/>
      <c r="H41" s="2327"/>
      <c r="I41" s="2327"/>
    </row>
    <row r="42" spans="1:33" ht="27.75" customHeight="1">
      <c r="A42" s="2327"/>
      <c r="B42" s="2327"/>
      <c r="C42" s="2327"/>
      <c r="D42" s="2327"/>
      <c r="E42" s="2327"/>
      <c r="F42" s="2327"/>
      <c r="G42" s="2327"/>
      <c r="H42" s="2327"/>
      <c r="I42" s="2327"/>
    </row>
    <row r="43" spans="1:33">
      <c r="A43" s="566"/>
      <c r="B43" s="566"/>
      <c r="C43" s="566"/>
      <c r="D43" s="566"/>
      <c r="E43" s="566"/>
      <c r="F43" s="566"/>
      <c r="G43" s="566"/>
      <c r="H43" s="656"/>
      <c r="I43" s="656"/>
    </row>
    <row r="44" spans="1:33">
      <c r="A44" s="2327"/>
      <c r="B44" s="2327"/>
      <c r="C44" s="2327"/>
      <c r="D44" s="2327"/>
      <c r="E44" s="2327"/>
      <c r="F44" s="2327"/>
      <c r="G44" s="2327"/>
      <c r="H44" s="2327"/>
      <c r="I44" s="2327"/>
    </row>
    <row r="45" spans="1:33">
      <c r="A45" s="566"/>
      <c r="B45" s="567"/>
      <c r="C45" s="567"/>
      <c r="D45" s="567"/>
      <c r="E45" s="567"/>
      <c r="F45" s="567"/>
      <c r="G45" s="567"/>
      <c r="H45" s="657"/>
      <c r="I45" s="657"/>
    </row>
    <row r="46" spans="1:33" ht="15.75">
      <c r="A46" s="566"/>
      <c r="B46" s="555"/>
      <c r="C46" s="568"/>
      <c r="D46" s="568"/>
      <c r="E46" s="568"/>
      <c r="F46" s="568"/>
      <c r="G46" s="567"/>
      <c r="H46" s="657"/>
      <c r="I46" s="657"/>
    </row>
    <row r="47" spans="1:33">
      <c r="A47" s="566"/>
      <c r="B47" s="2326"/>
      <c r="C47" s="2328"/>
      <c r="D47" s="2328"/>
      <c r="E47" s="569"/>
      <c r="F47" s="569"/>
      <c r="G47" s="567"/>
      <c r="H47" s="657"/>
      <c r="I47" s="657"/>
    </row>
    <row r="48" spans="1:33" ht="40.5" customHeight="1">
      <c r="A48" s="566"/>
      <c r="B48" s="2327"/>
      <c r="C48" s="570"/>
      <c r="D48" s="570"/>
      <c r="E48" s="570"/>
      <c r="F48" s="570"/>
      <c r="G48" s="567"/>
      <c r="H48" s="657"/>
      <c r="I48" s="657"/>
    </row>
    <row r="49" spans="1:9" ht="15">
      <c r="A49" s="566"/>
      <c r="B49" s="547"/>
      <c r="C49" s="568"/>
      <c r="D49" s="568"/>
      <c r="E49" s="568"/>
      <c r="F49" s="568"/>
      <c r="G49" s="567"/>
      <c r="H49" s="657"/>
      <c r="I49" s="657"/>
    </row>
    <row r="50" spans="1:9" ht="15">
      <c r="A50" s="566"/>
      <c r="B50" s="547"/>
      <c r="C50" s="568"/>
      <c r="D50" s="568"/>
      <c r="E50" s="568"/>
      <c r="F50" s="568"/>
      <c r="G50" s="567"/>
      <c r="H50" s="657"/>
      <c r="I50" s="657"/>
    </row>
    <row r="51" spans="1:9" ht="15">
      <c r="A51" s="566"/>
      <c r="B51" s="547"/>
      <c r="C51" s="568"/>
      <c r="D51" s="568"/>
      <c r="E51" s="568"/>
      <c r="F51" s="568"/>
      <c r="G51" s="567"/>
      <c r="H51" s="657"/>
      <c r="I51" s="657"/>
    </row>
    <row r="52" spans="1:9" ht="15">
      <c r="A52" s="566"/>
      <c r="B52" s="547"/>
      <c r="C52" s="568"/>
      <c r="D52" s="568"/>
      <c r="E52" s="568"/>
      <c r="F52" s="568"/>
      <c r="G52" s="567"/>
      <c r="H52" s="657"/>
      <c r="I52" s="657"/>
    </row>
    <row r="53" spans="1:9" ht="15">
      <c r="A53" s="566"/>
      <c r="B53" s="568"/>
      <c r="C53" s="568"/>
      <c r="D53" s="568"/>
      <c r="E53" s="568"/>
      <c r="F53" s="568"/>
      <c r="G53" s="567"/>
      <c r="H53" s="657"/>
      <c r="I53" s="657"/>
    </row>
    <row r="54" spans="1:9" ht="15.75">
      <c r="A54" s="566"/>
      <c r="B54" s="555"/>
      <c r="C54" s="568"/>
      <c r="D54" s="568"/>
      <c r="E54" s="568"/>
      <c r="F54" s="568"/>
      <c r="G54" s="567"/>
      <c r="H54" s="657"/>
      <c r="I54" s="657"/>
    </row>
    <row r="55" spans="1:9">
      <c r="A55" s="566"/>
      <c r="B55" s="2326"/>
      <c r="C55" s="2328"/>
      <c r="D55" s="2328"/>
      <c r="E55" s="569"/>
      <c r="F55" s="569"/>
      <c r="G55" s="567"/>
      <c r="H55" s="657"/>
      <c r="I55" s="657"/>
    </row>
    <row r="56" spans="1:9" ht="45" customHeight="1">
      <c r="A56" s="566"/>
      <c r="B56" s="2327"/>
      <c r="C56" s="570"/>
      <c r="D56" s="570"/>
      <c r="E56" s="570"/>
      <c r="F56" s="570"/>
      <c r="G56" s="567"/>
      <c r="H56" s="657"/>
      <c r="I56" s="657"/>
    </row>
    <row r="57" spans="1:9" ht="15">
      <c r="A57" s="566"/>
      <c r="B57" s="547"/>
      <c r="C57" s="568"/>
      <c r="D57" s="568"/>
      <c r="E57" s="568"/>
      <c r="F57" s="568"/>
      <c r="G57" s="567"/>
      <c r="H57" s="657"/>
      <c r="I57" s="657"/>
    </row>
    <row r="58" spans="1:9" ht="15">
      <c r="A58" s="566"/>
      <c r="B58" s="547"/>
      <c r="C58" s="568"/>
      <c r="D58" s="568"/>
      <c r="E58" s="568"/>
      <c r="F58" s="568"/>
      <c r="G58" s="567"/>
      <c r="H58" s="657"/>
      <c r="I58" s="657"/>
    </row>
    <row r="59" spans="1:9" ht="15">
      <c r="A59" s="566"/>
      <c r="B59" s="547"/>
      <c r="C59" s="568"/>
      <c r="D59" s="568"/>
      <c r="E59" s="568"/>
      <c r="F59" s="568"/>
      <c r="G59" s="567"/>
      <c r="H59" s="657"/>
      <c r="I59" s="657"/>
    </row>
    <row r="60" spans="1:9" ht="15">
      <c r="A60" s="566"/>
      <c r="B60" s="547"/>
      <c r="C60" s="568"/>
      <c r="D60" s="568"/>
      <c r="E60" s="568"/>
      <c r="F60" s="568"/>
      <c r="G60" s="567"/>
      <c r="H60" s="657"/>
      <c r="I60" s="657"/>
    </row>
    <row r="61" spans="1:9" ht="15">
      <c r="A61" s="566"/>
      <c r="B61" s="568"/>
      <c r="C61" s="568"/>
      <c r="D61" s="568"/>
      <c r="E61" s="568"/>
      <c r="F61" s="568"/>
      <c r="G61" s="567"/>
      <c r="H61" s="657"/>
      <c r="I61" s="657"/>
    </row>
    <row r="62" spans="1:9" ht="18">
      <c r="A62" s="566"/>
      <c r="B62" s="571"/>
      <c r="C62" s="572"/>
      <c r="D62" s="573"/>
      <c r="E62" s="573"/>
      <c r="F62" s="573"/>
      <c r="G62" s="567"/>
      <c r="H62" s="657"/>
      <c r="I62" s="657"/>
    </row>
    <row r="63" spans="1:9">
      <c r="A63" s="566"/>
      <c r="B63" s="567"/>
      <c r="C63" s="567"/>
      <c r="D63" s="567"/>
      <c r="E63" s="567"/>
      <c r="F63" s="567"/>
      <c r="G63" s="567"/>
      <c r="H63" s="657"/>
      <c r="I63" s="657"/>
    </row>
  </sheetData>
  <sheetProtection password="AD9B" sheet="1" objects="1" scenarios="1"/>
  <mergeCells count="32">
    <mergeCell ref="B38:J38"/>
    <mergeCell ref="B35:J35"/>
    <mergeCell ref="H18:J19"/>
    <mergeCell ref="C19:D19"/>
    <mergeCell ref="B19:B20"/>
    <mergeCell ref="H27:I27"/>
    <mergeCell ref="H21:J26"/>
    <mergeCell ref="B55:B56"/>
    <mergeCell ref="C55:D55"/>
    <mergeCell ref="E9:F9"/>
    <mergeCell ref="E10:F10"/>
    <mergeCell ref="A44:I44"/>
    <mergeCell ref="A42:I42"/>
    <mergeCell ref="A41:I41"/>
    <mergeCell ref="A40:I40"/>
    <mergeCell ref="B31:J31"/>
    <mergeCell ref="B32:J32"/>
    <mergeCell ref="B47:B48"/>
    <mergeCell ref="C47:D47"/>
    <mergeCell ref="A39:I39"/>
    <mergeCell ref="B33:J33"/>
    <mergeCell ref="B36:J36"/>
    <mergeCell ref="B37:J37"/>
    <mergeCell ref="Y2:AB2"/>
    <mergeCell ref="H10:J11"/>
    <mergeCell ref="B8:F8"/>
    <mergeCell ref="H15:J16"/>
    <mergeCell ref="M14:N14"/>
    <mergeCell ref="C9:D9"/>
    <mergeCell ref="H12:J14"/>
    <mergeCell ref="C10:D10"/>
    <mergeCell ref="B10:B11"/>
  </mergeCells>
  <phoneticPr fontId="7" type="noConversion"/>
  <conditionalFormatting sqref="B8:B24 C9:F24">
    <cfRule type="expression" dxfId="49" priority="1" stopIfTrue="1">
      <formula>$Z$7=TRUE</formula>
    </cfRule>
  </conditionalFormatting>
  <conditionalFormatting sqref="H8:H27 J8:J27 I8:I26">
    <cfRule type="expression" dxfId="48" priority="2" stopIfTrue="1">
      <formula>$Z$5=FALSE</formula>
    </cfRule>
  </conditionalFormatting>
  <pageMargins left="0.59055118110236227" right="0.59055118110236227" top="0.47244094488188981" bottom="0.47244094488188981" header="0.23622047244094491" footer="0.35433070866141736"/>
  <pageSetup paperSize="9" scale="86" orientation="portrait" blackAndWhite="1" r:id="rId1"/>
  <headerFooter alignWithMargins="0">
    <oddHeader>&amp;LGreen Building Council of South Africa&amp;R&amp;T   &amp;D</oddHeader>
    <oddFooter>&amp;L&amp;F&amp;CPage &amp;P of &amp;N&amp;RCategory: Transport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Button 1">
              <controlPr defaultSize="0" print="0" autoFill="0" autoPict="0" macro="[0]!GoToTransport">
                <anchor moveWithCells="1" sizeWithCells="1">
                  <from>
                    <xdr:col>1</xdr:col>
                    <xdr:colOff>695325</xdr:colOff>
                    <xdr:row>27</xdr:row>
                    <xdr:rowOff>85725</xdr:rowOff>
                  </from>
                  <to>
                    <xdr:col>4</xdr:col>
                    <xdr:colOff>0</xdr:colOff>
                    <xdr:row>27</xdr:row>
                    <xdr:rowOff>561975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M22"/>
  <sheetViews>
    <sheetView tabSelected="1"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A44" sqref="A44"/>
    </sheetView>
  </sheetViews>
  <sheetFormatPr defaultColWidth="7.875" defaultRowHeight="12.75"/>
  <cols>
    <col min="1" max="1" width="7.25" style="434" customWidth="1"/>
    <col min="2" max="2" width="15.125" style="434" customWidth="1"/>
    <col min="3" max="3" width="25.625" style="434" customWidth="1"/>
    <col min="4" max="4" width="64.875" style="434" customWidth="1"/>
    <col min="5" max="5" width="20.625" style="434" hidden="1" customWidth="1"/>
    <col min="6" max="8" width="12.625" style="527" customWidth="1"/>
    <col min="9" max="9" width="31" style="434" customWidth="1"/>
    <col min="10" max="10" width="10.875" style="434" customWidth="1"/>
    <col min="11" max="12" width="8.875" style="434" customWidth="1"/>
    <col min="13" max="16384" width="7.875" style="434"/>
  </cols>
  <sheetData>
    <row r="1" spans="1:13" ht="24" customHeight="1" thickBot="1">
      <c r="A1" s="995" t="str">
        <f>Calculation!N31</f>
        <v>Green Star SA - Office Design v1</v>
      </c>
      <c r="D1" s="1010"/>
      <c r="E1" s="1010"/>
      <c r="F1" s="439"/>
      <c r="G1" s="997" t="s">
        <v>483</v>
      </c>
      <c r="H1" s="998">
        <f>'Credit Summary'!J59</f>
        <v>0.14000000000000001</v>
      </c>
      <c r="I1" s="999" t="s">
        <v>484</v>
      </c>
      <c r="J1" s="1000"/>
    </row>
    <row r="2" spans="1:13" s="373" customFormat="1" ht="30" customHeight="1" thickBot="1">
      <c r="A2" s="371" t="s">
        <v>92</v>
      </c>
      <c r="B2" s="372"/>
      <c r="C2" s="372"/>
      <c r="D2" s="996" t="s">
        <v>485</v>
      </c>
      <c r="E2" s="372"/>
      <c r="F2" s="1002">
        <f>F11</f>
        <v>15</v>
      </c>
      <c r="G2" s="1003">
        <f>G11</f>
        <v>0</v>
      </c>
      <c r="H2" s="1002">
        <f>H11</f>
        <v>0</v>
      </c>
      <c r="I2" s="1004">
        <f>'Credit Summary'!K59</f>
        <v>0</v>
      </c>
      <c r="J2" s="1000"/>
    </row>
    <row r="3" spans="1:13" s="373" customFormat="1" ht="19.5" customHeight="1" thickBot="1">
      <c r="A3" s="374" t="s">
        <v>1217</v>
      </c>
      <c r="B3" s="375"/>
      <c r="C3" s="376" t="str">
        <f>IF('Building Input'!$C$5=0,"",'Building Input'!$C$5)</f>
        <v/>
      </c>
      <c r="D3" s="372"/>
      <c r="E3" s="372"/>
      <c r="F3" s="439"/>
      <c r="G3" s="1132" t="str">
        <f>IF(OR((J3=Calculation!$D$97),(J3=Calculation!$D$98),((G2+H2)&gt;F2)),Calculation!$D$99,"")</f>
        <v/>
      </c>
      <c r="H3" s="439"/>
      <c r="I3" s="1001"/>
      <c r="J3" s="1008" t="str">
        <f>T(J5:J10)</f>
        <v/>
      </c>
    </row>
    <row r="4" spans="1:13" ht="33" customHeight="1" thickBot="1">
      <c r="A4" s="528" t="s">
        <v>1219</v>
      </c>
      <c r="B4" s="529" t="s">
        <v>1220</v>
      </c>
      <c r="C4" s="529" t="s">
        <v>1221</v>
      </c>
      <c r="D4" s="529" t="s">
        <v>489</v>
      </c>
      <c r="E4" s="529" t="s">
        <v>64</v>
      </c>
      <c r="F4" s="530" t="s">
        <v>490</v>
      </c>
      <c r="G4" s="530" t="s">
        <v>518</v>
      </c>
      <c r="H4" s="530" t="s">
        <v>519</v>
      </c>
      <c r="I4" s="531" t="s">
        <v>520</v>
      </c>
      <c r="J4" s="384"/>
      <c r="K4" s="384"/>
      <c r="L4" s="384"/>
    </row>
    <row r="5" spans="1:13" ht="110.25" customHeight="1">
      <c r="A5" s="248" t="s">
        <v>1482</v>
      </c>
      <c r="B5" s="251" t="s">
        <v>1333</v>
      </c>
      <c r="C5" s="251" t="s">
        <v>528</v>
      </c>
      <c r="D5" s="251" t="s">
        <v>991</v>
      </c>
      <c r="E5" s="243"/>
      <c r="F5" s="244">
        <v>5</v>
      </c>
      <c r="G5" s="279">
        <f>'Potable Water Calculator'!G165</f>
        <v>0</v>
      </c>
      <c r="H5" s="245"/>
      <c r="I5" s="2032"/>
      <c r="J5" s="1009" t="str">
        <f>IF(OR(ISTEXT(G5)=TRUE,ISTEXT(H5)=TRUE),Calculation!$D$100,IF(G5+H5&gt;F5,Calculation!$D$97,""))</f>
        <v/>
      </c>
      <c r="K5" s="524"/>
      <c r="L5" s="525"/>
      <c r="M5" s="438"/>
    </row>
    <row r="6" spans="1:13" ht="117" customHeight="1">
      <c r="A6" s="249" t="s">
        <v>1483</v>
      </c>
      <c r="B6" s="232" t="s">
        <v>831</v>
      </c>
      <c r="C6" s="232" t="s">
        <v>529</v>
      </c>
      <c r="D6" s="232" t="s">
        <v>1349</v>
      </c>
      <c r="E6" s="231"/>
      <c r="F6" s="242">
        <v>2</v>
      </c>
      <c r="G6" s="228"/>
      <c r="H6" s="228"/>
      <c r="I6" s="2028"/>
      <c r="J6" s="1009" t="str">
        <f>IF(OR(ISTEXT(G6)=TRUE,ISTEXT(H6)=TRUE),Calculation!$D$100,IF(G6+H6&gt;F6,Calculation!$D$97,""))</f>
        <v/>
      </c>
      <c r="K6" s="524"/>
      <c r="L6" s="525"/>
      <c r="M6" s="438"/>
    </row>
    <row r="7" spans="1:13" ht="159" customHeight="1">
      <c r="A7" s="250" t="s">
        <v>1484</v>
      </c>
      <c r="B7" s="233" t="s">
        <v>1334</v>
      </c>
      <c r="C7" s="233" t="s">
        <v>1363</v>
      </c>
      <c r="D7" s="366" t="s">
        <v>332</v>
      </c>
      <c r="E7" s="2186"/>
      <c r="F7" s="369">
        <f>IF(G7="na",0,2)</f>
        <v>2</v>
      </c>
      <c r="G7" s="228"/>
      <c r="H7" s="228"/>
      <c r="I7" s="2170"/>
      <c r="J7" s="1009" t="str">
        <f>IF(ISBLANK(G7),IF(H7&gt;F7,Calculation!$D$97,""),IF(G7="na","",IF(OR(G7="na",ISNUMBER(G7)),IF(G7+H7&gt;F7,Calculation!$D$97,""),Calculation!$D$98)))</f>
        <v/>
      </c>
      <c r="K7" s="524"/>
      <c r="L7" s="525"/>
      <c r="M7" s="438"/>
    </row>
    <row r="8" spans="1:13" ht="105" customHeight="1">
      <c r="A8" s="252"/>
      <c r="B8" s="280"/>
      <c r="C8" s="280"/>
      <c r="D8" s="366" t="s">
        <v>340</v>
      </c>
      <c r="E8" s="2186"/>
      <c r="F8" s="369">
        <f>IF(OR(G8="na",G7="na"),0,1)</f>
        <v>1</v>
      </c>
      <c r="G8" s="228"/>
      <c r="H8" s="228"/>
      <c r="I8" s="2171"/>
      <c r="J8" s="1009" t="str">
        <f>IF(ISBLANK(G8),IF(H8&gt;F8,Calculation!$D$97,""),IF(G8="na","",IF(OR(G8="na",ISNUMBER(G8)),IF(G8+H8&gt;F8,Calculation!$D$97,""),Calculation!$D$98)))</f>
        <v/>
      </c>
      <c r="K8" s="524"/>
      <c r="L8" s="525"/>
      <c r="M8" s="438"/>
    </row>
    <row r="9" spans="1:13" ht="146.25" customHeight="1">
      <c r="A9" s="249" t="s">
        <v>1485</v>
      </c>
      <c r="B9" s="238" t="s">
        <v>1335</v>
      </c>
      <c r="C9" s="238" t="s">
        <v>1201</v>
      </c>
      <c r="D9" s="238" t="s">
        <v>902</v>
      </c>
      <c r="E9" s="231"/>
      <c r="F9" s="242">
        <v>4</v>
      </c>
      <c r="G9" s="228"/>
      <c r="H9" s="228"/>
      <c r="I9" s="2028"/>
      <c r="J9" s="1009" t="str">
        <f>IF(OR(ISTEXT(G9)=TRUE,ISTEXT(H9)=TRUE),Calculation!$D$100,IF(G9+H9&gt;F9,Calculation!$D$97,""))</f>
        <v/>
      </c>
      <c r="K9" s="524"/>
      <c r="L9" s="525"/>
      <c r="M9" s="438"/>
    </row>
    <row r="10" spans="1:13" ht="145.5" customHeight="1" thickBot="1">
      <c r="A10" s="250" t="s">
        <v>1486</v>
      </c>
      <c r="B10" s="239" t="s">
        <v>1030</v>
      </c>
      <c r="C10" s="239" t="s">
        <v>877</v>
      </c>
      <c r="D10" s="239" t="s">
        <v>1357</v>
      </c>
      <c r="E10" s="235"/>
      <c r="F10" s="246">
        <f>IF(G10="na",0,1)</f>
        <v>1</v>
      </c>
      <c r="G10" s="236"/>
      <c r="H10" s="236"/>
      <c r="I10" s="2031"/>
      <c r="J10" s="1009" t="str">
        <f>IF(ISBLANK(G10),IF(H10&gt;F10,Calculation!$D$97,""),IF(G10="na","",IF(OR(G10="na",ISNUMBER(G10)),IF(G10+H10&gt;F10,Calculation!$D$97,""),Calculation!$D$98)))</f>
        <v/>
      </c>
      <c r="K10" s="384"/>
      <c r="L10" s="384"/>
    </row>
    <row r="11" spans="1:13" ht="18.75" thickBot="1">
      <c r="A11" s="532"/>
      <c r="B11" s="533"/>
      <c r="C11" s="533"/>
      <c r="D11" s="388" t="s">
        <v>729</v>
      </c>
      <c r="E11" s="534" t="s">
        <v>729</v>
      </c>
      <c r="F11" s="390">
        <f>SUM(F5:F10)</f>
        <v>15</v>
      </c>
      <c r="G11" s="390">
        <f>SUM(G5:G10)</f>
        <v>0</v>
      </c>
      <c r="H11" s="390">
        <f>SUM(H5:H10)</f>
        <v>0</v>
      </c>
      <c r="I11" s="535"/>
      <c r="J11" s="435"/>
      <c r="K11" s="384"/>
      <c r="L11" s="384"/>
    </row>
    <row r="12" spans="1:13">
      <c r="A12" s="372"/>
      <c r="F12" s="526"/>
      <c r="G12" s="526"/>
      <c r="H12" s="526"/>
      <c r="I12" s="384"/>
    </row>
    <row r="13" spans="1:13">
      <c r="A13" s="372"/>
      <c r="F13" s="526"/>
      <c r="G13" s="526"/>
      <c r="H13" s="526"/>
      <c r="I13" s="384"/>
    </row>
    <row r="14" spans="1:13">
      <c r="A14" s="372"/>
      <c r="F14" s="526"/>
      <c r="G14" s="526"/>
      <c r="H14" s="526"/>
      <c r="I14" s="384"/>
    </row>
    <row r="15" spans="1:13">
      <c r="A15" s="1005" t="str">
        <f>Calculation!$C$86</f>
        <v>Project Teams are to refer to the Green Star SA Office v1 Technical Manual for explicit credit criteria and documentation requirements.</v>
      </c>
      <c r="F15" s="526"/>
      <c r="G15" s="526"/>
      <c r="H15" s="526"/>
      <c r="I15" s="384"/>
    </row>
    <row r="16" spans="1:13">
      <c r="A16" s="1005" t="str">
        <f>Calculation!$C$87</f>
        <v>The Green Star Technical Clarifications (TC) and Credit Interpretation Request (CIR) rulings provide an essential source of information to all</v>
      </c>
      <c r="F16" s="526"/>
      <c r="G16" s="526"/>
      <c r="H16" s="526"/>
      <c r="I16" s="384"/>
    </row>
    <row r="17" spans="1:9">
      <c r="A17" s="1005" t="str">
        <f>Calculation!$C$88</f>
        <v>projects undertaking Green Star assessment. They are available on the GBCSA website http://www.gbcsa.org.za . Technical Clarifications</v>
      </c>
      <c r="F17" s="526"/>
      <c r="G17" s="526"/>
      <c r="H17" s="526"/>
      <c r="I17" s="384"/>
    </row>
    <row r="18" spans="1:9">
      <c r="A18" s="1005" t="str">
        <f>Calculation!$C$89</f>
        <v xml:space="preserve">often represent the GBCSA answers to technical queries and complement Green Star SA Technical Manuals. They do not amend but clarify </v>
      </c>
    </row>
    <row r="19" spans="1:9">
      <c r="A19" s="1005" t="str">
        <f>Calculation!$C$90</f>
        <v xml:space="preserve">Credit Criteria or Compliance Requirements. They are an extension of the Technical Manual; it is the responsibility of the project teams to stay </v>
      </c>
    </row>
    <row r="20" spans="1:9">
      <c r="A20" s="1005" t="str">
        <f>Calculation!$C$91</f>
        <v xml:space="preserve">up-to-date with this section of the GBCSA website. The CIR rulings offer alternative compliance options whenever those have been deemed </v>
      </c>
    </row>
    <row r="21" spans="1:9">
      <c r="A21" s="1005" t="str">
        <f>Calculation!$C$92</f>
        <v>equivalent in meeting the Aim of Credit.</v>
      </c>
    </row>
    <row r="22" spans="1:9">
      <c r="A22" s="1005"/>
    </row>
  </sheetData>
  <sheetProtection password="AD9B" sheet="1" objects="1" scenarios="1"/>
  <mergeCells count="2">
    <mergeCell ref="E7:E8"/>
    <mergeCell ref="I7:I8"/>
  </mergeCells>
  <phoneticPr fontId="0"/>
  <printOptions horizontalCentered="1"/>
  <pageMargins left="0.59055118110236227" right="0.59055118110236227" top="0.47244094488188981" bottom="0.47244094488188981" header="0.23622047244094491" footer="0.35433070866141736"/>
  <pageSetup paperSize="9" scale="65" fitToHeight="2" orientation="landscape" blackAndWhite="1" r:id="rId1"/>
  <headerFooter alignWithMargins="0">
    <oddHeader>&amp;LGreen Building Council of South Africa&amp;R&amp;T   &amp;D</oddHeader>
    <oddFooter>&amp;L&amp;F&amp;CPage &amp;P of &amp;N&amp;RCategory: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057" r:id="rId4" name="Button 1">
              <controlPr defaultSize="0" print="0" autoFill="0" autoPict="0" macro="[0]!GoToCreditSummary">
                <anchor moveWithCells="1" sizeWithCells="1">
                  <from>
                    <xdr:col>5</xdr:col>
                    <xdr:colOff>876300</xdr:colOff>
                    <xdr:row>11</xdr:row>
                    <xdr:rowOff>104775</xdr:rowOff>
                  </from>
                  <to>
                    <xdr:col>8</xdr:col>
                    <xdr:colOff>0</xdr:colOff>
                    <xdr:row>13</xdr:row>
                    <xdr:rowOff>57150</xdr:rowOff>
                  </to>
                </anchor>
              </controlPr>
            </control>
          </mc:Choice>
        </mc:AlternateContent>
        <mc:AlternateContent xmlns:mc="http://schemas.openxmlformats.org/markup-compatibility/2006">
          <mc:Choice Requires="x14">
            <control shapeId="45058" r:id="rId5" name="Button 2">
              <controlPr defaultSize="0" print="0" autoFill="0" autoPict="0" macro="[0]!GoToWaterCalc">
                <anchor moveWithCells="1" sizeWithCells="1">
                  <from>
                    <xdr:col>3</xdr:col>
                    <xdr:colOff>257175</xdr:colOff>
                    <xdr:row>4</xdr:row>
                    <xdr:rowOff>885825</xdr:rowOff>
                  </from>
                  <to>
                    <xdr:col>3</xdr:col>
                    <xdr:colOff>3248025</xdr:colOff>
                    <xdr:row>4</xdr:row>
                    <xdr:rowOff>1295400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BB6589"/>
  <sheetViews>
    <sheetView zoomScale="70" zoomScaleNormal="70" zoomScaleSheetLayoutView="85" workbookViewId="0">
      <selection activeCell="C27" sqref="C27"/>
    </sheetView>
  </sheetViews>
  <sheetFormatPr defaultColWidth="8" defaultRowHeight="12.75"/>
  <cols>
    <col min="1" max="1" width="3.25" style="666" customWidth="1"/>
    <col min="2" max="2" width="23.5" style="666" customWidth="1"/>
    <col min="3" max="3" width="13.75" style="666" customWidth="1"/>
    <col min="4" max="4" width="14.5" style="666" customWidth="1"/>
    <col min="5" max="5" width="10" style="687" customWidth="1"/>
    <col min="6" max="6" width="13.25" style="687" customWidth="1"/>
    <col min="7" max="7" width="7.875" style="687" customWidth="1"/>
    <col min="8" max="8" width="10.375" style="687" customWidth="1"/>
    <col min="9" max="9" width="9.625" style="687" customWidth="1"/>
    <col min="10" max="11" width="5" style="688" customWidth="1"/>
    <col min="12" max="12" width="15.125" style="1197" hidden="1" customWidth="1"/>
    <col min="13" max="13" width="18.125" style="1197" hidden="1" customWidth="1"/>
    <col min="14" max="14" width="18.5" style="1197" hidden="1" customWidth="1"/>
    <col min="15" max="15" width="24.5" style="1179" hidden="1" customWidth="1"/>
    <col min="16" max="16" width="23.625" style="1181" hidden="1" customWidth="1"/>
    <col min="17" max="17" width="15.625" style="1181" hidden="1" customWidth="1"/>
    <col min="18" max="18" width="12.625" style="1181" hidden="1" customWidth="1"/>
    <col min="19" max="19" width="20" style="1181" hidden="1" customWidth="1"/>
    <col min="20" max="20" width="12.25" style="1181" hidden="1" customWidth="1"/>
    <col min="21" max="21" width="11.625" style="1181" hidden="1" customWidth="1"/>
    <col min="22" max="22" width="12.75" style="1181" hidden="1" customWidth="1"/>
    <col min="23" max="23" width="14.625" style="1181" hidden="1" customWidth="1"/>
    <col min="24" max="24" width="14.75" style="1181" hidden="1" customWidth="1"/>
    <col min="25" max="25" width="14.5" style="1181" hidden="1" customWidth="1"/>
    <col min="26" max="26" width="8" style="1181" hidden="1" customWidth="1"/>
    <col min="27" max="27" width="17.5" style="1181" hidden="1" customWidth="1"/>
    <col min="28" max="28" width="10.25" style="1181" hidden="1" customWidth="1"/>
    <col min="29" max="29" width="8" style="1181" hidden="1" customWidth="1"/>
    <col min="30" max="30" width="9.375" style="1181" hidden="1" customWidth="1"/>
    <col min="31" max="31" width="9.875" style="1181" hidden="1" customWidth="1"/>
    <col min="32" max="32" width="9.5" style="1181" hidden="1" customWidth="1"/>
    <col min="33" max="33" width="10.125" style="1181" hidden="1" customWidth="1"/>
    <col min="34" max="34" width="8" style="666" hidden="1" customWidth="1"/>
    <col min="35" max="35" width="26" style="666" hidden="1" customWidth="1"/>
    <col min="36" max="36" width="12.375" style="666" hidden="1" customWidth="1"/>
    <col min="37" max="42" width="8" style="666" hidden="1" customWidth="1"/>
    <col min="43" max="48" width="9" style="666" hidden="1" customWidth="1"/>
    <col min="49" max="49" width="4" style="666" hidden="1" customWidth="1"/>
    <col min="50" max="50" width="16.5" style="666" hidden="1" customWidth="1"/>
    <col min="51" max="51" width="14.75" style="666" hidden="1" customWidth="1"/>
    <col min="52" max="53" width="9" style="666" hidden="1" customWidth="1"/>
    <col min="54" max="95" width="9" style="666" customWidth="1"/>
    <col min="96" max="16384" width="8" style="666"/>
  </cols>
  <sheetData>
    <row r="1" spans="1:53" s="658" customFormat="1" ht="27" customHeight="1" thickBot="1">
      <c r="B1" s="540" t="str">
        <f>Calculation!N31</f>
        <v>Green Star SA - Office Design v1</v>
      </c>
      <c r="C1" s="659"/>
      <c r="D1" s="659"/>
      <c r="E1" s="659"/>
      <c r="F1" s="660"/>
      <c r="G1" s="660"/>
      <c r="H1" s="660"/>
      <c r="I1" s="660"/>
      <c r="J1" s="660"/>
      <c r="K1" s="660"/>
      <c r="L1" s="1171"/>
      <c r="M1" s="1171"/>
      <c r="N1" s="1171"/>
      <c r="O1" s="1172"/>
      <c r="P1" s="1173"/>
      <c r="Q1" s="1173"/>
      <c r="R1" s="1173"/>
      <c r="S1" s="1173"/>
      <c r="T1" s="1173"/>
      <c r="U1" s="1173"/>
      <c r="V1" s="1173"/>
      <c r="W1" s="1173"/>
      <c r="X1" s="1173"/>
      <c r="Y1" s="1173"/>
      <c r="Z1" s="1294"/>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row>
    <row r="2" spans="1:53" s="661" customFormat="1" ht="27" customHeight="1" thickBot="1">
      <c r="B2" s="544" t="s">
        <v>374</v>
      </c>
      <c r="C2" s="462"/>
      <c r="D2" s="462"/>
      <c r="E2" s="1150" t="s">
        <v>373</v>
      </c>
      <c r="F2" s="1151"/>
      <c r="G2" s="1152"/>
      <c r="H2" s="1153">
        <f>G165</f>
        <v>0</v>
      </c>
      <c r="I2" s="662"/>
      <c r="J2" s="662"/>
      <c r="K2" s="662"/>
      <c r="L2" s="1174" t="s">
        <v>1630</v>
      </c>
      <c r="M2" s="1175" t="s">
        <v>1631</v>
      </c>
      <c r="N2" s="1174" t="s">
        <v>1632</v>
      </c>
      <c r="O2" s="1176" t="s">
        <v>1633</v>
      </c>
      <c r="P2" s="1177"/>
      <c r="Q2" s="1177"/>
      <c r="R2" s="1177"/>
      <c r="S2" s="1177"/>
      <c r="T2" s="1177"/>
      <c r="U2" s="1177"/>
      <c r="V2" s="1177"/>
      <c r="W2" s="1177"/>
      <c r="X2" s="1177"/>
      <c r="Y2" s="1177"/>
      <c r="Z2" s="1185"/>
      <c r="AA2" s="1185"/>
      <c r="AB2" s="1185"/>
      <c r="AC2" s="1185"/>
      <c r="AD2" s="1185"/>
      <c r="AE2" s="1185"/>
      <c r="AF2" s="1185"/>
      <c r="AG2" s="1185"/>
      <c r="AH2" s="1185"/>
      <c r="AI2" s="1185"/>
      <c r="AJ2" s="1185"/>
      <c r="AK2" s="1185"/>
      <c r="AL2" s="1185"/>
      <c r="AM2" s="1185"/>
      <c r="AN2" s="1185"/>
      <c r="AO2" s="1185"/>
      <c r="AP2" s="1185"/>
      <c r="AQ2" s="1364"/>
      <c r="AR2" s="1185"/>
      <c r="AS2" s="1185"/>
      <c r="AT2" s="1185"/>
      <c r="AU2" s="1185"/>
      <c r="AV2" s="1185"/>
      <c r="AW2" s="1185"/>
      <c r="AX2" s="1185"/>
      <c r="AY2" s="1185"/>
      <c r="AZ2" s="1185"/>
      <c r="BA2" s="1185"/>
    </row>
    <row r="3" spans="1:53" s="667" customFormat="1" ht="6" customHeight="1" thickBot="1">
      <c r="A3" s="663"/>
      <c r="B3" s="663"/>
      <c r="C3" s="664"/>
      <c r="D3" s="664"/>
      <c r="E3" s="665"/>
      <c r="F3" s="665"/>
      <c r="G3" s="665"/>
      <c r="H3" s="665"/>
      <c r="I3" s="702"/>
      <c r="J3" s="702"/>
      <c r="K3" s="702"/>
      <c r="L3" s="1178"/>
      <c r="M3" s="1179"/>
      <c r="N3" s="1178"/>
      <c r="O3" s="1180"/>
      <c r="P3" s="1181"/>
      <c r="Q3" s="1181"/>
      <c r="R3" s="1181"/>
      <c r="S3" s="1181"/>
      <c r="T3" s="1181"/>
      <c r="U3" s="1181"/>
      <c r="V3" s="1182"/>
      <c r="W3" s="1182"/>
      <c r="X3" s="1182"/>
      <c r="Y3" s="1182"/>
      <c r="Z3" s="1182"/>
      <c r="AA3" s="1182"/>
      <c r="AB3" s="1182"/>
      <c r="AC3" s="1182"/>
      <c r="AD3" s="1182"/>
      <c r="AE3" s="1182"/>
      <c r="AF3" s="1182"/>
      <c r="AG3" s="1182"/>
      <c r="AH3" s="1182"/>
      <c r="AI3" s="1182"/>
      <c r="AJ3" s="1182"/>
      <c r="AK3" s="1182"/>
      <c r="AL3" s="1182"/>
      <c r="AM3" s="1182"/>
      <c r="AN3" s="1182"/>
      <c r="AO3" s="1182"/>
      <c r="AP3" s="1182"/>
      <c r="AQ3" s="1182"/>
      <c r="AR3" s="1182"/>
      <c r="AS3" s="1182"/>
      <c r="AT3" s="1182"/>
      <c r="AU3" s="1182"/>
      <c r="AV3" s="1182"/>
      <c r="AW3" s="1182"/>
      <c r="AX3" s="1182"/>
      <c r="AY3" s="1182"/>
      <c r="AZ3" s="1182"/>
      <c r="BA3" s="1182"/>
    </row>
    <row r="4" spans="1:53" ht="16.5" customHeight="1" thickBot="1">
      <c r="A4" s="668"/>
      <c r="B4" s="2544"/>
      <c r="C4" s="2544"/>
      <c r="D4" s="671"/>
      <c r="E4" s="2545" t="s">
        <v>190</v>
      </c>
      <c r="F4" s="2546"/>
      <c r="G4" s="2547"/>
      <c r="H4" s="1154">
        <f>'Building Input'!$C$32</f>
        <v>0</v>
      </c>
      <c r="I4" s="703"/>
      <c r="J4" s="703"/>
      <c r="K4" s="703"/>
      <c r="L4" s="1179">
        <v>1</v>
      </c>
      <c r="M4" s="1296" t="s">
        <v>229</v>
      </c>
      <c r="N4" s="1295">
        <f>VLOOKUP($L4,$X13:$Z16,3)</f>
        <v>1</v>
      </c>
      <c r="O4" s="1296" t="s">
        <v>230</v>
      </c>
      <c r="AH4" s="1181"/>
      <c r="AI4" s="1181"/>
      <c r="AJ4" s="1181"/>
      <c r="AK4" s="1181"/>
      <c r="AL4" s="1181"/>
      <c r="AM4" s="1181"/>
      <c r="AN4" s="1181"/>
      <c r="AO4" s="1181"/>
      <c r="AP4" s="1181"/>
      <c r="AQ4" s="1181"/>
      <c r="AR4" s="1181"/>
      <c r="AS4" s="1181"/>
      <c r="AT4" s="1181"/>
      <c r="AU4" s="1181"/>
      <c r="AV4" s="1181"/>
      <c r="AW4" s="1181"/>
      <c r="AX4" s="1181"/>
      <c r="AY4" s="1181"/>
      <c r="AZ4" s="1181"/>
      <c r="BA4" s="1181"/>
    </row>
    <row r="5" spans="1:53" ht="16.5" customHeight="1" thickBot="1">
      <c r="A5" s="668"/>
      <c r="B5" s="1799" t="s">
        <v>931</v>
      </c>
      <c r="C5" s="670"/>
      <c r="D5" s="670"/>
      <c r="E5" s="2539" t="s">
        <v>191</v>
      </c>
      <c r="F5" s="2540"/>
      <c r="G5" s="2540"/>
      <c r="H5" s="1155">
        <f>ROUNDUP(H4/15,0)</f>
        <v>0</v>
      </c>
      <c r="I5" s="704"/>
      <c r="J5" s="703"/>
      <c r="K5" s="703"/>
      <c r="L5" s="1179"/>
      <c r="M5" s="1179"/>
      <c r="N5" s="1296">
        <f>ROUNDUP(H4/15,0)</f>
        <v>0</v>
      </c>
      <c r="O5" s="1330" t="s">
        <v>1092</v>
      </c>
      <c r="AH5" s="1181"/>
      <c r="AI5" s="1181"/>
      <c r="AJ5" s="1181"/>
      <c r="AK5" s="1181"/>
      <c r="AL5" s="1181"/>
      <c r="AM5" s="1181"/>
      <c r="AN5" s="1181"/>
      <c r="AO5" s="1181"/>
      <c r="AP5" s="1181"/>
      <c r="AQ5" s="1200"/>
      <c r="AR5" s="1181"/>
      <c r="AS5" s="1181"/>
      <c r="AT5" s="1181"/>
      <c r="AU5" s="1181"/>
      <c r="AV5" s="1181"/>
      <c r="AW5" s="1181"/>
      <c r="AX5" s="1181"/>
      <c r="AY5" s="1181"/>
      <c r="AZ5" s="1181"/>
      <c r="BA5" s="1181"/>
    </row>
    <row r="6" spans="1:53" s="1490" customFormat="1" ht="16.5" customHeight="1">
      <c r="A6" s="1800"/>
      <c r="B6" s="1801" t="s">
        <v>934</v>
      </c>
      <c r="C6" s="1802"/>
      <c r="D6" s="1802"/>
      <c r="E6" s="1144"/>
      <c r="F6" s="1144"/>
      <c r="G6" s="1144"/>
      <c r="H6" s="1803"/>
      <c r="I6" s="1804"/>
      <c r="J6" s="1805"/>
      <c r="K6" s="1805"/>
      <c r="L6" s="1183"/>
      <c r="M6" s="1183"/>
      <c r="N6" s="1183"/>
      <c r="O6" s="1183"/>
      <c r="P6" s="1201"/>
      <c r="Q6" s="1201"/>
      <c r="R6" s="1201"/>
      <c r="S6" s="1201"/>
      <c r="T6" s="1201"/>
      <c r="U6" s="1201"/>
      <c r="V6" s="1201"/>
      <c r="W6" s="1201"/>
      <c r="X6" s="1201"/>
      <c r="Y6" s="1201"/>
      <c r="Z6" s="1201"/>
      <c r="AA6" s="1201"/>
      <c r="AB6" s="1201"/>
      <c r="AC6" s="1201"/>
      <c r="AD6" s="1201"/>
      <c r="AE6" s="1201"/>
      <c r="AF6" s="1201"/>
      <c r="AG6" s="1201"/>
      <c r="AH6" s="1201"/>
      <c r="AI6" s="1201"/>
      <c r="AJ6" s="1201"/>
      <c r="AK6" s="1201"/>
      <c r="AL6" s="1201"/>
      <c r="AM6" s="1201"/>
      <c r="AN6" s="1201"/>
      <c r="AO6" s="1201"/>
      <c r="AP6" s="1201"/>
      <c r="AQ6" s="1247"/>
      <c r="AR6" s="1201"/>
      <c r="AS6" s="1201"/>
      <c r="AT6" s="1201"/>
      <c r="AU6" s="1201"/>
      <c r="AV6" s="1201"/>
      <c r="AW6" s="1201"/>
      <c r="AX6" s="1201"/>
      <c r="AY6" s="1201"/>
      <c r="AZ6" s="1201"/>
      <c r="BA6" s="1201"/>
    </row>
    <row r="7" spans="1:53" s="1490" customFormat="1" ht="16.5" customHeight="1">
      <c r="A7" s="1800"/>
      <c r="B7" s="1801" t="s">
        <v>932</v>
      </c>
      <c r="C7" s="1802"/>
      <c r="D7" s="1802"/>
      <c r="E7" s="1144"/>
      <c r="F7" s="1144"/>
      <c r="G7" s="1144"/>
      <c r="H7" s="1803"/>
      <c r="I7" s="1804"/>
      <c r="J7" s="1805"/>
      <c r="K7" s="1805"/>
      <c r="L7" s="1183"/>
      <c r="M7" s="1183"/>
      <c r="N7" s="1183"/>
      <c r="O7" s="1183"/>
      <c r="P7" s="1201"/>
      <c r="Q7" s="1201"/>
      <c r="R7" s="1201"/>
      <c r="S7" s="1201"/>
      <c r="T7" s="1201"/>
      <c r="U7" s="1201"/>
      <c r="V7" s="1201"/>
      <c r="W7" s="1201"/>
      <c r="X7" s="1201"/>
      <c r="Y7" s="1201"/>
      <c r="Z7" s="1201"/>
      <c r="AA7" s="1201"/>
      <c r="AB7" s="1201"/>
      <c r="AC7" s="1201"/>
      <c r="AD7" s="1201"/>
      <c r="AE7" s="1201"/>
      <c r="AF7" s="1201"/>
      <c r="AG7" s="1201"/>
      <c r="AH7" s="1201"/>
      <c r="AI7" s="1201"/>
      <c r="AJ7" s="1201"/>
      <c r="AK7" s="1201"/>
      <c r="AL7" s="1201"/>
      <c r="AM7" s="1201"/>
      <c r="AN7" s="1201"/>
      <c r="AO7" s="1201"/>
      <c r="AP7" s="1201"/>
      <c r="AQ7" s="1247"/>
      <c r="AR7" s="1201"/>
      <c r="AS7" s="1201"/>
      <c r="AT7" s="1201"/>
      <c r="AU7" s="1201"/>
      <c r="AV7" s="1201"/>
      <c r="AW7" s="1201"/>
      <c r="AX7" s="1201"/>
      <c r="AY7" s="1201"/>
      <c r="AZ7" s="1201"/>
      <c r="BA7" s="1201"/>
    </row>
    <row r="8" spans="1:53" ht="19.5" customHeight="1">
      <c r="A8" s="668"/>
      <c r="B8" s="2550" t="s">
        <v>933</v>
      </c>
      <c r="C8" s="2550"/>
      <c r="D8" s="2550"/>
      <c r="E8" s="2550"/>
      <c r="F8" s="2550"/>
      <c r="G8" s="2550"/>
      <c r="H8" s="2550"/>
      <c r="I8" s="704"/>
      <c r="J8" s="703"/>
      <c r="K8" s="703"/>
      <c r="L8" s="1179"/>
      <c r="M8" s="1179"/>
      <c r="N8" s="1179"/>
      <c r="O8" s="1183"/>
      <c r="AH8" s="1181"/>
      <c r="AI8" s="1181"/>
      <c r="AJ8" s="1181"/>
      <c r="AK8" s="1181"/>
      <c r="AL8" s="1181"/>
      <c r="AM8" s="1181"/>
      <c r="AN8" s="1181"/>
      <c r="AO8" s="1181"/>
      <c r="AP8" s="1181"/>
      <c r="AQ8" s="1200"/>
      <c r="AR8" s="1181"/>
      <c r="AS8" s="1181"/>
      <c r="AT8" s="1181"/>
      <c r="AU8" s="1181"/>
      <c r="AV8" s="1181"/>
      <c r="AW8" s="1181"/>
      <c r="AX8" s="1181"/>
      <c r="AY8" s="1181"/>
      <c r="AZ8" s="1181"/>
      <c r="BA8" s="1181"/>
    </row>
    <row r="9" spans="1:53" ht="16.5" customHeight="1">
      <c r="A9" s="668"/>
      <c r="B9" s="1801"/>
      <c r="C9" s="670"/>
      <c r="D9" s="670"/>
      <c r="E9" s="1144"/>
      <c r="F9" s="1144"/>
      <c r="G9" s="1144"/>
      <c r="H9" s="1145"/>
      <c r="I9" s="704"/>
      <c r="J9" s="703"/>
      <c r="K9" s="703"/>
      <c r="L9" s="1179"/>
      <c r="M9" s="1179"/>
      <c r="N9" s="1179"/>
      <c r="O9" s="1183"/>
      <c r="AH9" s="1181"/>
      <c r="AI9" s="1181"/>
      <c r="AJ9" s="1181"/>
      <c r="AK9" s="1181"/>
      <c r="AL9" s="1181"/>
      <c r="AM9" s="1181"/>
      <c r="AN9" s="1181"/>
      <c r="AO9" s="1181"/>
      <c r="AP9" s="1181"/>
      <c r="AQ9" s="1200"/>
      <c r="AR9" s="1181"/>
      <c r="AS9" s="1181"/>
      <c r="AT9" s="1181"/>
      <c r="AU9" s="1181"/>
      <c r="AV9" s="1181"/>
      <c r="AW9" s="1181"/>
      <c r="AX9" s="1181"/>
      <c r="AY9" s="1181"/>
      <c r="AZ9" s="1181"/>
      <c r="BA9" s="1181"/>
    </row>
    <row r="10" spans="1:53" s="661" customFormat="1" ht="27.75" customHeight="1" thickBot="1">
      <c r="A10" s="674"/>
      <c r="B10" s="2461" t="s">
        <v>1093</v>
      </c>
      <c r="C10" s="2461"/>
      <c r="D10" s="2461"/>
      <c r="E10" s="2461"/>
      <c r="F10" s="2461"/>
      <c r="G10" s="2461"/>
      <c r="H10" s="2461"/>
      <c r="I10" s="705"/>
      <c r="J10" s="705"/>
      <c r="K10" s="705"/>
      <c r="L10" s="1184"/>
      <c r="M10" s="1184"/>
      <c r="N10" s="1184"/>
      <c r="O10" s="1184"/>
      <c r="P10" s="1185"/>
      <c r="Q10" s="1185"/>
      <c r="R10" s="1185"/>
      <c r="S10" s="1185"/>
      <c r="T10" s="1185"/>
      <c r="U10" s="1185"/>
      <c r="V10" s="1185"/>
      <c r="W10" s="1185"/>
      <c r="X10" s="1185"/>
      <c r="Y10" s="1185"/>
      <c r="Z10" s="1185"/>
      <c r="AA10" s="1185"/>
      <c r="AB10" s="1185"/>
      <c r="AC10" s="1185"/>
      <c r="AD10" s="1185"/>
      <c r="AE10" s="1185"/>
      <c r="AF10" s="1185"/>
      <c r="AG10" s="1185"/>
      <c r="AH10" s="1185"/>
      <c r="AI10" s="1185"/>
      <c r="AJ10" s="1185"/>
      <c r="AK10" s="1185"/>
      <c r="AL10" s="1185"/>
      <c r="AM10" s="1185"/>
      <c r="AN10" s="1185"/>
      <c r="AO10" s="1185"/>
      <c r="AP10" s="1185"/>
      <c r="AQ10" s="1185"/>
      <c r="AR10" s="1185"/>
      <c r="AS10" s="1185"/>
      <c r="AT10" s="1185"/>
      <c r="AU10" s="1185"/>
      <c r="AV10" s="1185"/>
      <c r="AW10" s="1185"/>
      <c r="AX10" s="1185"/>
      <c r="AY10" s="1185"/>
      <c r="AZ10" s="1185"/>
      <c r="BA10" s="1185"/>
    </row>
    <row r="11" spans="1:53" s="661" customFormat="1" ht="15.75" customHeight="1" thickBot="1">
      <c r="A11" s="674"/>
      <c r="B11" s="2541" t="s">
        <v>147</v>
      </c>
      <c r="C11" s="2542"/>
      <c r="D11" s="2542"/>
      <c r="E11" s="2542"/>
      <c r="F11" s="2542"/>
      <c r="G11" s="2542"/>
      <c r="H11" s="2543"/>
      <c r="I11" s="705"/>
      <c r="J11" s="705"/>
      <c r="K11" s="705"/>
      <c r="L11" s="1184"/>
      <c r="M11" s="1184"/>
      <c r="N11" s="1184"/>
      <c r="O11" s="1184"/>
      <c r="P11" s="1185"/>
      <c r="Q11" s="1185"/>
      <c r="R11" s="1185"/>
      <c r="S11" s="1185"/>
      <c r="T11" s="1185"/>
      <c r="U11" s="1185"/>
      <c r="V11" s="1185"/>
      <c r="W11" s="1185"/>
      <c r="X11" s="1185"/>
      <c r="Y11" s="1185"/>
      <c r="Z11" s="1185"/>
      <c r="AA11" s="1185"/>
      <c r="AB11" s="1185"/>
      <c r="AC11" s="1185"/>
      <c r="AD11" s="1185"/>
      <c r="AE11" s="1185"/>
      <c r="AF11" s="1185"/>
      <c r="AG11" s="1185"/>
      <c r="AH11" s="1185"/>
      <c r="AI11" s="1185"/>
      <c r="AJ11" s="1185"/>
      <c r="AK11" s="1185"/>
      <c r="AL11" s="1185"/>
      <c r="AM11" s="1185"/>
      <c r="AN11" s="1185"/>
      <c r="AO11" s="1185"/>
      <c r="AP11" s="1185"/>
      <c r="AQ11" s="1185"/>
      <c r="AR11" s="1185"/>
      <c r="AS11" s="1185"/>
      <c r="AT11" s="1185"/>
      <c r="AU11" s="1185"/>
      <c r="AV11" s="1185"/>
      <c r="AW11" s="1185"/>
      <c r="AX11" s="1185"/>
      <c r="AY11" s="1185"/>
      <c r="AZ11" s="1185"/>
      <c r="BA11" s="1185"/>
    </row>
    <row r="12" spans="1:53" ht="17.100000000000001" customHeight="1" thickBot="1">
      <c r="A12" s="674"/>
      <c r="B12" s="2548" t="s">
        <v>1293</v>
      </c>
      <c r="C12" s="2549"/>
      <c r="D12" s="2272"/>
      <c r="E12" s="2348" t="s">
        <v>1094</v>
      </c>
      <c r="F12" s="2522"/>
      <c r="G12" s="2480" t="s">
        <v>295</v>
      </c>
      <c r="H12" s="2481"/>
      <c r="I12" s="706"/>
      <c r="J12" s="706"/>
      <c r="K12" s="706"/>
      <c r="L12" s="1323" t="s">
        <v>1562</v>
      </c>
      <c r="M12" s="1324" t="s">
        <v>1563</v>
      </c>
      <c r="N12" s="1325" t="s">
        <v>1287</v>
      </c>
      <c r="Q12" s="2338" t="s">
        <v>116</v>
      </c>
      <c r="R12" s="2339"/>
      <c r="S12" s="2339"/>
      <c r="T12" s="2339"/>
      <c r="U12" s="2339"/>
      <c r="V12" s="2340"/>
      <c r="X12" s="2338" t="s">
        <v>117</v>
      </c>
      <c r="Y12" s="2339"/>
      <c r="Z12" s="2340"/>
      <c r="AH12" s="1181"/>
      <c r="AI12" s="1181"/>
      <c r="AJ12" s="1181"/>
      <c r="AK12" s="1181"/>
      <c r="AL12" s="1181"/>
      <c r="AM12" s="1181"/>
      <c r="AN12" s="1181"/>
      <c r="AO12" s="1181"/>
      <c r="AP12" s="1181"/>
      <c r="AQ12" s="1181"/>
      <c r="AR12" s="1181"/>
      <c r="AS12" s="1181"/>
      <c r="AT12" s="1181"/>
      <c r="AU12" s="1181"/>
      <c r="AV12" s="1181"/>
      <c r="AW12" s="1181"/>
      <c r="AX12" s="1181"/>
      <c r="AY12" s="1181"/>
      <c r="AZ12" s="1181"/>
      <c r="BA12" s="1181"/>
    </row>
    <row r="13" spans="1:53" s="661" customFormat="1" ht="17.25" customHeight="1" thickBot="1">
      <c r="A13" s="674"/>
      <c r="B13" s="2364" t="s">
        <v>148</v>
      </c>
      <c r="C13" s="2365"/>
      <c r="D13" s="2366"/>
      <c r="E13" s="2362"/>
      <c r="F13" s="2363"/>
      <c r="G13" s="2519"/>
      <c r="H13" s="2350"/>
      <c r="I13" s="707"/>
      <c r="J13" s="707"/>
      <c r="K13" s="707"/>
      <c r="L13" s="1332">
        <f>E13</f>
        <v>0</v>
      </c>
      <c r="M13" s="1333">
        <f>IF($I$30="No Urinals",($N$5*$R$18*G13),($N$5*0.5*($R$15+$R$16)*G13))</f>
        <v>0</v>
      </c>
      <c r="N13" s="1334">
        <f>L13*M13</f>
        <v>0</v>
      </c>
      <c r="O13" s="1184" t="s">
        <v>296</v>
      </c>
      <c r="P13" s="1185"/>
      <c r="Q13" s="1362" t="s">
        <v>110</v>
      </c>
      <c r="R13" s="1363" t="s">
        <v>111</v>
      </c>
      <c r="S13" s="1359" t="s">
        <v>112</v>
      </c>
      <c r="T13" s="1199"/>
      <c r="U13" s="1364"/>
      <c r="V13" s="1365"/>
      <c r="W13" s="1185"/>
      <c r="X13" s="1375">
        <v>1</v>
      </c>
      <c r="Y13" s="1376" t="s">
        <v>817</v>
      </c>
      <c r="Z13" s="1391">
        <v>1</v>
      </c>
      <c r="AA13" s="1185"/>
      <c r="AB13" s="1185"/>
      <c r="AC13" s="1185"/>
      <c r="AD13" s="1185"/>
      <c r="AE13" s="1185"/>
      <c r="AF13" s="1185"/>
      <c r="AG13" s="1185"/>
      <c r="AH13" s="1185"/>
      <c r="AI13" s="1185"/>
      <c r="AJ13" s="1185"/>
      <c r="AK13" s="1185"/>
      <c r="AL13" s="1185"/>
      <c r="AM13" s="1185"/>
      <c r="AN13" s="1185"/>
      <c r="AO13" s="1185"/>
      <c r="AP13" s="1185"/>
      <c r="AQ13" s="1185"/>
      <c r="AR13" s="1185"/>
      <c r="AS13" s="1185"/>
      <c r="AT13" s="1185"/>
      <c r="AU13" s="1185"/>
      <c r="AV13" s="1185"/>
      <c r="AW13" s="1185"/>
      <c r="AX13" s="1185"/>
      <c r="AY13" s="1185"/>
      <c r="AZ13" s="1185"/>
      <c r="BA13" s="1185"/>
    </row>
    <row r="14" spans="1:53" s="661" customFormat="1" ht="17.25" customHeight="1" thickBot="1">
      <c r="A14" s="674"/>
      <c r="B14" s="2364" t="s">
        <v>148</v>
      </c>
      <c r="C14" s="2365"/>
      <c r="D14" s="2366"/>
      <c r="E14" s="2362"/>
      <c r="F14" s="2363"/>
      <c r="G14" s="2349"/>
      <c r="H14" s="2350"/>
      <c r="I14" s="707"/>
      <c r="J14" s="707"/>
      <c r="K14" s="707"/>
      <c r="L14" s="1332">
        <f>E14</f>
        <v>0</v>
      </c>
      <c r="M14" s="1333">
        <f>IF($I$30="No Urinals",($N$5*$R$18*G14),($N$5*0.5*($R$15+$R$16)*G14))</f>
        <v>0</v>
      </c>
      <c r="N14" s="1334">
        <f>L14*M14</f>
        <v>0</v>
      </c>
      <c r="O14" s="1184" t="s">
        <v>296</v>
      </c>
      <c r="P14" s="1185"/>
      <c r="Q14" s="1360" t="s">
        <v>113</v>
      </c>
      <c r="R14" s="1367"/>
      <c r="S14" s="1368"/>
      <c r="T14" s="1361"/>
      <c r="U14" s="1369"/>
      <c r="V14" s="1370"/>
      <c r="W14" s="1185"/>
      <c r="X14" s="1371">
        <v>2</v>
      </c>
      <c r="Y14" s="1237" t="s">
        <v>818</v>
      </c>
      <c r="Z14" s="1392">
        <v>1.4</v>
      </c>
      <c r="AA14" s="1185"/>
      <c r="AB14" s="1185"/>
      <c r="AC14" s="1185"/>
      <c r="AD14" s="1185"/>
      <c r="AE14" s="1185"/>
      <c r="AF14" s="1185"/>
      <c r="AG14" s="1185"/>
      <c r="AH14" s="1185"/>
      <c r="AI14" s="1185"/>
      <c r="AJ14" s="1185"/>
      <c r="AK14" s="1185"/>
      <c r="AL14" s="1185"/>
      <c r="AM14" s="1185"/>
      <c r="AN14" s="1185"/>
      <c r="AO14" s="1185"/>
      <c r="AP14" s="1185"/>
      <c r="AQ14" s="1185"/>
      <c r="AR14" s="1185"/>
      <c r="AS14" s="1185"/>
      <c r="AT14" s="1185"/>
      <c r="AU14" s="1185"/>
      <c r="AV14" s="1185"/>
      <c r="AW14" s="1185"/>
      <c r="AX14" s="1185"/>
      <c r="AY14" s="1185"/>
      <c r="AZ14" s="1185"/>
      <c r="BA14" s="1185"/>
    </row>
    <row r="15" spans="1:53" s="661" customFormat="1" ht="16.5" customHeight="1">
      <c r="A15" s="674"/>
      <c r="B15" s="2364" t="s">
        <v>148</v>
      </c>
      <c r="C15" s="2365"/>
      <c r="D15" s="2366"/>
      <c r="E15" s="2362"/>
      <c r="F15" s="2363"/>
      <c r="G15" s="2349"/>
      <c r="H15" s="2350"/>
      <c r="I15" s="707"/>
      <c r="J15" s="707"/>
      <c r="K15" s="707"/>
      <c r="L15" s="1335">
        <f>E15</f>
        <v>0</v>
      </c>
      <c r="M15" s="1333">
        <f>IF($I$30="No Urinals",($N$5*$R$18*G15),($N$5*0.5*($R$15+$R$16)*G15))</f>
        <v>0</v>
      </c>
      <c r="N15" s="1334">
        <f>L15*M15</f>
        <v>0</v>
      </c>
      <c r="O15" s="1184" t="s">
        <v>296</v>
      </c>
      <c r="P15" s="1185"/>
      <c r="Q15" s="1356" t="s">
        <v>114</v>
      </c>
      <c r="R15" s="1386">
        <v>0.3</v>
      </c>
      <c r="S15" s="2351" t="s">
        <v>115</v>
      </c>
      <c r="T15" s="2351"/>
      <c r="U15" s="2351"/>
      <c r="V15" s="2352"/>
      <c r="W15" s="1185"/>
      <c r="X15" s="1371">
        <v>3</v>
      </c>
      <c r="Y15" s="1372" t="s">
        <v>819</v>
      </c>
      <c r="Z15" s="1392">
        <v>2</v>
      </c>
      <c r="AA15" s="1185"/>
      <c r="AB15" s="1185"/>
      <c r="AC15" s="1185"/>
      <c r="AD15" s="1185"/>
      <c r="AE15" s="1185"/>
      <c r="AF15" s="1185"/>
      <c r="AG15" s="1185"/>
      <c r="AH15" s="1185"/>
      <c r="AI15" s="1185"/>
      <c r="AJ15" s="1185"/>
      <c r="AK15" s="1185"/>
      <c r="AL15" s="1185"/>
      <c r="AM15" s="1185"/>
      <c r="AN15" s="1185"/>
      <c r="AO15" s="1185"/>
      <c r="AP15" s="1185"/>
      <c r="AQ15" s="1185"/>
      <c r="AR15" s="1185"/>
      <c r="AS15" s="1185"/>
      <c r="AT15" s="1185"/>
      <c r="AU15" s="1185"/>
      <c r="AV15" s="1185"/>
      <c r="AW15" s="1185"/>
      <c r="AX15" s="1185"/>
      <c r="AY15" s="1185"/>
      <c r="AZ15" s="1185"/>
      <c r="BA15" s="1185"/>
    </row>
    <row r="16" spans="1:53" s="661" customFormat="1" ht="17.25" customHeight="1" thickBot="1">
      <c r="A16" s="674"/>
      <c r="B16" s="2364" t="s">
        <v>148</v>
      </c>
      <c r="C16" s="2365"/>
      <c r="D16" s="2366"/>
      <c r="E16" s="2380"/>
      <c r="F16" s="2381"/>
      <c r="G16" s="2349"/>
      <c r="H16" s="2350"/>
      <c r="I16" s="707"/>
      <c r="J16" s="707"/>
      <c r="K16" s="707"/>
      <c r="L16" s="1336">
        <f>E16</f>
        <v>0</v>
      </c>
      <c r="M16" s="1333">
        <f>IF($I$30="No Urinals",($N$5*$R$18*G16),($N$5*0.5*($R$15+$R$16)*G16))</f>
        <v>0</v>
      </c>
      <c r="N16" s="1337">
        <f>L16*M16</f>
        <v>0</v>
      </c>
      <c r="O16" s="1184" t="s">
        <v>296</v>
      </c>
      <c r="P16" s="1185"/>
      <c r="Q16" s="1357" t="s">
        <v>656</v>
      </c>
      <c r="R16" s="1387">
        <v>2.2999999999999998</v>
      </c>
      <c r="S16" s="2353" t="s">
        <v>115</v>
      </c>
      <c r="T16" s="2353"/>
      <c r="U16" s="2353"/>
      <c r="V16" s="2354"/>
      <c r="W16" s="1185"/>
      <c r="X16" s="1373">
        <v>4</v>
      </c>
      <c r="Y16" s="1374" t="s">
        <v>820</v>
      </c>
      <c r="Z16" s="1393">
        <v>2.8</v>
      </c>
      <c r="AA16" s="1185"/>
      <c r="AB16" s="1185"/>
      <c r="AC16" s="1185"/>
      <c r="AD16" s="1185"/>
      <c r="AE16" s="1185"/>
      <c r="AF16" s="1185"/>
      <c r="AG16" s="1185"/>
      <c r="AH16" s="1185"/>
      <c r="AI16" s="1185"/>
      <c r="AJ16" s="1185"/>
      <c r="AK16" s="1185"/>
      <c r="AL16" s="1185"/>
      <c r="AM16" s="1185"/>
      <c r="AN16" s="1185"/>
      <c r="AO16" s="1185"/>
      <c r="AP16" s="1185"/>
      <c r="AQ16" s="1185"/>
      <c r="AR16" s="1185"/>
      <c r="AS16" s="1185"/>
      <c r="AT16" s="1185"/>
      <c r="AU16" s="1185"/>
      <c r="AV16" s="1185"/>
      <c r="AW16" s="1185"/>
      <c r="AX16" s="1185"/>
      <c r="AY16" s="1185"/>
      <c r="AZ16" s="1185"/>
      <c r="BA16" s="1185"/>
    </row>
    <row r="17" spans="1:53" ht="20.25" customHeight="1" thickBot="1">
      <c r="A17" s="674"/>
      <c r="B17" s="1147"/>
      <c r="C17" s="1148"/>
      <c r="D17" s="1148"/>
      <c r="E17" s="1143"/>
      <c r="F17" s="1149"/>
      <c r="G17" s="2377">
        <f>SUM(G13:G16)</f>
        <v>0</v>
      </c>
      <c r="H17" s="2371"/>
      <c r="I17" s="2396" t="str">
        <f>IF(SUM(G13:H16)=1,"",IF(OR(AND(ISBLANK(G13),ISBLANK(G14),ISBLANK(G15),ISBLANK(G16))=TRUE,G13+G14+G15+G16=0=TRUE),"No WCs","ERROR: 100% required"))</f>
        <v>No WCs</v>
      </c>
      <c r="J17" s="2396"/>
      <c r="K17" s="1499"/>
      <c r="L17" s="1299" t="s">
        <v>591</v>
      </c>
      <c r="M17" s="1312">
        <f>SUM(M13:M16)</f>
        <v>0</v>
      </c>
      <c r="N17" s="1338">
        <f>SUM(N13:N16)</f>
        <v>0</v>
      </c>
      <c r="O17" s="1184" t="s">
        <v>297</v>
      </c>
      <c r="Q17" s="1357" t="s">
        <v>657</v>
      </c>
      <c r="R17" s="1387">
        <v>2</v>
      </c>
      <c r="S17" s="2353" t="s">
        <v>115</v>
      </c>
      <c r="T17" s="2353"/>
      <c r="U17" s="2353"/>
      <c r="V17" s="2354"/>
      <c r="AH17" s="1181"/>
      <c r="AI17" s="1181"/>
      <c r="AJ17" s="1181"/>
      <c r="AK17" s="1181"/>
      <c r="AL17" s="1181"/>
      <c r="AM17" s="1181"/>
      <c r="AN17" s="1181"/>
      <c r="AO17" s="1181"/>
      <c r="AP17" s="1181"/>
      <c r="AQ17" s="1181"/>
      <c r="AR17" s="1181"/>
      <c r="AS17" s="1181"/>
      <c r="AT17" s="1181"/>
      <c r="AU17" s="1181"/>
      <c r="AV17" s="1181"/>
      <c r="AW17" s="1181"/>
      <c r="AX17" s="1181"/>
      <c r="AY17" s="1181"/>
      <c r="AZ17" s="1181"/>
      <c r="BA17" s="1181"/>
    </row>
    <row r="18" spans="1:53" ht="20.25" customHeight="1" thickBot="1">
      <c r="A18" s="674"/>
      <c r="B18" s="2382" t="s">
        <v>192</v>
      </c>
      <c r="C18" s="2383"/>
      <c r="D18" s="2383"/>
      <c r="E18" s="2383"/>
      <c r="F18" s="2384"/>
      <c r="G18" s="2378">
        <f>IF(TYPE(N17/H4)=16,0,N17/H4)</f>
        <v>0</v>
      </c>
      <c r="H18" s="2379"/>
      <c r="I18" s="708" t="str">
        <f>IF(I17="No WCs","",IF(TYPE(N17/$H$4)=16,"Error",""))</f>
        <v/>
      </c>
      <c r="J18" s="703"/>
      <c r="K18" s="703"/>
      <c r="L18" s="1179"/>
      <c r="M18" s="1179"/>
      <c r="N18" s="1347" t="e">
        <f>$N$17/$H$4</f>
        <v>#DIV/0!</v>
      </c>
      <c r="O18" s="1184" t="s">
        <v>1564</v>
      </c>
      <c r="Q18" s="1357" t="s">
        <v>658</v>
      </c>
      <c r="R18" s="1387">
        <v>2.2999999999999998</v>
      </c>
      <c r="S18" s="2353" t="s">
        <v>1205</v>
      </c>
      <c r="T18" s="2353"/>
      <c r="U18" s="2353"/>
      <c r="V18" s="2354"/>
      <c r="X18" s="2343" t="s">
        <v>1297</v>
      </c>
      <c r="Y18" s="2344"/>
      <c r="Z18" s="2344"/>
      <c r="AA18" s="2344"/>
      <c r="AB18" s="2345"/>
      <c r="AH18" s="1181"/>
      <c r="AI18" s="1181"/>
      <c r="AJ18" s="1181"/>
      <c r="AK18" s="1181"/>
      <c r="AL18" s="1181"/>
      <c r="AM18" s="1181"/>
      <c r="AN18" s="1181"/>
      <c r="AO18" s="1181"/>
      <c r="AP18" s="1181"/>
      <c r="AQ18" s="1181"/>
      <c r="AR18" s="1181"/>
      <c r="AS18" s="1181"/>
      <c r="AT18" s="1181"/>
      <c r="AU18" s="1181"/>
      <c r="AV18" s="1181"/>
      <c r="AW18" s="1181"/>
      <c r="AX18" s="1181"/>
      <c r="AY18" s="1181"/>
      <c r="AZ18" s="1181"/>
      <c r="BA18" s="1181"/>
    </row>
    <row r="19" spans="1:53" ht="12" customHeight="1" thickBot="1">
      <c r="A19" s="674"/>
      <c r="B19" s="668"/>
      <c r="C19" s="670"/>
      <c r="D19" s="670"/>
      <c r="E19" s="671"/>
      <c r="F19" s="672"/>
      <c r="G19" s="672"/>
      <c r="H19" s="672"/>
      <c r="I19" s="704"/>
      <c r="J19" s="706"/>
      <c r="K19" s="706"/>
      <c r="L19" s="1179"/>
      <c r="M19" s="1179"/>
      <c r="N19" s="1179"/>
      <c r="Q19" s="1357" t="s">
        <v>1206</v>
      </c>
      <c r="R19" s="1388" t="s">
        <v>1614</v>
      </c>
      <c r="S19" s="2353" t="s">
        <v>1615</v>
      </c>
      <c r="T19" s="2353"/>
      <c r="U19" s="2353"/>
      <c r="V19" s="2354"/>
      <c r="X19" s="1266" t="s">
        <v>1293</v>
      </c>
      <c r="Y19" s="1267" t="s">
        <v>112</v>
      </c>
      <c r="Z19" s="1199"/>
      <c r="AA19" s="1246"/>
      <c r="AB19" s="1268"/>
      <c r="AH19" s="1181"/>
      <c r="AI19" s="1181"/>
      <c r="AJ19" s="1181"/>
      <c r="AK19" s="1181"/>
      <c r="AL19" s="1181"/>
      <c r="AM19" s="1181"/>
      <c r="AN19" s="1181"/>
      <c r="AO19" s="1181"/>
      <c r="AP19" s="1181"/>
      <c r="AQ19" s="1181"/>
      <c r="AR19" s="1181"/>
      <c r="AS19" s="1181"/>
      <c r="AT19" s="1181"/>
      <c r="AU19" s="1181"/>
      <c r="AV19" s="1181"/>
      <c r="AW19" s="1181"/>
      <c r="AX19" s="1181"/>
      <c r="AY19" s="1181"/>
      <c r="AZ19" s="1181"/>
      <c r="BA19" s="1181"/>
    </row>
    <row r="20" spans="1:53" ht="15.75" customHeight="1" thickBot="1">
      <c r="A20" s="674"/>
      <c r="B20" s="2374" t="s">
        <v>739</v>
      </c>
      <c r="C20" s="2375"/>
      <c r="D20" s="2375"/>
      <c r="E20" s="2375"/>
      <c r="F20" s="2375"/>
      <c r="G20" s="2375"/>
      <c r="H20" s="2376"/>
      <c r="I20" s="704"/>
      <c r="J20" s="706"/>
      <c r="K20" s="706"/>
      <c r="L20" s="1179"/>
      <c r="M20" s="1179"/>
      <c r="N20" s="1179"/>
      <c r="Q20" s="1357" t="s">
        <v>1295</v>
      </c>
      <c r="R20" s="1388" t="s">
        <v>1694</v>
      </c>
      <c r="S20" s="2353" t="s">
        <v>1207</v>
      </c>
      <c r="T20" s="2353"/>
      <c r="U20" s="2353"/>
      <c r="V20" s="2354"/>
      <c r="X20" s="1269">
        <v>1</v>
      </c>
      <c r="Y20" s="1270" t="s">
        <v>1290</v>
      </c>
      <c r="Z20" s="1271"/>
      <c r="AA20" s="1246"/>
      <c r="AB20" s="1268"/>
      <c r="AH20" s="1181"/>
      <c r="AI20" s="1181"/>
      <c r="AJ20" s="1181"/>
      <c r="AK20" s="1181"/>
      <c r="AL20" s="1181"/>
      <c r="AM20" s="1181"/>
      <c r="AN20" s="1181"/>
      <c r="AO20" s="1181"/>
      <c r="AP20" s="1181"/>
      <c r="AQ20" s="1181"/>
      <c r="AR20" s="1181"/>
      <c r="AS20" s="1181"/>
      <c r="AT20" s="1181"/>
      <c r="AU20" s="1181"/>
      <c r="AV20" s="1181"/>
      <c r="AW20" s="1181"/>
      <c r="AX20" s="1181"/>
      <c r="AY20" s="1181"/>
      <c r="AZ20" s="1181"/>
      <c r="BA20" s="1181"/>
    </row>
    <row r="21" spans="1:53" ht="17.100000000000001" customHeight="1" thickBot="1">
      <c r="A21" s="674"/>
      <c r="B21" s="2398" t="s">
        <v>594</v>
      </c>
      <c r="C21" s="2399"/>
      <c r="D21" s="2400"/>
      <c r="E21" s="2367" t="s">
        <v>195</v>
      </c>
      <c r="F21" s="2401"/>
      <c r="G21" s="2368" t="s">
        <v>194</v>
      </c>
      <c r="H21" s="2369"/>
      <c r="I21" s="706"/>
      <c r="J21" s="706"/>
      <c r="K21" s="706"/>
      <c r="L21" s="1323" t="s">
        <v>195</v>
      </c>
      <c r="M21" s="1324" t="s">
        <v>592</v>
      </c>
      <c r="N21" s="1325" t="s">
        <v>1287</v>
      </c>
      <c r="Q21" s="1357" t="s">
        <v>1208</v>
      </c>
      <c r="R21" s="1387">
        <v>5</v>
      </c>
      <c r="S21" s="2353" t="s">
        <v>1618</v>
      </c>
      <c r="T21" s="2353"/>
      <c r="U21" s="2353"/>
      <c r="V21" s="2354"/>
      <c r="X21" s="1269">
        <v>2</v>
      </c>
      <c r="Y21" s="1270" t="s">
        <v>1292</v>
      </c>
      <c r="Z21" s="1271"/>
      <c r="AA21" s="1246"/>
      <c r="AB21" s="1268"/>
      <c r="AH21" s="1181"/>
      <c r="AI21" s="1181"/>
      <c r="AJ21" s="1181"/>
      <c r="AK21" s="1181"/>
      <c r="AL21" s="1181"/>
      <c r="AM21" s="1181"/>
      <c r="AN21" s="1181"/>
      <c r="AO21" s="1181"/>
      <c r="AP21" s="1181"/>
      <c r="AQ21" s="1181"/>
      <c r="AR21" s="1181"/>
      <c r="AS21" s="1181"/>
      <c r="AT21" s="1181"/>
      <c r="AU21" s="1181"/>
      <c r="AV21" s="1181"/>
      <c r="AW21" s="1181"/>
      <c r="AX21" s="1181"/>
      <c r="AY21" s="1181"/>
      <c r="AZ21" s="1181"/>
      <c r="BA21" s="1181"/>
    </row>
    <row r="22" spans="1:53" ht="17.25" customHeight="1">
      <c r="A22" s="674"/>
      <c r="B22" s="2393" t="s">
        <v>148</v>
      </c>
      <c r="C22" s="2394"/>
      <c r="D22" s="2395"/>
      <c r="E22" s="2362"/>
      <c r="F22" s="2363"/>
      <c r="G22" s="2519">
        <v>0</v>
      </c>
      <c r="H22" s="2350"/>
      <c r="I22" s="706"/>
      <c r="J22" s="706"/>
      <c r="K22" s="706"/>
      <c r="L22" s="1313">
        <f>E22</f>
        <v>0</v>
      </c>
      <c r="M22" s="1319">
        <f>($N$5*0.5)*$R$17*G22</f>
        <v>0</v>
      </c>
      <c r="N22" s="1316">
        <f>L22*M22</f>
        <v>0</v>
      </c>
      <c r="O22" s="1179" t="s">
        <v>296</v>
      </c>
      <c r="Q22" s="1357" t="s">
        <v>437</v>
      </c>
      <c r="R22" s="1389">
        <v>0.03</v>
      </c>
      <c r="S22" s="2353" t="s">
        <v>438</v>
      </c>
      <c r="T22" s="2353"/>
      <c r="U22" s="2353"/>
      <c r="V22" s="2354"/>
      <c r="X22" s="1269">
        <v>3</v>
      </c>
      <c r="Y22" s="1270" t="s">
        <v>1291</v>
      </c>
      <c r="Z22" s="1271"/>
      <c r="AA22" s="1246"/>
      <c r="AB22" s="1268"/>
      <c r="AH22" s="1181"/>
      <c r="AI22" s="1181"/>
      <c r="AJ22" s="1181"/>
      <c r="AK22" s="1181"/>
      <c r="AL22" s="1181"/>
      <c r="AM22" s="1181"/>
      <c r="AN22" s="1181"/>
      <c r="AO22" s="1181"/>
      <c r="AP22" s="1181"/>
      <c r="AQ22" s="1181"/>
      <c r="AR22" s="1181"/>
      <c r="AS22" s="1181"/>
      <c r="AT22" s="1181"/>
      <c r="AU22" s="1181"/>
      <c r="AV22" s="1181"/>
      <c r="AW22" s="1181"/>
      <c r="AX22" s="1181"/>
      <c r="AY22" s="1181"/>
      <c r="AZ22" s="1181"/>
      <c r="BA22" s="1181"/>
    </row>
    <row r="23" spans="1:53" ht="17.25" customHeight="1">
      <c r="A23" s="674"/>
      <c r="B23" s="2393" t="s">
        <v>148</v>
      </c>
      <c r="C23" s="2394"/>
      <c r="D23" s="2395"/>
      <c r="E23" s="2362"/>
      <c r="F23" s="2363"/>
      <c r="G23" s="2349">
        <v>0</v>
      </c>
      <c r="H23" s="2350"/>
      <c r="I23" s="706"/>
      <c r="J23" s="706"/>
      <c r="K23" s="706"/>
      <c r="L23" s="1314">
        <f>E23</f>
        <v>0</v>
      </c>
      <c r="M23" s="1320">
        <f>($N$5*0.5)*$R$17*G23</f>
        <v>0</v>
      </c>
      <c r="N23" s="1317">
        <f>L23*M23</f>
        <v>0</v>
      </c>
      <c r="O23" s="1179" t="s">
        <v>296</v>
      </c>
      <c r="Q23" s="1357" t="s">
        <v>439</v>
      </c>
      <c r="R23" s="1389">
        <v>0.5</v>
      </c>
      <c r="S23" s="2353"/>
      <c r="T23" s="2353"/>
      <c r="U23" s="2353"/>
      <c r="V23" s="2354"/>
      <c r="X23" s="1269">
        <v>4</v>
      </c>
      <c r="Y23" s="1272" t="s">
        <v>1298</v>
      </c>
      <c r="Z23" s="1273"/>
      <c r="AA23" s="1246"/>
      <c r="AB23" s="1268"/>
      <c r="AH23" s="1181"/>
      <c r="AI23" s="1181"/>
      <c r="AJ23" s="1181"/>
      <c r="AK23" s="1181"/>
      <c r="AL23" s="1181"/>
      <c r="AM23" s="1181"/>
      <c r="AN23" s="1181"/>
      <c r="AO23" s="1181"/>
      <c r="AP23" s="1181"/>
      <c r="AQ23" s="1181"/>
      <c r="AR23" s="1181"/>
      <c r="AS23" s="1181"/>
      <c r="AT23" s="1181"/>
      <c r="AU23" s="1181"/>
      <c r="AV23" s="1181"/>
      <c r="AW23" s="1181"/>
      <c r="AX23" s="1181"/>
      <c r="AY23" s="1181"/>
      <c r="AZ23" s="1181"/>
      <c r="BA23" s="1181"/>
    </row>
    <row r="24" spans="1:53" ht="17.25" customHeight="1" thickBot="1">
      <c r="A24" s="674"/>
      <c r="B24" s="2393" t="s">
        <v>148</v>
      </c>
      <c r="C24" s="2394"/>
      <c r="D24" s="2395"/>
      <c r="E24" s="2402"/>
      <c r="F24" s="2403"/>
      <c r="G24" s="2349">
        <v>0</v>
      </c>
      <c r="H24" s="2350"/>
      <c r="I24" s="706"/>
      <c r="J24" s="706"/>
      <c r="K24" s="706"/>
      <c r="L24" s="1314">
        <f>E24</f>
        <v>0</v>
      </c>
      <c r="M24" s="1320">
        <f>($N$5*0.5)*$R$17*G24</f>
        <v>0</v>
      </c>
      <c r="N24" s="1317">
        <f>L24*M24</f>
        <v>0</v>
      </c>
      <c r="O24" s="1179" t="s">
        <v>296</v>
      </c>
      <c r="Q24" s="1357" t="s">
        <v>440</v>
      </c>
      <c r="R24" s="1389">
        <v>0.5</v>
      </c>
      <c r="S24" s="2353"/>
      <c r="T24" s="2353"/>
      <c r="U24" s="2353"/>
      <c r="V24" s="2354"/>
      <c r="X24" s="1274"/>
      <c r="Y24" s="1199"/>
      <c r="Z24" s="1246"/>
      <c r="AA24" s="1246"/>
      <c r="AB24" s="1268"/>
      <c r="AH24" s="1181"/>
      <c r="AI24" s="1181"/>
      <c r="AJ24" s="1181"/>
      <c r="AK24" s="1181"/>
      <c r="AL24" s="1181"/>
      <c r="AM24" s="1181"/>
      <c r="AN24" s="1181"/>
      <c r="AO24" s="1181"/>
      <c r="AP24" s="1181"/>
      <c r="AQ24" s="1181"/>
      <c r="AR24" s="1181"/>
      <c r="AS24" s="1181"/>
      <c r="AT24" s="1181"/>
      <c r="AU24" s="1181"/>
      <c r="AV24" s="1181"/>
      <c r="AW24" s="1181"/>
      <c r="AX24" s="1181"/>
      <c r="AY24" s="1181"/>
      <c r="AZ24" s="1181"/>
      <c r="BA24" s="1181"/>
    </row>
    <row r="25" spans="1:53" ht="17.25" customHeight="1" thickBot="1">
      <c r="A25" s="674"/>
      <c r="B25" s="2393" t="s">
        <v>148</v>
      </c>
      <c r="C25" s="2394"/>
      <c r="D25" s="2395"/>
      <c r="E25" s="2362"/>
      <c r="F25" s="2363"/>
      <c r="G25" s="2349">
        <v>0</v>
      </c>
      <c r="H25" s="2350"/>
      <c r="I25" s="706"/>
      <c r="J25" s="706"/>
      <c r="K25" s="706"/>
      <c r="L25" s="1315">
        <f>E25</f>
        <v>0</v>
      </c>
      <c r="M25" s="1321">
        <f>($N$5*0.5)*$R$17*G25</f>
        <v>0</v>
      </c>
      <c r="N25" s="1318">
        <f>L25*M25</f>
        <v>0</v>
      </c>
      <c r="O25" s="1179" t="s">
        <v>296</v>
      </c>
      <c r="Q25" s="1358" t="s">
        <v>441</v>
      </c>
      <c r="R25" s="1390">
        <v>2.5</v>
      </c>
      <c r="S25" s="2372" t="s">
        <v>442</v>
      </c>
      <c r="T25" s="2372"/>
      <c r="U25" s="2372"/>
      <c r="V25" s="2373"/>
      <c r="X25" s="1275" t="s">
        <v>112</v>
      </c>
      <c r="Y25" s="1276" t="s">
        <v>1290</v>
      </c>
      <c r="Z25" s="1276" t="s">
        <v>1292</v>
      </c>
      <c r="AA25" s="1276" t="s">
        <v>1291</v>
      </c>
      <c r="AB25" s="1277" t="s">
        <v>1298</v>
      </c>
      <c r="AH25" s="1181"/>
      <c r="AI25" s="1181"/>
      <c r="AJ25" s="1181"/>
      <c r="AK25" s="1181"/>
      <c r="AL25" s="1181"/>
      <c r="AM25" s="1181"/>
      <c r="AN25" s="1181"/>
      <c r="AO25" s="1181"/>
      <c r="AP25" s="1181"/>
      <c r="AQ25" s="1181"/>
      <c r="AR25" s="1181"/>
      <c r="AS25" s="1181"/>
      <c r="AT25" s="1181"/>
      <c r="AU25" s="1181"/>
      <c r="AV25" s="1181"/>
      <c r="AW25" s="1181"/>
      <c r="AX25" s="1181"/>
      <c r="AY25" s="1181"/>
      <c r="AZ25" s="1181"/>
      <c r="BA25" s="1181"/>
    </row>
    <row r="26" spans="1:53" ht="18" customHeight="1" thickBot="1">
      <c r="A26" s="674"/>
      <c r="B26" s="2404" t="s">
        <v>196</v>
      </c>
      <c r="C26" s="2405"/>
      <c r="D26" s="2405"/>
      <c r="E26" s="2405"/>
      <c r="F26" s="2405"/>
      <c r="G26" s="2370">
        <f>SUM(G22:G25)</f>
        <v>0</v>
      </c>
      <c r="H26" s="2371"/>
      <c r="I26" s="2397"/>
      <c r="J26" s="2397"/>
      <c r="K26" s="1142"/>
      <c r="L26" s="1189"/>
      <c r="M26" s="1189"/>
      <c r="N26" s="1322">
        <f>SUM(N22:N25)</f>
        <v>0</v>
      </c>
      <c r="O26" s="1183" t="s">
        <v>593</v>
      </c>
      <c r="P26" s="1190"/>
      <c r="Q26" s="1362" t="s">
        <v>443</v>
      </c>
      <c r="R26" s="1246"/>
      <c r="S26" s="1246"/>
      <c r="T26" s="1246"/>
      <c r="U26" s="1200"/>
      <c r="V26" s="1366"/>
      <c r="X26" s="2341" t="s">
        <v>1293</v>
      </c>
      <c r="Y26" s="2387">
        <v>1</v>
      </c>
      <c r="Z26" s="2389">
        <v>2</v>
      </c>
      <c r="AA26" s="2391">
        <v>3</v>
      </c>
      <c r="AB26" s="2385">
        <v>4</v>
      </c>
      <c r="AH26" s="1181"/>
      <c r="AI26" s="1181"/>
      <c r="AJ26" s="1181"/>
      <c r="AK26" s="1181"/>
      <c r="AL26" s="1181"/>
      <c r="AM26" s="1181"/>
      <c r="AN26" s="1181"/>
      <c r="AO26" s="1181"/>
      <c r="AP26" s="1181"/>
      <c r="AQ26" s="1181"/>
      <c r="AR26" s="1181"/>
      <c r="AS26" s="1181"/>
      <c r="AT26" s="1181"/>
      <c r="AU26" s="1181"/>
      <c r="AV26" s="1181"/>
      <c r="AW26" s="1181"/>
      <c r="AX26" s="1181"/>
      <c r="AY26" s="1181"/>
      <c r="AZ26" s="1181"/>
      <c r="BA26" s="1181"/>
    </row>
    <row r="27" spans="1:53" ht="27" customHeight="1" thickBot="1">
      <c r="A27" s="674"/>
      <c r="B27" s="1162" t="s">
        <v>1557</v>
      </c>
      <c r="C27" s="1156" t="s">
        <v>1612</v>
      </c>
      <c r="D27" s="1156" t="s">
        <v>1611</v>
      </c>
      <c r="E27" s="2367" t="s">
        <v>195</v>
      </c>
      <c r="F27" s="2367"/>
      <c r="G27" s="2368" t="s">
        <v>194</v>
      </c>
      <c r="H27" s="2369"/>
      <c r="I27" s="706"/>
      <c r="J27" s="706"/>
      <c r="K27" s="706"/>
      <c r="L27" s="1189"/>
      <c r="M27" s="1189"/>
      <c r="N27" s="1184">
        <f>IF($L$31="No Urinals",0,$N$5*$R$17*$R$24)</f>
        <v>0</v>
      </c>
      <c r="O27" s="1189" t="s">
        <v>1559</v>
      </c>
      <c r="P27" s="1190"/>
      <c r="Q27" s="1331" t="s">
        <v>444</v>
      </c>
      <c r="R27" s="1386">
        <v>20</v>
      </c>
      <c r="S27" s="2351" t="s">
        <v>105</v>
      </c>
      <c r="T27" s="2351"/>
      <c r="U27" s="2351"/>
      <c r="V27" s="2352"/>
      <c r="X27" s="2342"/>
      <c r="Y27" s="2388"/>
      <c r="Z27" s="2390"/>
      <c r="AA27" s="2392"/>
      <c r="AB27" s="2386"/>
      <c r="AH27" s="1181"/>
      <c r="AI27" s="1181"/>
      <c r="AJ27" s="1181"/>
      <c r="AK27" s="1181"/>
      <c r="AL27" s="1181"/>
      <c r="AM27" s="1181"/>
      <c r="AN27" s="1181"/>
      <c r="AO27" s="1181"/>
      <c r="AP27" s="1181"/>
      <c r="AQ27" s="1181"/>
      <c r="AR27" s="1181"/>
      <c r="AS27" s="1181"/>
      <c r="AT27" s="1181"/>
      <c r="AU27" s="1181"/>
      <c r="AV27" s="1181"/>
      <c r="AW27" s="1181"/>
      <c r="AX27" s="1181"/>
      <c r="AY27" s="1181"/>
      <c r="AZ27" s="1181"/>
      <c r="BA27" s="1181"/>
    </row>
    <row r="28" spans="1:53" ht="16.5" customHeight="1" thickBot="1">
      <c r="A28" s="674"/>
      <c r="B28" s="1163" t="s">
        <v>148</v>
      </c>
      <c r="C28" s="370"/>
      <c r="D28" s="328"/>
      <c r="E28" s="2362"/>
      <c r="F28" s="2362"/>
      <c r="G28" s="2349">
        <v>0</v>
      </c>
      <c r="H28" s="2350"/>
      <c r="I28" s="2397" t="str">
        <f>IF(G28&gt;1,"ERROR","")</f>
        <v/>
      </c>
      <c r="J28" s="2397"/>
      <c r="K28" s="1142"/>
      <c r="L28" s="1326">
        <f>E28</f>
        <v>0</v>
      </c>
      <c r="M28" s="1328">
        <f>D28*C28</f>
        <v>0</v>
      </c>
      <c r="N28" s="1327">
        <f>IF(G28=0,0,L28*M28)</f>
        <v>0</v>
      </c>
      <c r="O28" s="1191" t="s">
        <v>1558</v>
      </c>
      <c r="Q28" s="1358"/>
      <c r="R28" s="1390"/>
      <c r="S28" s="2372"/>
      <c r="T28" s="2372"/>
      <c r="U28" s="2372"/>
      <c r="V28" s="2373"/>
      <c r="X28" s="1234" t="s">
        <v>1296</v>
      </c>
      <c r="Y28" s="1394">
        <f>Y29/60</f>
        <v>0.1</v>
      </c>
      <c r="Z28" s="1395">
        <f>Z29/60</f>
        <v>0.11666666666666667</v>
      </c>
      <c r="AA28" s="1394">
        <f>AA29/60</f>
        <v>0.15</v>
      </c>
      <c r="AB28" s="1396">
        <f>AB29/60</f>
        <v>0.15</v>
      </c>
      <c r="AH28" s="1181"/>
      <c r="AI28" s="1181"/>
      <c r="AJ28" s="1181"/>
      <c r="AK28" s="1181"/>
      <c r="AL28" s="1181"/>
      <c r="AM28" s="1181"/>
      <c r="AN28" s="1181"/>
      <c r="AO28" s="1181"/>
      <c r="AP28" s="1181"/>
      <c r="AQ28" s="1181"/>
      <c r="AR28" s="1181"/>
      <c r="AS28" s="1181"/>
      <c r="AT28" s="1181"/>
      <c r="AU28" s="1181"/>
      <c r="AV28" s="1181"/>
      <c r="AW28" s="1181"/>
      <c r="AX28" s="1181"/>
      <c r="AY28" s="1181"/>
      <c r="AZ28" s="1181"/>
      <c r="BA28" s="1181"/>
    </row>
    <row r="29" spans="1:53" ht="16.5" customHeight="1" thickBot="1">
      <c r="A29" s="674"/>
      <c r="B29" s="2535" t="s">
        <v>196</v>
      </c>
      <c r="C29" s="2536"/>
      <c r="D29" s="2536"/>
      <c r="E29" s="2536"/>
      <c r="F29" s="2536"/>
      <c r="G29" s="2537">
        <f>G28</f>
        <v>0</v>
      </c>
      <c r="H29" s="2538"/>
      <c r="I29" s="1142"/>
      <c r="J29" s="1142"/>
      <c r="K29" s="1142"/>
      <c r="L29" s="1186"/>
      <c r="M29" s="1188"/>
      <c r="N29" s="1179"/>
      <c r="O29" s="1191"/>
      <c r="X29" s="1377" t="s">
        <v>1294</v>
      </c>
      <c r="Y29" s="1280">
        <v>6</v>
      </c>
      <c r="Z29" s="1281">
        <v>7</v>
      </c>
      <c r="AA29" s="1282">
        <v>9</v>
      </c>
      <c r="AB29" s="1283">
        <v>9</v>
      </c>
      <c r="AH29" s="1181"/>
      <c r="AI29" s="1181"/>
      <c r="AJ29" s="1181"/>
      <c r="AK29" s="1181"/>
      <c r="AL29" s="1181"/>
      <c r="AM29" s="1181"/>
      <c r="AN29" s="1181"/>
      <c r="AO29" s="1181"/>
      <c r="AP29" s="1181"/>
      <c r="AQ29" s="1181"/>
      <c r="AR29" s="1181"/>
      <c r="AS29" s="1181"/>
      <c r="AT29" s="1181"/>
      <c r="AU29" s="1181"/>
      <c r="AV29" s="1181"/>
      <c r="AW29" s="1181"/>
      <c r="AX29" s="1181"/>
      <c r="AY29" s="1181"/>
      <c r="AZ29" s="1181"/>
      <c r="BA29" s="1181"/>
    </row>
    <row r="30" spans="1:53" ht="28.5" customHeight="1" thickBot="1">
      <c r="A30" s="674"/>
      <c r="B30" s="2532" t="s">
        <v>197</v>
      </c>
      <c r="C30" s="2533"/>
      <c r="D30" s="2533"/>
      <c r="E30" s="2533"/>
      <c r="F30" s="2534"/>
      <c r="G30" s="2530">
        <f>G26+G29</f>
        <v>0</v>
      </c>
      <c r="H30" s="2531"/>
      <c r="I30" s="2396" t="str">
        <f>IF(SUM($G$22:$H$25)+$G$28=1,"",IF(OR(AND(ISBLANK($G$22),ISBLANK($G$23),ISBLANK($G$24),ISBLANK($G$25))=TRUE,$G$22+$G$23+$G$24+$G$25+$G$28=0=TRUE),"No Urinals","ERROR: 100% required"))</f>
        <v>No Urinals</v>
      </c>
      <c r="J30" s="2396"/>
      <c r="K30" s="1499"/>
      <c r="L30" s="1186"/>
      <c r="M30" s="1299" t="s">
        <v>591</v>
      </c>
      <c r="N30" s="1338">
        <f>N26+N28</f>
        <v>0</v>
      </c>
      <c r="O30" s="1191" t="s">
        <v>1561</v>
      </c>
      <c r="AH30" s="1181"/>
      <c r="AI30" s="1181"/>
      <c r="AJ30" s="1181"/>
      <c r="AK30" s="1181"/>
      <c r="AL30" s="1181"/>
      <c r="AM30" s="1181"/>
      <c r="AN30" s="1181"/>
      <c r="AO30" s="1181"/>
      <c r="AP30" s="1181"/>
      <c r="AQ30" s="1181"/>
      <c r="AR30" s="1181"/>
      <c r="AS30" s="1181"/>
      <c r="AT30" s="1181"/>
      <c r="AU30" s="1181"/>
      <c r="AV30" s="1181"/>
      <c r="AW30" s="1181"/>
      <c r="AX30" s="1181"/>
      <c r="AY30" s="1181"/>
      <c r="AZ30" s="1181"/>
      <c r="BA30" s="1181"/>
    </row>
    <row r="31" spans="1:53" ht="20.25" customHeight="1" thickBot="1">
      <c r="A31" s="674"/>
      <c r="B31" s="2382" t="s">
        <v>193</v>
      </c>
      <c r="C31" s="2383"/>
      <c r="D31" s="2383"/>
      <c r="E31" s="2383"/>
      <c r="F31" s="2384"/>
      <c r="G31" s="2525">
        <f>IF(TYPE(N30/H4)=16,0,N30/H4)</f>
        <v>0</v>
      </c>
      <c r="H31" s="2454"/>
      <c r="I31" s="708" t="str">
        <f>IF(I30="No Urinals","",IF(TYPE(N30/$H$4)=16,"Error",""))</f>
        <v/>
      </c>
      <c r="J31" s="706"/>
      <c r="K31" s="706"/>
      <c r="L31" s="1329" t="str">
        <f>IF(G30=0,"No Urinals",IF((G26+G28)&gt;0,1,"ERROR"))</f>
        <v>No Urinals</v>
      </c>
      <c r="M31" s="1186" t="s">
        <v>1560</v>
      </c>
      <c r="N31" s="1347" t="e">
        <f>$N$30/$H$4</f>
        <v>#DIV/0!</v>
      </c>
      <c r="O31" s="1184" t="s">
        <v>1564</v>
      </c>
      <c r="P31" s="1190"/>
      <c r="Q31" s="2577" t="s">
        <v>1125</v>
      </c>
      <c r="R31" s="2578"/>
      <c r="S31" s="2578"/>
      <c r="T31" s="2578"/>
      <c r="U31" s="2578"/>
      <c r="V31" s="2578"/>
      <c r="W31" s="2579"/>
      <c r="Y31" s="2558" t="s">
        <v>1574</v>
      </c>
      <c r="Z31" s="2559"/>
      <c r="AA31" s="2559"/>
      <c r="AB31" s="2560"/>
      <c r="AH31" s="1181"/>
      <c r="AI31" s="1181"/>
      <c r="AJ31" s="1181"/>
      <c r="AK31" s="1181"/>
      <c r="AL31" s="1181"/>
      <c r="AM31" s="1181"/>
      <c r="AN31" s="1181"/>
      <c r="AO31" s="1181"/>
      <c r="AP31" s="1181"/>
      <c r="AQ31" s="1181"/>
      <c r="AR31" s="1181"/>
      <c r="AS31" s="1181"/>
      <c r="AT31" s="1181"/>
      <c r="AU31" s="1181"/>
      <c r="AV31" s="1181"/>
      <c r="AW31" s="1181"/>
      <c r="AX31" s="1181"/>
      <c r="AY31" s="1181"/>
      <c r="AZ31" s="1181"/>
      <c r="BA31" s="1181"/>
    </row>
    <row r="32" spans="1:53" ht="16.5" customHeight="1" thickBot="1">
      <c r="A32" s="674"/>
      <c r="B32" s="668"/>
      <c r="C32" s="670"/>
      <c r="D32" s="670"/>
      <c r="E32" s="671"/>
      <c r="F32" s="672"/>
      <c r="G32" s="672"/>
      <c r="H32" s="672"/>
      <c r="I32" s="704"/>
      <c r="J32" s="703"/>
      <c r="K32" s="703"/>
      <c r="L32" s="1179"/>
      <c r="M32" s="1179"/>
      <c r="Q32" s="2580"/>
      <c r="R32" s="2555" t="s">
        <v>1157</v>
      </c>
      <c r="S32" s="2555" t="s">
        <v>1120</v>
      </c>
      <c r="T32" s="2555" t="s">
        <v>1121</v>
      </c>
      <c r="U32" s="2556" t="s">
        <v>1122</v>
      </c>
      <c r="V32" s="2556" t="s">
        <v>1123</v>
      </c>
      <c r="W32" s="2557" t="s">
        <v>1124</v>
      </c>
      <c r="Y32" s="1230">
        <v>1</v>
      </c>
      <c r="Z32" s="2561"/>
      <c r="AA32" s="2562"/>
      <c r="AB32" s="1228"/>
      <c r="AH32" s="1181"/>
      <c r="AI32" s="1181"/>
      <c r="AJ32" s="1181"/>
      <c r="AK32" s="1181"/>
      <c r="AL32" s="1181"/>
      <c r="AM32" s="1181"/>
      <c r="AN32" s="1181"/>
      <c r="AO32" s="1181"/>
      <c r="AP32" s="1181"/>
      <c r="AQ32" s="1181"/>
      <c r="AR32" s="1181"/>
      <c r="AS32" s="1181"/>
      <c r="AT32" s="1181"/>
      <c r="AU32" s="1181"/>
      <c r="AV32" s="1181"/>
      <c r="AW32" s="1181"/>
      <c r="AX32" s="1181"/>
      <c r="AY32" s="1181"/>
      <c r="AZ32" s="1181"/>
      <c r="BA32" s="1181"/>
    </row>
    <row r="33" spans="1:53" ht="17.100000000000001" customHeight="1" thickBot="1">
      <c r="A33" s="674"/>
      <c r="B33" s="2527" t="s">
        <v>198</v>
      </c>
      <c r="C33" s="2528"/>
      <c r="D33" s="2528"/>
      <c r="E33" s="2528"/>
      <c r="F33" s="2528"/>
      <c r="G33" s="2528"/>
      <c r="H33" s="2529"/>
      <c r="I33" s="704"/>
      <c r="J33" s="703"/>
      <c r="K33" s="703"/>
      <c r="L33" s="1179"/>
      <c r="M33" s="1179"/>
      <c r="N33" s="1179"/>
      <c r="O33" s="1183"/>
      <c r="Q33" s="2580"/>
      <c r="R33" s="2555"/>
      <c r="S33" s="2555"/>
      <c r="T33" s="2555"/>
      <c r="U33" s="2556"/>
      <c r="V33" s="2556"/>
      <c r="W33" s="2557"/>
      <c r="Y33" s="1230">
        <v>2</v>
      </c>
      <c r="Z33" s="1229" t="s">
        <v>107</v>
      </c>
      <c r="AA33" s="1227"/>
      <c r="AB33" s="1625">
        <v>0.9</v>
      </c>
      <c r="AH33" s="1181"/>
      <c r="AI33" s="1181"/>
      <c r="AJ33" s="1181"/>
      <c r="AK33" s="1181"/>
      <c r="AL33" s="1181"/>
      <c r="AM33" s="1181"/>
      <c r="AN33" s="1181"/>
      <c r="AO33" s="1181"/>
      <c r="AP33" s="1181"/>
      <c r="AQ33" s="1181"/>
      <c r="AR33" s="1181"/>
      <c r="AS33" s="1181"/>
      <c r="AT33" s="1181"/>
      <c r="AU33" s="1181"/>
      <c r="AV33" s="1181"/>
      <c r="AW33" s="1181"/>
      <c r="AX33" s="1181"/>
      <c r="AY33" s="1181"/>
      <c r="AZ33" s="1181"/>
      <c r="BA33" s="1181"/>
    </row>
    <row r="34" spans="1:53" ht="17.100000000000001" customHeight="1" thickBot="1">
      <c r="A34" s="674"/>
      <c r="B34" s="2473" t="s">
        <v>1293</v>
      </c>
      <c r="C34" s="2526"/>
      <c r="D34" s="1146" t="s">
        <v>1289</v>
      </c>
      <c r="E34" s="2348" t="s">
        <v>1693</v>
      </c>
      <c r="F34" s="2524"/>
      <c r="G34" s="2480" t="s">
        <v>376</v>
      </c>
      <c r="H34" s="2523"/>
      <c r="I34" s="706"/>
      <c r="J34" s="706"/>
      <c r="K34" s="706"/>
      <c r="L34" s="1300" t="s">
        <v>1613</v>
      </c>
      <c r="M34" s="1301" t="s">
        <v>1286</v>
      </c>
      <c r="N34" s="1302" t="s">
        <v>1287</v>
      </c>
      <c r="O34" s="1186"/>
      <c r="P34" s="1190"/>
      <c r="Q34" s="1380">
        <v>1</v>
      </c>
      <c r="R34" s="1381"/>
      <c r="S34" s="1382"/>
      <c r="T34" s="1383">
        <v>0</v>
      </c>
      <c r="U34" s="1384"/>
      <c r="V34" s="1385"/>
      <c r="W34" s="1385"/>
      <c r="Y34" s="1230">
        <v>3</v>
      </c>
      <c r="Z34" s="1229" t="s">
        <v>1609</v>
      </c>
      <c r="AA34" s="1227"/>
      <c r="AB34" s="1625">
        <v>0.9</v>
      </c>
      <c r="AH34" s="1181"/>
      <c r="AI34" s="1181"/>
      <c r="AJ34" s="1181"/>
      <c r="AK34" s="1181"/>
      <c r="AL34" s="1181"/>
      <c r="AM34" s="1181"/>
      <c r="AN34" s="1181"/>
      <c r="AO34" s="1181"/>
      <c r="AP34" s="1181"/>
      <c r="AQ34" s="1181"/>
      <c r="AR34" s="1181"/>
      <c r="AS34" s="1181"/>
      <c r="AT34" s="1181"/>
      <c r="AU34" s="1181"/>
      <c r="AV34" s="1181"/>
      <c r="AW34" s="1181"/>
      <c r="AX34" s="1181"/>
      <c r="AY34" s="1181"/>
      <c r="AZ34" s="1181"/>
      <c r="BA34" s="1181"/>
    </row>
    <row r="35" spans="1:53" ht="17.25" customHeight="1">
      <c r="A35" s="674"/>
      <c r="B35" s="2451" t="s">
        <v>148</v>
      </c>
      <c r="C35" s="2452"/>
      <c r="D35" s="327"/>
      <c r="E35" s="2471"/>
      <c r="F35" s="2472"/>
      <c r="G35" s="2519">
        <v>0</v>
      </c>
      <c r="H35" s="2350"/>
      <c r="I35" s="706"/>
      <c r="J35" s="706"/>
      <c r="K35" s="706"/>
      <c r="L35" s="1303">
        <v>4</v>
      </c>
      <c r="M35" s="1304">
        <f>N5*VLOOKUP(L35,Y26:AB28,L35)*R25*G35</f>
        <v>0</v>
      </c>
      <c r="N35" s="1305">
        <f>M35*E35</f>
        <v>0</v>
      </c>
      <c r="O35" s="1179" t="s">
        <v>296</v>
      </c>
      <c r="P35" s="1190"/>
      <c r="Q35" s="1230">
        <v>2</v>
      </c>
      <c r="R35" s="1216" t="s">
        <v>645</v>
      </c>
      <c r="S35" s="1217" t="s">
        <v>646</v>
      </c>
      <c r="T35" s="1218">
        <v>2.5</v>
      </c>
      <c r="U35" s="1219" t="s">
        <v>646</v>
      </c>
      <c r="V35" s="1220">
        <v>16</v>
      </c>
      <c r="W35" s="1220">
        <v>4</v>
      </c>
      <c r="Y35" s="1230">
        <v>4</v>
      </c>
      <c r="Z35" s="1229" t="s">
        <v>1610</v>
      </c>
      <c r="AA35" s="1227"/>
      <c r="AB35" s="1625">
        <v>0.8</v>
      </c>
      <c r="AH35" s="1181"/>
      <c r="AI35" s="1181"/>
      <c r="AJ35" s="1181"/>
      <c r="AK35" s="1181"/>
      <c r="AL35" s="1181"/>
      <c r="AM35" s="1181"/>
      <c r="AN35" s="1181"/>
      <c r="AO35" s="1181"/>
      <c r="AP35" s="1181"/>
      <c r="AQ35" s="1181"/>
      <c r="AR35" s="1181"/>
      <c r="AS35" s="1181"/>
      <c r="AT35" s="1181"/>
      <c r="AU35" s="1181"/>
      <c r="AV35" s="1181"/>
      <c r="AW35" s="1181"/>
      <c r="AX35" s="1181"/>
      <c r="AY35" s="1181"/>
      <c r="AZ35" s="1181"/>
      <c r="BA35" s="1181"/>
    </row>
    <row r="36" spans="1:53" ht="17.25" customHeight="1" thickBot="1">
      <c r="A36" s="674"/>
      <c r="B36" s="2451" t="s">
        <v>148</v>
      </c>
      <c r="C36" s="2452"/>
      <c r="D36" s="327"/>
      <c r="E36" s="2471"/>
      <c r="F36" s="2472"/>
      <c r="G36" s="2349">
        <v>0</v>
      </c>
      <c r="H36" s="2350"/>
      <c r="I36" s="706"/>
      <c r="J36" s="706"/>
      <c r="K36" s="706"/>
      <c r="L36" s="1306">
        <v>4</v>
      </c>
      <c r="M36" s="1307">
        <f>N5*VLOOKUP(L36,Y26:AB28,L36)*R25*G36</f>
        <v>0</v>
      </c>
      <c r="N36" s="1308">
        <f>M36*E36</f>
        <v>0</v>
      </c>
      <c r="O36" s="1179" t="s">
        <v>296</v>
      </c>
      <c r="P36" s="1190"/>
      <c r="Q36" s="1230">
        <v>3</v>
      </c>
      <c r="R36" s="1216" t="s">
        <v>647</v>
      </c>
      <c r="S36" s="1221">
        <v>5.5</v>
      </c>
      <c r="T36" s="1218">
        <v>2.5</v>
      </c>
      <c r="U36" s="1222">
        <v>16</v>
      </c>
      <c r="V36" s="1220">
        <v>16</v>
      </c>
      <c r="W36" s="1220">
        <v>4</v>
      </c>
      <c r="Y36" s="1231">
        <v>5</v>
      </c>
      <c r="Z36" s="1232" t="s">
        <v>108</v>
      </c>
      <c r="AA36" s="1233"/>
      <c r="AB36" s="1626">
        <v>0.65</v>
      </c>
      <c r="AH36" s="1181"/>
      <c r="AI36" s="1181"/>
      <c r="AJ36" s="1181"/>
      <c r="AK36" s="1181"/>
      <c r="AL36" s="1181"/>
      <c r="AM36" s="1181"/>
      <c r="AN36" s="1181"/>
      <c r="AO36" s="1181"/>
      <c r="AP36" s="1181"/>
      <c r="AQ36" s="1181"/>
      <c r="AR36" s="1181"/>
      <c r="AS36" s="1181"/>
      <c r="AT36" s="1181"/>
      <c r="AU36" s="1181"/>
      <c r="AV36" s="1181"/>
      <c r="AW36" s="1181"/>
      <c r="AX36" s="1181"/>
      <c r="AY36" s="1181"/>
      <c r="AZ36" s="1181"/>
      <c r="BA36" s="1181"/>
    </row>
    <row r="37" spans="1:53" ht="17.25" customHeight="1">
      <c r="A37" s="674"/>
      <c r="B37" s="2451" t="s">
        <v>148</v>
      </c>
      <c r="C37" s="2452"/>
      <c r="D37" s="327"/>
      <c r="E37" s="2471"/>
      <c r="F37" s="2472"/>
      <c r="G37" s="2349">
        <v>0</v>
      </c>
      <c r="H37" s="2350"/>
      <c r="I37" s="706"/>
      <c r="J37" s="706"/>
      <c r="K37" s="706"/>
      <c r="L37" s="1306">
        <v>4</v>
      </c>
      <c r="M37" s="1307">
        <f>N5*VLOOKUP(L37,Y26:AB28,L37)*R25*G37</f>
        <v>0</v>
      </c>
      <c r="N37" s="1308">
        <f>M37*E37</f>
        <v>0</v>
      </c>
      <c r="O37" s="1179" t="s">
        <v>296</v>
      </c>
      <c r="P37" s="1190"/>
      <c r="Q37" s="1230">
        <v>4</v>
      </c>
      <c r="R37" s="1216" t="s">
        <v>648</v>
      </c>
      <c r="S37" s="1221">
        <v>4.5</v>
      </c>
      <c r="T37" s="1218">
        <v>2.5</v>
      </c>
      <c r="U37" s="1222">
        <v>12</v>
      </c>
      <c r="V37" s="1220">
        <v>12</v>
      </c>
      <c r="W37" s="1220">
        <v>2.5</v>
      </c>
      <c r="AH37" s="1181"/>
      <c r="AI37" s="1181"/>
      <c r="AJ37" s="1181"/>
      <c r="AK37" s="1181"/>
      <c r="AL37" s="1181"/>
      <c r="AM37" s="1181"/>
      <c r="AN37" s="1181"/>
      <c r="AO37" s="1181"/>
      <c r="AP37" s="1181"/>
      <c r="AQ37" s="1181"/>
      <c r="AR37" s="1181"/>
      <c r="AS37" s="1181"/>
      <c r="AT37" s="1181"/>
      <c r="AU37" s="1181"/>
      <c r="AV37" s="1181"/>
      <c r="AW37" s="1181"/>
      <c r="AX37" s="1181"/>
      <c r="AY37" s="1181"/>
      <c r="AZ37" s="1181"/>
      <c r="BA37" s="1181"/>
    </row>
    <row r="38" spans="1:53" ht="17.25" customHeight="1" thickBot="1">
      <c r="A38" s="674"/>
      <c r="B38" s="2451" t="s">
        <v>148</v>
      </c>
      <c r="C38" s="2452"/>
      <c r="D38" s="329"/>
      <c r="E38" s="2478"/>
      <c r="F38" s="2479"/>
      <c r="G38" s="2349">
        <v>0</v>
      </c>
      <c r="H38" s="2350"/>
      <c r="I38" s="706"/>
      <c r="J38" s="706"/>
      <c r="K38" s="706"/>
      <c r="L38" s="1309">
        <v>4</v>
      </c>
      <c r="M38" s="1310">
        <f>N5*VLOOKUP(L38,Y26:AB28,L38)*R25*G38</f>
        <v>0</v>
      </c>
      <c r="N38" s="1311">
        <f>M38*E38</f>
        <v>0</v>
      </c>
      <c r="O38" s="1179" t="s">
        <v>296</v>
      </c>
      <c r="P38" s="1190"/>
      <c r="Q38" s="1230">
        <v>5</v>
      </c>
      <c r="R38" s="1216" t="s">
        <v>649</v>
      </c>
      <c r="S38" s="1221">
        <v>4</v>
      </c>
      <c r="T38" s="1218">
        <v>2</v>
      </c>
      <c r="U38" s="1222">
        <v>9</v>
      </c>
      <c r="V38" s="1220">
        <v>9</v>
      </c>
      <c r="W38" s="1220">
        <v>2</v>
      </c>
      <c r="AH38" s="1181"/>
      <c r="AI38" s="1181"/>
      <c r="AJ38" s="1181"/>
      <c r="AK38" s="1181"/>
      <c r="AL38" s="1181"/>
      <c r="AM38" s="1181"/>
      <c r="AN38" s="1181"/>
      <c r="AO38" s="1181"/>
      <c r="AP38" s="1181"/>
      <c r="AQ38" s="1181"/>
      <c r="AR38" s="1181"/>
      <c r="AS38" s="1181"/>
      <c r="AT38" s="1181"/>
      <c r="AU38" s="1181"/>
      <c r="AV38" s="1181"/>
      <c r="AW38" s="1181"/>
      <c r="AX38" s="1181"/>
      <c r="AY38" s="1181"/>
      <c r="AZ38" s="1181"/>
      <c r="BA38" s="1181"/>
    </row>
    <row r="39" spans="1:53" ht="20.25" customHeight="1" thickBot="1">
      <c r="A39" s="674"/>
      <c r="B39" s="1147"/>
      <c r="C39" s="1148"/>
      <c r="D39" s="1148"/>
      <c r="E39" s="1148"/>
      <c r="F39" s="1149"/>
      <c r="G39" s="2377">
        <f>SUM(G35:G38)</f>
        <v>0</v>
      </c>
      <c r="H39" s="2371"/>
      <c r="I39" s="2396" t="str">
        <f>IF(SUM(G35:H38)=1,"",IF(OR(AND(ISBLANK(G35),ISBLANK(G36),ISBLANK(G37),ISBLANK(G38))=TRUE,G35+G36+G37+G38=0=TRUE),"No Indoor Taps","ERROR: 100% required"))</f>
        <v>No Indoor Taps</v>
      </c>
      <c r="J39" s="2396"/>
      <c r="K39" s="1499"/>
      <c r="L39" s="1189"/>
      <c r="M39" s="1189"/>
      <c r="N39" s="1179"/>
      <c r="O39" s="1183"/>
      <c r="P39" s="1190"/>
      <c r="Q39" s="1230">
        <v>6</v>
      </c>
      <c r="R39" s="1216" t="s">
        <v>650</v>
      </c>
      <c r="S39" s="1221">
        <v>3.5</v>
      </c>
      <c r="T39" s="1218">
        <v>1.5</v>
      </c>
      <c r="U39" s="1222">
        <v>7.5</v>
      </c>
      <c r="V39" s="1220">
        <v>9</v>
      </c>
      <c r="W39" s="1220">
        <v>1.5</v>
      </c>
      <c r="Y39" s="2563" t="s">
        <v>1463</v>
      </c>
      <c r="Z39" s="2564"/>
      <c r="AH39" s="1181"/>
      <c r="AI39" s="1181"/>
      <c r="AJ39" s="1181"/>
      <c r="AK39" s="1181"/>
      <c r="AL39" s="1181"/>
      <c r="AM39" s="1181"/>
      <c r="AN39" s="1181"/>
      <c r="AO39" s="1181"/>
      <c r="AP39" s="1181"/>
      <c r="AQ39" s="1181"/>
      <c r="AR39" s="1181"/>
      <c r="AS39" s="1181"/>
      <c r="AT39" s="1181"/>
      <c r="AU39" s="1181"/>
      <c r="AV39" s="1181"/>
      <c r="AW39" s="1181"/>
      <c r="AX39" s="1181"/>
      <c r="AY39" s="1181"/>
      <c r="AZ39" s="1181"/>
      <c r="BA39" s="1181"/>
    </row>
    <row r="40" spans="1:53" ht="20.25" customHeight="1" thickBot="1">
      <c r="A40" s="674"/>
      <c r="B40" s="2382" t="s">
        <v>939</v>
      </c>
      <c r="C40" s="2383"/>
      <c r="D40" s="2383"/>
      <c r="E40" s="2383"/>
      <c r="F40" s="2383"/>
      <c r="G40" s="2453">
        <f>IF(TYPE(N40/H4)=16,0,N40/H4)</f>
        <v>0</v>
      </c>
      <c r="H40" s="2454"/>
      <c r="I40" s="708" t="str">
        <f>IF(I39="No Indoor Taps","",IF(TYPE(N40/$H$4)=16,"Error",""))</f>
        <v/>
      </c>
      <c r="J40" s="703"/>
      <c r="K40" s="703"/>
      <c r="L40" s="1179"/>
      <c r="M40" s="1299" t="s">
        <v>591</v>
      </c>
      <c r="N40" s="1338">
        <f>SUM(N35:N38)</f>
        <v>0</v>
      </c>
      <c r="O40" s="1191" t="s">
        <v>377</v>
      </c>
      <c r="Q40" s="1230">
        <v>7</v>
      </c>
      <c r="R40" s="1216" t="s">
        <v>651</v>
      </c>
      <c r="S40" s="1221">
        <v>3</v>
      </c>
      <c r="T40" s="1218">
        <v>1</v>
      </c>
      <c r="U40" s="1222">
        <v>6</v>
      </c>
      <c r="V40" s="1220">
        <v>9</v>
      </c>
      <c r="W40" s="1220">
        <v>1</v>
      </c>
      <c r="Y40" s="1234">
        <v>1</v>
      </c>
      <c r="Z40" s="1396" t="s">
        <v>265</v>
      </c>
      <c r="AH40" s="1181"/>
      <c r="AI40" s="1181"/>
      <c r="AJ40" s="1181"/>
      <c r="AK40" s="1181"/>
      <c r="AL40" s="1181"/>
      <c r="AM40" s="1181"/>
      <c r="AN40" s="1181"/>
      <c r="AO40" s="1181"/>
      <c r="AP40" s="1181"/>
      <c r="AQ40" s="1181"/>
      <c r="AR40" s="1181"/>
      <c r="AS40" s="1181"/>
      <c r="AT40" s="1181"/>
      <c r="AU40" s="1181"/>
      <c r="AV40" s="1181"/>
      <c r="AW40" s="1181"/>
      <c r="AX40" s="1181"/>
      <c r="AY40" s="1181"/>
      <c r="AZ40" s="1181"/>
      <c r="BA40" s="1181"/>
    </row>
    <row r="41" spans="1:53" ht="12" customHeight="1" thickBot="1">
      <c r="A41" s="674"/>
      <c r="B41" s="668"/>
      <c r="C41" s="670"/>
      <c r="D41" s="670"/>
      <c r="E41" s="671"/>
      <c r="F41" s="672"/>
      <c r="G41" s="672"/>
      <c r="H41" s="672"/>
      <c r="I41" s="704"/>
      <c r="J41" s="706"/>
      <c r="K41" s="706"/>
      <c r="L41" s="1189"/>
      <c r="M41" s="1189"/>
      <c r="N41" s="1347" t="e">
        <f>$N$40/$H$4</f>
        <v>#DIV/0!</v>
      </c>
      <c r="O41" s="1184" t="s">
        <v>1564</v>
      </c>
      <c r="P41" s="1190"/>
      <c r="Q41" s="1230">
        <v>8</v>
      </c>
      <c r="R41" s="1216" t="s">
        <v>652</v>
      </c>
      <c r="S41" s="1221">
        <v>2.5</v>
      </c>
      <c r="T41" s="1218">
        <v>1</v>
      </c>
      <c r="U41" s="1222">
        <v>4.5</v>
      </c>
      <c r="V41" s="1220">
        <v>9</v>
      </c>
      <c r="W41" s="1220">
        <v>0.75</v>
      </c>
      <c r="Y41" s="1235">
        <v>2</v>
      </c>
      <c r="Z41" s="1627" t="s">
        <v>65</v>
      </c>
      <c r="AH41" s="1181"/>
      <c r="AI41" s="1181"/>
      <c r="AJ41" s="1181"/>
      <c r="AK41" s="1181"/>
      <c r="AL41" s="1181"/>
      <c r="AM41" s="1181"/>
      <c r="AN41" s="1181"/>
      <c r="AO41" s="1181"/>
      <c r="AP41" s="1181"/>
      <c r="AQ41" s="1181"/>
      <c r="AR41" s="1181"/>
      <c r="AS41" s="1181"/>
      <c r="AT41" s="1181"/>
      <c r="AU41" s="1181"/>
      <c r="AV41" s="1181"/>
      <c r="AW41" s="1181"/>
      <c r="AX41" s="1181"/>
      <c r="AY41" s="1181"/>
      <c r="AZ41" s="1181"/>
      <c r="BA41" s="1181"/>
    </row>
    <row r="42" spans="1:53" ht="17.100000000000001" customHeight="1" thickBot="1">
      <c r="A42" s="674"/>
      <c r="B42" s="1157" t="s">
        <v>637</v>
      </c>
      <c r="C42" s="1158"/>
      <c r="D42" s="1158"/>
      <c r="E42" s="1159"/>
      <c r="F42" s="1160"/>
      <c r="G42" s="1160"/>
      <c r="H42" s="1161"/>
      <c r="I42" s="704"/>
      <c r="J42" s="706"/>
      <c r="K42" s="706"/>
      <c r="L42" s="1189"/>
      <c r="M42" s="1189"/>
      <c r="N42" s="1186"/>
      <c r="O42" s="1186"/>
      <c r="P42" s="1190"/>
      <c r="Q42" s="1378">
        <v>9</v>
      </c>
      <c r="R42" s="1223" t="s">
        <v>653</v>
      </c>
      <c r="S42" s="1224" t="s">
        <v>814</v>
      </c>
      <c r="T42" s="1224" t="s">
        <v>814</v>
      </c>
      <c r="U42" s="1225" t="s">
        <v>814</v>
      </c>
      <c r="V42" s="1226" t="s">
        <v>814</v>
      </c>
      <c r="W42" s="1226" t="s">
        <v>814</v>
      </c>
      <c r="AH42" s="1181"/>
      <c r="AI42" s="1181"/>
      <c r="AJ42" s="1181"/>
      <c r="AK42" s="1181"/>
      <c r="AL42" s="1181"/>
      <c r="AM42" s="1181"/>
      <c r="AN42" s="1181"/>
      <c r="AO42" s="1181"/>
      <c r="AP42" s="1181"/>
      <c r="AQ42" s="1181"/>
      <c r="AR42" s="1181"/>
      <c r="AS42" s="1181"/>
      <c r="AT42" s="1181"/>
      <c r="AU42" s="1181"/>
      <c r="AV42" s="1181"/>
      <c r="AW42" s="1181"/>
      <c r="AX42" s="1181"/>
      <c r="AY42" s="1181"/>
      <c r="AZ42" s="1181"/>
      <c r="BA42" s="1181"/>
    </row>
    <row r="43" spans="1:53" ht="17.100000000000001" customHeight="1" thickBot="1">
      <c r="A43" s="674"/>
      <c r="B43" s="2473" t="s">
        <v>1293</v>
      </c>
      <c r="C43" s="2474"/>
      <c r="D43" s="2475"/>
      <c r="E43" s="2348" t="s">
        <v>378</v>
      </c>
      <c r="F43" s="2522"/>
      <c r="G43" s="2480" t="s">
        <v>1387</v>
      </c>
      <c r="H43" s="2481"/>
      <c r="I43" s="706"/>
      <c r="J43" s="706"/>
      <c r="K43" s="706"/>
      <c r="L43" s="1300" t="s">
        <v>378</v>
      </c>
      <c r="M43" s="1301" t="s">
        <v>1286</v>
      </c>
      <c r="N43" s="1302" t="s">
        <v>1287</v>
      </c>
      <c r="P43" s="1190"/>
      <c r="Q43" s="1379">
        <v>10</v>
      </c>
      <c r="R43" s="1223" t="s">
        <v>815</v>
      </c>
      <c r="S43" s="1224" t="s">
        <v>816</v>
      </c>
      <c r="T43" s="1224">
        <v>0</v>
      </c>
      <c r="U43" s="1225" t="s">
        <v>816</v>
      </c>
      <c r="V43" s="1226" t="s">
        <v>816</v>
      </c>
      <c r="W43" s="1226" t="s">
        <v>816</v>
      </c>
      <c r="AH43" s="1181"/>
      <c r="AI43" s="1181"/>
      <c r="AJ43" s="1181"/>
      <c r="AK43" s="1181"/>
      <c r="AL43" s="1181"/>
      <c r="AM43" s="1181"/>
      <c r="AN43" s="1181"/>
      <c r="AO43" s="1181"/>
      <c r="AP43" s="1181"/>
      <c r="AQ43" s="1181"/>
      <c r="AR43" s="1181"/>
      <c r="AS43" s="1181"/>
      <c r="AT43" s="1181"/>
      <c r="AU43" s="1181"/>
      <c r="AV43" s="1181"/>
      <c r="AW43" s="1181"/>
      <c r="AX43" s="1181"/>
      <c r="AY43" s="1181"/>
      <c r="AZ43" s="1181"/>
      <c r="BA43" s="1181"/>
    </row>
    <row r="44" spans="1:53" ht="17.25" customHeight="1" thickBot="1">
      <c r="A44" s="674"/>
      <c r="B44" s="2364" t="s">
        <v>148</v>
      </c>
      <c r="C44" s="2365"/>
      <c r="D44" s="2366"/>
      <c r="E44" s="2471"/>
      <c r="F44" s="2472"/>
      <c r="G44" s="2349">
        <v>0</v>
      </c>
      <c r="H44" s="2350"/>
      <c r="I44" s="706"/>
      <c r="J44" s="706"/>
      <c r="K44" s="706"/>
      <c r="L44" s="1339">
        <f>E44</f>
        <v>0</v>
      </c>
      <c r="M44" s="1342">
        <f>$N$5*$R$22*$R$21*G44</f>
        <v>0</v>
      </c>
      <c r="N44" s="1343">
        <f>M44*L44</f>
        <v>0</v>
      </c>
      <c r="O44" s="1179" t="s">
        <v>296</v>
      </c>
      <c r="P44" s="1190"/>
      <c r="Q44" s="1379"/>
      <c r="R44" s="1223"/>
      <c r="S44" s="1224"/>
      <c r="T44" s="1224"/>
      <c r="U44" s="1225"/>
      <c r="V44" s="1226"/>
      <c r="W44" s="1226"/>
      <c r="AH44" s="1181"/>
      <c r="AI44" s="1181"/>
      <c r="AJ44" s="1181"/>
      <c r="AK44" s="1181"/>
      <c r="AL44" s="1181"/>
      <c r="AM44" s="1181"/>
      <c r="AN44" s="1181"/>
      <c r="AO44" s="1181"/>
      <c r="AP44" s="1181"/>
      <c r="AQ44" s="1181"/>
      <c r="AR44" s="1181"/>
      <c r="AS44" s="1181"/>
      <c r="AT44" s="1181"/>
      <c r="AU44" s="1181"/>
      <c r="AV44" s="1181"/>
      <c r="AW44" s="1181"/>
      <c r="AX44" s="1181"/>
      <c r="AY44" s="1181"/>
      <c r="AZ44" s="1181"/>
      <c r="BA44" s="1181"/>
    </row>
    <row r="45" spans="1:53" ht="17.25" customHeight="1">
      <c r="A45" s="674"/>
      <c r="B45" s="2364" t="s">
        <v>148</v>
      </c>
      <c r="C45" s="2365"/>
      <c r="D45" s="2366"/>
      <c r="E45" s="2471"/>
      <c r="F45" s="2472"/>
      <c r="G45" s="2349">
        <v>0</v>
      </c>
      <c r="H45" s="2350"/>
      <c r="I45" s="706"/>
      <c r="J45" s="706"/>
      <c r="K45" s="706"/>
      <c r="L45" s="1340">
        <f>E45</f>
        <v>0</v>
      </c>
      <c r="M45" s="1344">
        <f>$N$5*$R$22*$R$21*G45</f>
        <v>0</v>
      </c>
      <c r="N45" s="1334">
        <f>M45*L45</f>
        <v>0</v>
      </c>
      <c r="O45" s="1179" t="s">
        <v>296</v>
      </c>
      <c r="P45" s="1190"/>
      <c r="AH45" s="1181"/>
      <c r="AI45" s="1181"/>
      <c r="AJ45" s="1181"/>
      <c r="AK45" s="1181"/>
      <c r="AL45" s="1181"/>
      <c r="AM45" s="1181"/>
      <c r="AN45" s="1181"/>
      <c r="AO45" s="1181"/>
      <c r="AP45" s="1181"/>
      <c r="AQ45" s="1181"/>
      <c r="AR45" s="1181"/>
      <c r="AS45" s="1181"/>
      <c r="AT45" s="1181"/>
      <c r="AU45" s="1181"/>
      <c r="AV45" s="1181"/>
      <c r="AW45" s="1181"/>
      <c r="AX45" s="1181"/>
      <c r="AY45" s="1181"/>
      <c r="AZ45" s="1181"/>
      <c r="BA45" s="1181"/>
    </row>
    <row r="46" spans="1:53" ht="17.25" customHeight="1">
      <c r="A46" s="674"/>
      <c r="B46" s="2364" t="s">
        <v>148</v>
      </c>
      <c r="C46" s="2365"/>
      <c r="D46" s="2366"/>
      <c r="E46" s="2471"/>
      <c r="F46" s="2472"/>
      <c r="G46" s="2349">
        <v>0</v>
      </c>
      <c r="H46" s="2350"/>
      <c r="I46" s="706"/>
      <c r="J46" s="706"/>
      <c r="K46" s="706"/>
      <c r="L46" s="1340">
        <f>E46</f>
        <v>0</v>
      </c>
      <c r="M46" s="1344">
        <f>$N$5*$R$22*$R$21*G46</f>
        <v>0</v>
      </c>
      <c r="N46" s="1334">
        <f>M46*L46</f>
        <v>0</v>
      </c>
      <c r="O46" s="1179" t="s">
        <v>296</v>
      </c>
      <c r="P46" s="1190"/>
      <c r="AH46" s="1181"/>
      <c r="AI46" s="1181"/>
      <c r="AJ46" s="1181"/>
      <c r="AK46" s="1181"/>
      <c r="AL46" s="1181"/>
      <c r="AM46" s="1181"/>
      <c r="AN46" s="1181"/>
      <c r="AO46" s="1181"/>
      <c r="AP46" s="1181"/>
      <c r="AQ46" s="1181"/>
      <c r="AR46" s="1181"/>
      <c r="AS46" s="1181"/>
      <c r="AT46" s="1181"/>
      <c r="AU46" s="1181"/>
      <c r="AV46" s="1181"/>
      <c r="AW46" s="1181"/>
      <c r="AX46" s="1181"/>
      <c r="AY46" s="1181"/>
      <c r="AZ46" s="1181"/>
      <c r="BA46" s="1181"/>
    </row>
    <row r="47" spans="1:53" ht="18" customHeight="1" thickBot="1">
      <c r="A47" s="674"/>
      <c r="B47" s="2364" t="s">
        <v>148</v>
      </c>
      <c r="C47" s="2365"/>
      <c r="D47" s="2366"/>
      <c r="E47" s="2478"/>
      <c r="F47" s="2479"/>
      <c r="G47" s="2349">
        <v>0</v>
      </c>
      <c r="H47" s="2350"/>
      <c r="I47" s="706"/>
      <c r="J47" s="706"/>
      <c r="K47" s="706"/>
      <c r="L47" s="1341">
        <f>E47</f>
        <v>0</v>
      </c>
      <c r="M47" s="1346">
        <f>$N$5*$R$22*$R$21*G47</f>
        <v>0</v>
      </c>
      <c r="N47" s="1345">
        <f>M47*L47</f>
        <v>0</v>
      </c>
      <c r="O47" s="1179" t="s">
        <v>296</v>
      </c>
      <c r="AH47" s="1181"/>
      <c r="AI47" s="1181"/>
      <c r="AJ47" s="1181"/>
      <c r="AK47" s="1181"/>
      <c r="AL47" s="1181"/>
      <c r="AM47" s="1181"/>
      <c r="AN47" s="1181"/>
      <c r="AO47" s="1181"/>
      <c r="AP47" s="1181"/>
      <c r="AQ47" s="1181"/>
      <c r="AR47" s="1181"/>
      <c r="AS47" s="1181"/>
      <c r="AT47" s="1181"/>
      <c r="AU47" s="1181"/>
      <c r="AV47" s="1181"/>
      <c r="AW47" s="1181"/>
      <c r="AX47" s="1181"/>
      <c r="AY47" s="1181"/>
      <c r="AZ47" s="1181"/>
      <c r="BA47" s="1181"/>
    </row>
    <row r="48" spans="1:53" ht="20.25" customHeight="1" thickBot="1">
      <c r="A48" s="674"/>
      <c r="B48" s="1147"/>
      <c r="C48" s="1148"/>
      <c r="D48" s="1148"/>
      <c r="E48" s="1148"/>
      <c r="F48" s="1149"/>
      <c r="G48" s="2377">
        <f>SUM(G44:G47)</f>
        <v>0</v>
      </c>
      <c r="H48" s="2371"/>
      <c r="I48" s="2396" t="str">
        <f>IF(SUM(G44:H47)=1,"",IF(OR(AND(ISBLANK(G44),ISBLANK(G45),ISBLANK(G46),ISBLANK(G47))=TRUE,G44+G45+G46+G47=0=TRUE),"No Showerheads","ERROR: 100% required"))</f>
        <v>No Showerheads</v>
      </c>
      <c r="J48" s="2396"/>
      <c r="K48" s="1499"/>
      <c r="L48" s="1179"/>
      <c r="M48" s="1346">
        <f>SUM(M44:M45)</f>
        <v>0</v>
      </c>
      <c r="N48" s="1338">
        <f>SUM(N44:N47)</f>
        <v>0</v>
      </c>
      <c r="O48" s="1191" t="s">
        <v>1391</v>
      </c>
      <c r="AH48" s="1181"/>
      <c r="AI48" s="1181"/>
      <c r="AJ48" s="1181"/>
      <c r="AK48" s="1181"/>
      <c r="AL48" s="1181"/>
      <c r="AM48" s="1181"/>
      <c r="AN48" s="1181"/>
      <c r="AO48" s="1181"/>
      <c r="AP48" s="1181"/>
      <c r="AQ48" s="1181"/>
      <c r="AR48" s="1181"/>
      <c r="AS48" s="1181"/>
      <c r="AT48" s="1181"/>
      <c r="AU48" s="1181"/>
      <c r="AV48" s="1181"/>
      <c r="AW48" s="1181"/>
      <c r="AX48" s="1181"/>
      <c r="AY48" s="1181"/>
      <c r="AZ48" s="1181"/>
      <c r="BA48" s="1181"/>
    </row>
    <row r="49" spans="1:53" ht="18.75" customHeight="1" thickBot="1">
      <c r="A49" s="674"/>
      <c r="B49" s="2382" t="s">
        <v>940</v>
      </c>
      <c r="C49" s="2383"/>
      <c r="D49" s="2383"/>
      <c r="E49" s="2383"/>
      <c r="F49" s="2383"/>
      <c r="G49" s="2453">
        <f>IF(TYPE(N48/H4)=16,0,N48/H4)</f>
        <v>0</v>
      </c>
      <c r="H49" s="2454"/>
      <c r="I49" s="708" t="str">
        <f>IF(I48="No Showerheads","",IF(TYPE(N48/$H$4)=16,"Error",""))</f>
        <v/>
      </c>
      <c r="J49" s="706"/>
      <c r="K49" s="706"/>
      <c r="L49" s="1179"/>
      <c r="M49" s="1179"/>
      <c r="N49" s="1347" t="e">
        <f>$N$48/$H$4</f>
        <v>#DIV/0!</v>
      </c>
      <c r="O49" s="1184" t="s">
        <v>1564</v>
      </c>
      <c r="AH49" s="1181"/>
      <c r="AI49" s="1181"/>
      <c r="AJ49" s="1181"/>
      <c r="AK49" s="1181"/>
      <c r="AL49" s="1181"/>
      <c r="AM49" s="1181"/>
      <c r="AN49" s="1181"/>
      <c r="AO49" s="1181"/>
      <c r="AP49" s="1181"/>
      <c r="AQ49" s="1181"/>
      <c r="AR49" s="1181"/>
      <c r="AS49" s="1181"/>
      <c r="AT49" s="1181"/>
      <c r="AU49" s="1181"/>
      <c r="AV49" s="1181"/>
      <c r="AW49" s="1181"/>
      <c r="AX49" s="1181"/>
      <c r="AY49" s="1181"/>
      <c r="AZ49" s="1181"/>
      <c r="BA49" s="1181"/>
    </row>
    <row r="50" spans="1:53" ht="12" customHeight="1" thickBot="1">
      <c r="A50" s="674"/>
      <c r="B50" s="668"/>
      <c r="C50" s="676"/>
      <c r="D50" s="676"/>
      <c r="E50" s="676"/>
      <c r="F50" s="676"/>
      <c r="G50" s="676"/>
      <c r="H50" s="676"/>
      <c r="I50" s="709"/>
      <c r="J50" s="706"/>
      <c r="K50" s="706"/>
      <c r="L50" s="1193"/>
      <c r="M50" s="1193"/>
      <c r="N50" s="1179"/>
      <c r="AH50" s="1181"/>
      <c r="AI50" s="1181"/>
      <c r="AJ50" s="1181"/>
      <c r="AK50" s="1181"/>
      <c r="AL50" s="1181"/>
      <c r="AM50" s="1181"/>
      <c r="AN50" s="1181"/>
      <c r="AO50" s="1181"/>
      <c r="AP50" s="1181"/>
      <c r="AQ50" s="1181"/>
      <c r="AR50" s="1181"/>
      <c r="AS50" s="1181"/>
      <c r="AT50" s="1181"/>
      <c r="AU50" s="1181"/>
      <c r="AV50" s="1181"/>
      <c r="AW50" s="1181"/>
      <c r="AX50" s="1181"/>
      <c r="AY50" s="1181"/>
      <c r="AZ50" s="1181"/>
      <c r="BA50" s="1181"/>
    </row>
    <row r="51" spans="1:53" ht="34.5" customHeight="1" thickBot="1">
      <c r="A51" s="674"/>
      <c r="B51" s="2456" t="s">
        <v>941</v>
      </c>
      <c r="C51" s="2457"/>
      <c r="D51" s="2457"/>
      <c r="E51" s="2457"/>
      <c r="F51" s="2457"/>
      <c r="G51" s="2457"/>
      <c r="H51" s="2457"/>
      <c r="I51" s="2458"/>
      <c r="J51" s="706"/>
      <c r="K51" s="706"/>
      <c r="L51" s="1194"/>
      <c r="M51" s="1195"/>
      <c r="N51" s="1338">
        <f>$N$48+$N$40+$N$30+$N$17</f>
        <v>0</v>
      </c>
      <c r="O51" s="1348" t="s">
        <v>1565</v>
      </c>
      <c r="AH51" s="1181"/>
      <c r="AI51" s="1181"/>
      <c r="AJ51" s="1181"/>
      <c r="AK51" s="1181"/>
      <c r="AL51" s="1181"/>
      <c r="AM51" s="1181"/>
      <c r="AN51" s="1181"/>
      <c r="AO51" s="1181"/>
      <c r="AP51" s="1181"/>
      <c r="AQ51" s="1181"/>
      <c r="AR51" s="1181"/>
      <c r="AS51" s="1181"/>
      <c r="AT51" s="1181"/>
      <c r="AU51" s="1181"/>
      <c r="AV51" s="1181"/>
      <c r="AW51" s="1181"/>
      <c r="AX51" s="1181"/>
      <c r="AY51" s="1181"/>
      <c r="AZ51" s="1181"/>
      <c r="BA51" s="1181"/>
    </row>
    <row r="52" spans="1:53" ht="31.5" customHeight="1" thickBot="1">
      <c r="A52" s="674"/>
      <c r="B52" s="2520" t="s">
        <v>981</v>
      </c>
      <c r="C52" s="2521"/>
      <c r="D52" s="2521"/>
      <c r="E52" s="2521"/>
      <c r="F52" s="2521"/>
      <c r="G52" s="2459">
        <f>SUM(G54:H57)</f>
        <v>0</v>
      </c>
      <c r="H52" s="2459"/>
      <c r="I52" s="1166" t="s">
        <v>1133</v>
      </c>
      <c r="J52" s="706"/>
      <c r="K52" s="706"/>
      <c r="L52" s="1194"/>
      <c r="M52" s="1195"/>
      <c r="N52" s="1347" t="e">
        <f>N51/$H$4</f>
        <v>#DIV/0!</v>
      </c>
      <c r="O52" s="1184" t="s">
        <v>1564</v>
      </c>
      <c r="AH52" s="1181"/>
      <c r="AI52" s="1181"/>
      <c r="AJ52" s="1181"/>
      <c r="AK52" s="1181"/>
      <c r="AL52" s="1181"/>
      <c r="AM52" s="1181"/>
      <c r="AN52" s="1181"/>
      <c r="AO52" s="1181"/>
      <c r="AP52" s="1181"/>
      <c r="AQ52" s="1181"/>
      <c r="AR52" s="1181"/>
      <c r="AS52" s="1181"/>
      <c r="AT52" s="1181"/>
      <c r="AU52" s="1181"/>
      <c r="AV52" s="1181"/>
      <c r="AW52" s="1181"/>
      <c r="AX52" s="1181"/>
      <c r="AY52" s="1181"/>
      <c r="AZ52" s="1181"/>
      <c r="BA52" s="1181"/>
    </row>
    <row r="53" spans="1:53" ht="111.75" customHeight="1">
      <c r="A53" s="674"/>
      <c r="B53" s="2476"/>
      <c r="C53" s="2367"/>
      <c r="D53" s="2367"/>
      <c r="E53" s="2367"/>
      <c r="F53" s="2367"/>
      <c r="G53" s="2367"/>
      <c r="H53" s="2367"/>
      <c r="I53" s="2477"/>
      <c r="J53" s="706"/>
      <c r="K53" s="706"/>
      <c r="L53" s="1196"/>
      <c r="M53" s="1195"/>
      <c r="N53" s="1179"/>
      <c r="R53" s="1464"/>
      <c r="AH53" s="1181"/>
      <c r="AI53" s="1181"/>
      <c r="AJ53" s="1181"/>
      <c r="AK53" s="1181"/>
      <c r="AL53" s="1181"/>
      <c r="AM53" s="1181"/>
      <c r="AN53" s="1181"/>
      <c r="AO53" s="1181"/>
      <c r="AP53" s="1181"/>
      <c r="AQ53" s="1181"/>
      <c r="AR53" s="1181"/>
      <c r="AS53" s="1181"/>
      <c r="AT53" s="1181"/>
      <c r="AU53" s="1181"/>
      <c r="AV53" s="1181"/>
      <c r="AW53" s="1181"/>
      <c r="AX53" s="1181"/>
      <c r="AY53" s="1181"/>
      <c r="AZ53" s="1181"/>
      <c r="BA53" s="1181"/>
    </row>
    <row r="54" spans="1:53" ht="17.25" customHeight="1">
      <c r="A54" s="674"/>
      <c r="B54" s="2463" t="s">
        <v>1281</v>
      </c>
      <c r="C54" s="2464"/>
      <c r="D54" s="2465"/>
      <c r="E54" s="1169">
        <f>IF(G52=0,0,G54/$G$52)</f>
        <v>0</v>
      </c>
      <c r="F54" s="1167" t="s">
        <v>1285</v>
      </c>
      <c r="G54" s="2455">
        <f>G18</f>
        <v>0</v>
      </c>
      <c r="H54" s="2455"/>
      <c r="I54" s="1164" t="s">
        <v>1133</v>
      </c>
      <c r="J54" s="710"/>
      <c r="K54" s="710"/>
      <c r="L54" s="1193"/>
      <c r="M54" s="1193"/>
      <c r="N54" s="1179"/>
      <c r="R54" s="1238"/>
      <c r="AH54" s="1181"/>
      <c r="AI54" s="1181"/>
      <c r="AJ54" s="1181"/>
      <c r="AK54" s="1181"/>
      <c r="AL54" s="1181"/>
      <c r="AM54" s="1181"/>
      <c r="AN54" s="1181"/>
      <c r="AO54" s="1181"/>
      <c r="AP54" s="1181"/>
      <c r="AQ54" s="1181"/>
      <c r="AR54" s="1181"/>
      <c r="AS54" s="1181"/>
      <c r="AT54" s="1181"/>
      <c r="AU54" s="1181"/>
      <c r="AV54" s="1181"/>
      <c r="AW54" s="1181"/>
      <c r="AX54" s="1181"/>
      <c r="AY54" s="1181"/>
      <c r="AZ54" s="1181"/>
      <c r="BA54" s="1181"/>
    </row>
    <row r="55" spans="1:53" ht="17.25" customHeight="1">
      <c r="A55" s="674"/>
      <c r="B55" s="2463" t="s">
        <v>1282</v>
      </c>
      <c r="C55" s="2464"/>
      <c r="D55" s="2465"/>
      <c r="E55" s="1169">
        <f>IF(G52=0,0,G55/$G$52)</f>
        <v>0</v>
      </c>
      <c r="F55" s="1167" t="s">
        <v>1285</v>
      </c>
      <c r="G55" s="2455">
        <f>G31</f>
        <v>0</v>
      </c>
      <c r="H55" s="2455"/>
      <c r="I55" s="1164" t="s">
        <v>1133</v>
      </c>
      <c r="J55" s="706"/>
      <c r="K55" s="706"/>
      <c r="L55" s="1179"/>
      <c r="M55" s="1179"/>
      <c r="N55" s="1179"/>
      <c r="R55" s="1238"/>
      <c r="AH55" s="1181"/>
      <c r="AI55" s="1181"/>
      <c r="AJ55" s="1181"/>
      <c r="AK55" s="1181"/>
      <c r="AL55" s="1181"/>
      <c r="AM55" s="1181"/>
      <c r="AN55" s="1181"/>
      <c r="AO55" s="1181"/>
      <c r="AP55" s="1181"/>
      <c r="AQ55" s="1181"/>
      <c r="AR55" s="1181"/>
      <c r="AS55" s="1181"/>
      <c r="AT55" s="1181"/>
      <c r="AU55" s="1181"/>
      <c r="AV55" s="1181"/>
      <c r="AW55" s="1181"/>
      <c r="AX55" s="1181"/>
      <c r="AY55" s="1181"/>
      <c r="AZ55" s="1181"/>
      <c r="BA55" s="1181"/>
    </row>
    <row r="56" spans="1:53" ht="16.5" customHeight="1">
      <c r="A56" s="674"/>
      <c r="B56" s="2463" t="s">
        <v>1283</v>
      </c>
      <c r="C56" s="2464"/>
      <c r="D56" s="2465"/>
      <c r="E56" s="1169">
        <f>IF(G52=0,0,G56/$G$52)</f>
        <v>0</v>
      </c>
      <c r="F56" s="1167" t="s">
        <v>1285</v>
      </c>
      <c r="G56" s="2455">
        <f>G40</f>
        <v>0</v>
      </c>
      <c r="H56" s="2455"/>
      <c r="I56" s="1164" t="s">
        <v>1133</v>
      </c>
      <c r="J56" s="710"/>
      <c r="K56" s="710"/>
      <c r="L56" s="1179"/>
      <c r="M56" s="1179"/>
      <c r="N56" s="1179"/>
      <c r="O56" s="1183"/>
      <c r="R56" s="1238"/>
      <c r="AH56" s="1181"/>
      <c r="AI56" s="1181"/>
      <c r="AJ56" s="1181"/>
      <c r="AK56" s="1181"/>
      <c r="AL56" s="1181"/>
      <c r="AM56" s="1181"/>
      <c r="AN56" s="1181"/>
      <c r="AO56" s="1181"/>
      <c r="AP56" s="1181"/>
      <c r="AQ56" s="1181"/>
      <c r="AR56" s="1181"/>
      <c r="AS56" s="1181"/>
      <c r="AT56" s="1181"/>
      <c r="AU56" s="1181"/>
      <c r="AV56" s="1181"/>
      <c r="AW56" s="1181"/>
      <c r="AX56" s="1181"/>
      <c r="AY56" s="1181"/>
      <c r="AZ56" s="1181"/>
      <c r="BA56" s="1181"/>
    </row>
    <row r="57" spans="1:53" ht="16.5" customHeight="1" thickBot="1">
      <c r="A57" s="674"/>
      <c r="B57" s="2466" t="s">
        <v>1284</v>
      </c>
      <c r="C57" s="2467"/>
      <c r="D57" s="2468"/>
      <c r="E57" s="1170">
        <f>IF(G52=0,0,G57/$G$52)</f>
        <v>0</v>
      </c>
      <c r="F57" s="1168" t="s">
        <v>1285</v>
      </c>
      <c r="G57" s="2469">
        <f>G49</f>
        <v>0</v>
      </c>
      <c r="H57" s="2469"/>
      <c r="I57" s="1165" t="s">
        <v>1133</v>
      </c>
      <c r="J57" s="706"/>
      <c r="K57" s="706"/>
      <c r="L57" s="1179"/>
      <c r="M57" s="1179"/>
      <c r="N57" s="1179"/>
      <c r="R57" s="1238"/>
      <c r="AH57" s="1181"/>
      <c r="AI57" s="1181"/>
      <c r="AJ57" s="1181"/>
      <c r="AK57" s="1181"/>
      <c r="AL57" s="1181"/>
      <c r="AM57" s="1181"/>
      <c r="AN57" s="1181"/>
      <c r="AO57" s="1181"/>
      <c r="AP57" s="1181"/>
      <c r="AQ57" s="1181"/>
      <c r="AR57" s="1181"/>
      <c r="AS57" s="1181"/>
      <c r="AT57" s="1181"/>
      <c r="AU57" s="1181"/>
      <c r="AV57" s="1181"/>
      <c r="AW57" s="1181"/>
      <c r="AX57" s="1181"/>
      <c r="AY57" s="1181"/>
      <c r="AZ57" s="1181"/>
      <c r="BA57" s="1181"/>
    </row>
    <row r="58" spans="1:53" ht="0.75" customHeight="1">
      <c r="A58" s="674"/>
      <c r="B58" s="677"/>
      <c r="C58" s="677"/>
      <c r="D58" s="677"/>
      <c r="E58" s="677"/>
      <c r="F58" s="677"/>
      <c r="G58" s="678"/>
      <c r="H58" s="678"/>
      <c r="I58" s="669"/>
      <c r="J58" s="706"/>
      <c r="K58" s="706"/>
      <c r="L58" s="1179"/>
      <c r="M58" s="1179"/>
      <c r="N58" s="1179"/>
      <c r="R58" s="1238"/>
      <c r="AH58" s="1181"/>
      <c r="AI58" s="1181"/>
      <c r="AJ58" s="1181"/>
      <c r="AK58" s="1181"/>
      <c r="AL58" s="1181"/>
      <c r="AM58" s="1181"/>
      <c r="AN58" s="1181"/>
      <c r="AO58" s="1181"/>
      <c r="AP58" s="1181"/>
      <c r="AQ58" s="1181"/>
      <c r="AR58" s="1181"/>
      <c r="AS58" s="1181"/>
      <c r="AT58" s="1181"/>
      <c r="AU58" s="1181"/>
      <c r="AV58" s="1181"/>
      <c r="AW58" s="1181"/>
      <c r="AX58" s="1181"/>
      <c r="AY58" s="1181"/>
      <c r="AZ58" s="1181"/>
      <c r="BA58" s="1181"/>
    </row>
    <row r="59" spans="1:53" ht="9.75" customHeight="1">
      <c r="A59" s="674"/>
      <c r="B59" s="677"/>
      <c r="C59" s="677"/>
      <c r="D59" s="677"/>
      <c r="E59" s="677"/>
      <c r="F59" s="677"/>
      <c r="G59" s="678"/>
      <c r="H59" s="678"/>
      <c r="I59" s="669"/>
      <c r="J59" s="706"/>
      <c r="K59" s="706"/>
      <c r="L59" s="1179"/>
      <c r="M59" s="1179"/>
      <c r="N59" s="1179"/>
      <c r="AH59" s="1181"/>
      <c r="AI59" s="1181"/>
      <c r="AJ59" s="1181"/>
      <c r="AK59" s="1181"/>
      <c r="AL59" s="1181"/>
      <c r="AM59" s="1181"/>
      <c r="AN59" s="1181"/>
      <c r="AO59" s="1181"/>
      <c r="AP59" s="1181"/>
      <c r="AQ59" s="1983"/>
      <c r="AR59" s="1181"/>
      <c r="AS59" s="1181"/>
      <c r="AT59" s="1181"/>
      <c r="AU59" s="1181"/>
      <c r="AV59" s="1181"/>
      <c r="AW59" s="1181"/>
      <c r="AX59" s="1181"/>
      <c r="AY59" s="1181"/>
      <c r="AZ59" s="1181"/>
      <c r="BA59" s="1181"/>
    </row>
    <row r="60" spans="1:53" ht="21" customHeight="1">
      <c r="A60" s="674"/>
      <c r="B60" s="679"/>
      <c r="C60" s="679"/>
      <c r="D60" s="679"/>
      <c r="E60" s="679"/>
      <c r="F60" s="679"/>
      <c r="G60" s="679"/>
      <c r="H60" s="679"/>
      <c r="I60" s="679"/>
      <c r="J60" s="706"/>
      <c r="K60" s="706"/>
      <c r="L60" s="1179"/>
      <c r="M60" s="1179"/>
      <c r="N60" s="1179"/>
      <c r="R60" s="1465"/>
      <c r="AH60" s="1181"/>
      <c r="AI60" s="1181"/>
      <c r="AJ60" s="1181"/>
      <c r="AK60" s="1181"/>
      <c r="AL60" s="1181"/>
      <c r="AM60" s="1181"/>
      <c r="AN60" s="1181"/>
      <c r="AO60" s="1181"/>
      <c r="AP60" s="1181"/>
      <c r="AQ60" s="1200"/>
      <c r="AR60" s="1181"/>
      <c r="AS60" s="1181"/>
      <c r="AT60" s="1181"/>
      <c r="AU60" s="1181"/>
      <c r="AV60" s="1181"/>
      <c r="AW60" s="1181"/>
      <c r="AX60" s="1181"/>
      <c r="AY60" s="1181"/>
      <c r="AZ60" s="1181"/>
      <c r="BA60" s="1181"/>
    </row>
    <row r="61" spans="1:53" ht="27.75" customHeight="1" thickBot="1">
      <c r="A61" s="2470"/>
      <c r="B61" s="2461" t="s">
        <v>1567</v>
      </c>
      <c r="C61" s="2461"/>
      <c r="D61" s="2461"/>
      <c r="E61" s="2461"/>
      <c r="F61" s="2461"/>
      <c r="G61" s="2461"/>
      <c r="H61" s="2461"/>
      <c r="I61" s="2461"/>
      <c r="J61" s="707"/>
      <c r="K61" s="707"/>
      <c r="L61" s="1179"/>
      <c r="M61" s="1179"/>
      <c r="N61" s="1179"/>
      <c r="R61" s="1465"/>
      <c r="AH61" s="1181"/>
      <c r="AI61" s="1181"/>
      <c r="AJ61" s="1181"/>
      <c r="AK61" s="1181"/>
      <c r="AL61" s="1181"/>
      <c r="AM61" s="1181"/>
      <c r="AN61" s="1181"/>
      <c r="AO61" s="1181"/>
      <c r="AP61" s="1181"/>
      <c r="AQ61" s="1181"/>
      <c r="AR61" s="1181"/>
      <c r="AS61" s="1181"/>
      <c r="AT61" s="1181"/>
      <c r="AU61" s="1181"/>
      <c r="AV61" s="1181"/>
      <c r="AW61" s="1181"/>
      <c r="AX61" s="1181"/>
      <c r="AY61" s="1181"/>
      <c r="AZ61" s="1181"/>
      <c r="BA61" s="1181"/>
    </row>
    <row r="62" spans="1:53" ht="60" customHeight="1" thickBot="1">
      <c r="A62" s="2470"/>
      <c r="B62" s="2359" t="s">
        <v>1566</v>
      </c>
      <c r="C62" s="2442"/>
      <c r="D62" s="2442"/>
      <c r="E62" s="2442"/>
      <c r="F62" s="2442"/>
      <c r="G62" s="2460"/>
      <c r="H62" s="2445"/>
      <c r="I62" s="681"/>
      <c r="J62" s="706"/>
      <c r="K62" s="706"/>
      <c r="L62" s="1298">
        <v>2</v>
      </c>
      <c r="M62" s="1452" t="s">
        <v>775</v>
      </c>
      <c r="R62" s="1465"/>
      <c r="AH62" s="1181"/>
      <c r="AI62" s="1181"/>
      <c r="AJ62" s="1181"/>
      <c r="AK62" s="1181"/>
      <c r="AL62" s="1181"/>
      <c r="AM62" s="1181"/>
      <c r="AN62" s="1181"/>
      <c r="AO62" s="1181"/>
      <c r="AP62" s="1181"/>
      <c r="AQ62" s="1181"/>
      <c r="AR62" s="1181"/>
      <c r="AS62" s="1181"/>
      <c r="AT62" s="1181"/>
      <c r="AU62" s="1181"/>
      <c r="AV62" s="1181"/>
      <c r="AW62" s="1181"/>
      <c r="AX62" s="1181"/>
      <c r="AY62" s="1181"/>
      <c r="AZ62" s="1181"/>
      <c r="BA62" s="1181"/>
    </row>
    <row r="63" spans="1:53" ht="27.75" customHeight="1">
      <c r="A63" s="2470"/>
      <c r="B63" s="2357" t="s">
        <v>1606</v>
      </c>
      <c r="C63" s="2357"/>
      <c r="D63" s="2357"/>
      <c r="E63" s="2357"/>
      <c r="F63" s="2357"/>
      <c r="G63" s="2462"/>
      <c r="H63" s="2462"/>
      <c r="I63" s="681"/>
      <c r="J63" s="706"/>
      <c r="K63" s="706"/>
      <c r="L63" s="1451">
        <f>IF($L$62=1,"-",G63)</f>
        <v>0</v>
      </c>
      <c r="M63" s="1454">
        <f>IF(L62=1,0,(G63*AD85)/1000)</f>
        <v>0</v>
      </c>
      <c r="N63" s="1397">
        <f>(M63/$AD$88)</f>
        <v>0</v>
      </c>
      <c r="AH63" s="1181"/>
      <c r="AI63" s="1181"/>
      <c r="AJ63" s="1181"/>
      <c r="AK63" s="1181"/>
      <c r="AL63" s="1181"/>
      <c r="AM63" s="1181"/>
      <c r="AN63" s="1181"/>
      <c r="AO63" s="1181"/>
      <c r="AP63" s="1181"/>
      <c r="AQ63" s="1181"/>
      <c r="AR63" s="1181"/>
      <c r="AS63" s="1181"/>
      <c r="AT63" s="1181"/>
      <c r="AU63" s="1181"/>
      <c r="AV63" s="1181"/>
      <c r="AW63" s="1181"/>
      <c r="AX63" s="1181"/>
      <c r="AY63" s="1181"/>
      <c r="AZ63" s="1181"/>
      <c r="BA63" s="1181"/>
    </row>
    <row r="64" spans="1:53" ht="27.75" customHeight="1">
      <c r="A64" s="2470"/>
      <c r="B64" s="2357" t="s">
        <v>1607</v>
      </c>
      <c r="C64" s="2357"/>
      <c r="D64" s="2357"/>
      <c r="E64" s="2357"/>
      <c r="F64" s="2357"/>
      <c r="G64" s="2462">
        <v>0</v>
      </c>
      <c r="H64" s="2462"/>
      <c r="I64" s="681"/>
      <c r="J64" s="706"/>
      <c r="K64" s="706"/>
      <c r="L64" s="1335">
        <f>IF($L$62=1,"-",G64)</f>
        <v>0</v>
      </c>
      <c r="M64" s="1455">
        <f>IF(L62=1,0,(G64*$AD$88)/1000)</f>
        <v>0</v>
      </c>
      <c r="N64" s="1458">
        <f>(M64/$AD$88)</f>
        <v>0</v>
      </c>
      <c r="AH64" s="1181"/>
      <c r="AI64" s="1181"/>
      <c r="AJ64" s="1181"/>
      <c r="AK64" s="1181"/>
      <c r="AL64" s="1181"/>
      <c r="AM64" s="1181"/>
      <c r="AN64" s="1181"/>
      <c r="AO64" s="1181"/>
      <c r="AP64" s="1181"/>
      <c r="AQ64" s="1181"/>
      <c r="AR64" s="1181"/>
      <c r="AS64" s="1181"/>
      <c r="AT64" s="1181"/>
      <c r="AU64" s="1181"/>
      <c r="AV64" s="1181"/>
      <c r="AW64" s="1181"/>
      <c r="AX64" s="1181"/>
      <c r="AY64" s="1181"/>
      <c r="AZ64" s="1181"/>
      <c r="BA64" s="1181"/>
    </row>
    <row r="65" spans="1:54" ht="27.75" customHeight="1" thickBot="1">
      <c r="A65" s="2470"/>
      <c r="B65" s="2357" t="s">
        <v>1608</v>
      </c>
      <c r="C65" s="2357"/>
      <c r="D65" s="2357"/>
      <c r="E65" s="2357"/>
      <c r="F65" s="2357"/>
      <c r="G65" s="2462">
        <v>0</v>
      </c>
      <c r="H65" s="2462"/>
      <c r="I65" s="719"/>
      <c r="J65" s="711"/>
      <c r="K65" s="711"/>
      <c r="L65" s="1336">
        <f>IF($L$62=1,"-",G65)</f>
        <v>0</v>
      </c>
      <c r="M65" s="1455">
        <f>IF(L62=1,0,(G65*$AD$88)/1000)</f>
        <v>0</v>
      </c>
      <c r="N65" s="1398">
        <f>(M65/$AD$88)</f>
        <v>0</v>
      </c>
      <c r="AH65" s="1181"/>
      <c r="AI65" s="1181"/>
      <c r="AJ65" s="1181"/>
      <c r="AK65" s="1181"/>
      <c r="AL65" s="1181"/>
      <c r="AM65" s="1181"/>
      <c r="AN65" s="1181"/>
      <c r="AO65" s="1181"/>
      <c r="AP65" s="1181"/>
      <c r="AQ65" s="1181"/>
      <c r="AR65" s="1181"/>
      <c r="AS65" s="1181"/>
      <c r="AT65" s="1181"/>
      <c r="AU65" s="1181"/>
      <c r="AV65" s="1181"/>
      <c r="AW65" s="1181"/>
      <c r="AX65" s="1181"/>
      <c r="AY65" s="1181"/>
      <c r="AZ65" s="1181"/>
      <c r="BA65" s="1181"/>
    </row>
    <row r="66" spans="1:54" ht="27.75" customHeight="1" thickBot="1">
      <c r="A66" s="2470"/>
      <c r="B66" s="2357" t="s">
        <v>1072</v>
      </c>
      <c r="C66" s="2357"/>
      <c r="D66" s="2357"/>
      <c r="E66" s="2357"/>
      <c r="F66" s="2357"/>
      <c r="G66" s="2462">
        <v>0</v>
      </c>
      <c r="H66" s="2462"/>
      <c r="I66" s="681"/>
      <c r="J66" s="706"/>
      <c r="K66" s="706"/>
      <c r="L66" s="1336">
        <f>IF($L$62=1,"-",G66)</f>
        <v>0</v>
      </c>
      <c r="M66" s="1455">
        <f>IF(L62=1,0,(G66*$AD$88)/1000)</f>
        <v>0</v>
      </c>
      <c r="N66" s="1398">
        <f>(M66/$AD$88)</f>
        <v>0</v>
      </c>
      <c r="AH66" s="1181"/>
      <c r="AI66" s="1181"/>
      <c r="AJ66" s="1181"/>
      <c r="AK66" s="1181"/>
      <c r="AL66" s="1181"/>
      <c r="AM66" s="1181"/>
      <c r="AN66" s="1181"/>
      <c r="AO66" s="1181"/>
      <c r="AP66" s="1181"/>
      <c r="AQ66" s="1181"/>
      <c r="AR66" s="1181"/>
      <c r="AS66" s="1181"/>
      <c r="AT66" s="1181"/>
      <c r="AU66" s="1181"/>
      <c r="AV66" s="1181"/>
      <c r="AW66" s="1181"/>
      <c r="AX66" s="1181"/>
      <c r="AY66" s="1181"/>
      <c r="AZ66" s="1181"/>
      <c r="BA66" s="1181"/>
    </row>
    <row r="67" spans="1:54" ht="13.5" customHeight="1" thickBot="1">
      <c r="A67" s="680"/>
      <c r="B67" s="675"/>
      <c r="C67" s="675"/>
      <c r="D67" s="675"/>
      <c r="E67" s="675"/>
      <c r="F67" s="675"/>
      <c r="G67" s="675"/>
      <c r="H67" s="675"/>
      <c r="I67" s="681"/>
      <c r="J67" s="706"/>
      <c r="K67" s="706"/>
      <c r="L67" s="1198"/>
      <c r="M67" s="1491">
        <f>SUM(M63:M66)</f>
        <v>0</v>
      </c>
      <c r="N67" s="1179" t="s">
        <v>1516</v>
      </c>
      <c r="Q67" s="1200"/>
      <c r="R67" s="1200"/>
      <c r="S67" s="1200"/>
      <c r="T67" s="1200"/>
      <c r="U67" s="1200"/>
      <c r="V67" s="1200"/>
      <c r="W67" s="1200"/>
      <c r="X67" s="1200"/>
      <c r="Y67" s="1200"/>
      <c r="Z67" s="1200"/>
      <c r="AA67" s="1200"/>
      <c r="AB67" s="1200"/>
      <c r="AC67" s="1200"/>
      <c r="AD67" s="1200"/>
      <c r="AE67" s="1200"/>
      <c r="AF67" s="1200"/>
      <c r="AG67" s="1200"/>
      <c r="AH67" s="1200"/>
      <c r="AI67" s="1200"/>
      <c r="AJ67" s="1200"/>
      <c r="AK67" s="1200"/>
      <c r="AL67" s="1200"/>
      <c r="AM67" s="1200"/>
      <c r="AN67" s="1200"/>
      <c r="AO67" s="1200"/>
      <c r="AP67" s="1200"/>
      <c r="AQ67" s="1200"/>
      <c r="AR67" s="1200"/>
      <c r="AS67" s="1181"/>
      <c r="AT67" s="1181"/>
      <c r="AU67" s="1181"/>
      <c r="AV67" s="1181"/>
      <c r="AW67" s="1181"/>
      <c r="AX67" s="1181"/>
      <c r="AY67" s="1181"/>
      <c r="AZ67" s="1181"/>
      <c r="BA67" s="1181"/>
    </row>
    <row r="68" spans="1:54" ht="14.25" customHeight="1" thickBot="1">
      <c r="A68" s="680"/>
      <c r="B68" s="675"/>
      <c r="C68" s="675"/>
      <c r="D68" s="675"/>
      <c r="E68" s="675"/>
      <c r="F68" s="675"/>
      <c r="G68" s="675"/>
      <c r="H68" s="675"/>
      <c r="I68" s="681"/>
      <c r="J68" s="706"/>
      <c r="K68" s="706"/>
      <c r="L68" s="1198"/>
      <c r="M68" s="1453" t="e">
        <f>((M67/$AD$88)/$H$4)*1000</f>
        <v>#DIV/0!</v>
      </c>
      <c r="N68" s="1179" t="s">
        <v>1517</v>
      </c>
      <c r="Q68" s="1200"/>
      <c r="R68" s="1200"/>
      <c r="S68" s="1200"/>
      <c r="T68" s="1200"/>
      <c r="U68" s="1200"/>
      <c r="V68" s="1200"/>
      <c r="W68" s="1200"/>
      <c r="X68" s="1200"/>
      <c r="Y68" s="1200"/>
      <c r="Z68" s="1200"/>
      <c r="AA68" s="1200"/>
      <c r="AB68" s="1200"/>
      <c r="AC68" s="1200"/>
      <c r="AD68" s="1200"/>
      <c r="AE68" s="1200"/>
      <c r="AF68" s="1200"/>
      <c r="AG68" s="1200"/>
      <c r="AH68" s="1200"/>
      <c r="AI68" s="1200"/>
      <c r="AJ68" s="1200"/>
      <c r="AK68" s="1200"/>
      <c r="AL68" s="1200"/>
      <c r="AM68" s="1200"/>
      <c r="AN68" s="1200"/>
      <c r="AO68" s="1200"/>
      <c r="AP68" s="1200"/>
      <c r="AQ68" s="1200"/>
      <c r="AR68" s="1200"/>
      <c r="AS68" s="1181"/>
      <c r="AT68" s="1181"/>
      <c r="AU68" s="1181"/>
      <c r="AV68" s="1181"/>
      <c r="AW68" s="1181"/>
      <c r="AX68" s="1181"/>
      <c r="AY68" s="1181"/>
      <c r="AZ68" s="1181"/>
      <c r="BA68" s="1181"/>
    </row>
    <row r="69" spans="1:54" ht="27.75" customHeight="1" thickBot="1">
      <c r="A69" s="2497"/>
      <c r="B69" s="2461" t="s">
        <v>334</v>
      </c>
      <c r="C69" s="2461"/>
      <c r="D69" s="2461"/>
      <c r="E69" s="2461"/>
      <c r="F69" s="2461"/>
      <c r="G69" s="2461"/>
      <c r="H69" s="2461"/>
      <c r="I69" s="2461"/>
      <c r="J69" s="706"/>
      <c r="K69" s="706"/>
      <c r="L69" s="1192"/>
      <c r="M69" s="1179"/>
      <c r="N69" s="1192"/>
      <c r="AH69" s="1766"/>
      <c r="AI69" s="2639" t="s">
        <v>1459</v>
      </c>
      <c r="AJ69" s="2639"/>
      <c r="AK69" s="2639"/>
      <c r="AL69" s="2639"/>
      <c r="AM69" s="2639"/>
      <c r="AN69" s="2639"/>
      <c r="AO69" s="2639"/>
      <c r="AP69" s="2639"/>
      <c r="AQ69" s="2639"/>
      <c r="AR69" s="2639"/>
      <c r="AS69" s="2639"/>
      <c r="AT69" s="2639"/>
      <c r="AU69" s="2639"/>
      <c r="AV69" s="2639"/>
      <c r="AW69" s="2639"/>
      <c r="AX69" s="2639"/>
      <c r="AY69" s="1766"/>
      <c r="AZ69" s="1766"/>
      <c r="BA69" s="1201"/>
      <c r="BB69" s="1490"/>
    </row>
    <row r="70" spans="1:54" ht="27.75" customHeight="1" thickBot="1">
      <c r="A70" s="2497"/>
      <c r="B70" s="2355" t="s">
        <v>767</v>
      </c>
      <c r="C70" s="2356"/>
      <c r="D70" s="2356"/>
      <c r="E70" s="2356"/>
      <c r="F70" s="2356"/>
      <c r="G70" s="2356"/>
      <c r="H70" s="2356"/>
      <c r="I70" s="720"/>
      <c r="J70" s="706"/>
      <c r="K70" s="706"/>
      <c r="L70" s="1179"/>
      <c r="M70" s="1179"/>
      <c r="N70" s="1179"/>
      <c r="Q70" s="1500" t="s">
        <v>1677</v>
      </c>
      <c r="S70" s="1181">
        <f>SUM(S63:S69)</f>
        <v>0</v>
      </c>
      <c r="AH70" s="1766"/>
      <c r="AI70" s="2637"/>
      <c r="AJ70" s="2638"/>
      <c r="AK70" s="1501" t="s">
        <v>575</v>
      </c>
      <c r="AL70" s="1502" t="s">
        <v>576</v>
      </c>
      <c r="AM70" s="1502" t="s">
        <v>577</v>
      </c>
      <c r="AN70" s="1502" t="s">
        <v>578</v>
      </c>
      <c r="AO70" s="1502" t="s">
        <v>579</v>
      </c>
      <c r="AP70" s="1502" t="s">
        <v>580</v>
      </c>
      <c r="AQ70" s="1502" t="s">
        <v>581</v>
      </c>
      <c r="AR70" s="1502" t="s">
        <v>582</v>
      </c>
      <c r="AS70" s="1502" t="s">
        <v>583</v>
      </c>
      <c r="AT70" s="1502" t="s">
        <v>584</v>
      </c>
      <c r="AU70" s="1502" t="s">
        <v>585</v>
      </c>
      <c r="AV70" s="1503" t="s">
        <v>586</v>
      </c>
      <c r="AW70" s="1737"/>
      <c r="AX70" s="1504" t="s">
        <v>1087</v>
      </c>
      <c r="AY70" s="1771"/>
      <c r="AZ70" s="1766"/>
      <c r="BA70" s="1201"/>
      <c r="BB70" s="1490"/>
    </row>
    <row r="71" spans="1:54" ht="34.5" customHeight="1" thickBot="1">
      <c r="A71" s="2497"/>
      <c r="B71" s="2359" t="s">
        <v>768</v>
      </c>
      <c r="C71" s="2442"/>
      <c r="D71" s="2442"/>
      <c r="E71" s="2442"/>
      <c r="F71" s="2442"/>
      <c r="G71" s="2460"/>
      <c r="H71" s="2445"/>
      <c r="I71" s="721"/>
      <c r="J71" s="706"/>
      <c r="K71" s="706"/>
      <c r="L71" s="1297">
        <v>2</v>
      </c>
      <c r="M71" s="1426" t="s">
        <v>804</v>
      </c>
      <c r="N71" s="1361"/>
      <c r="O71" s="1361"/>
      <c r="P71" s="1431"/>
      <c r="Q71" s="1432"/>
      <c r="R71" s="1432"/>
      <c r="S71" s="1432"/>
      <c r="T71" s="1432"/>
      <c r="U71" s="1432"/>
      <c r="V71" s="1432"/>
      <c r="W71" s="1432"/>
      <c r="X71" s="1432"/>
      <c r="Y71" s="1432"/>
      <c r="Z71" s="1432"/>
      <c r="AA71" s="1432"/>
      <c r="AB71" s="1432"/>
      <c r="AC71" s="1432"/>
      <c r="AD71" s="1432"/>
      <c r="AE71" s="1432"/>
      <c r="AF71" s="1433"/>
      <c r="AH71" s="1766"/>
      <c r="AI71" s="2652" t="s">
        <v>1359</v>
      </c>
      <c r="AJ71" s="2653"/>
      <c r="AK71" s="1505">
        <v>31</v>
      </c>
      <c r="AL71" s="1506">
        <v>28</v>
      </c>
      <c r="AM71" s="1506">
        <v>31</v>
      </c>
      <c r="AN71" s="1506">
        <v>30</v>
      </c>
      <c r="AO71" s="1506">
        <v>31</v>
      </c>
      <c r="AP71" s="1506">
        <v>30</v>
      </c>
      <c r="AQ71" s="1506">
        <v>31</v>
      </c>
      <c r="AR71" s="1506">
        <v>31</v>
      </c>
      <c r="AS71" s="1506">
        <v>30</v>
      </c>
      <c r="AT71" s="1506">
        <v>31</v>
      </c>
      <c r="AU71" s="1506">
        <v>30</v>
      </c>
      <c r="AV71" s="1507">
        <v>31</v>
      </c>
      <c r="AW71" s="1738"/>
      <c r="AX71" s="1511">
        <f>SUM(AK71:AV71)</f>
        <v>365</v>
      </c>
      <c r="AY71" s="1771"/>
      <c r="AZ71" s="1766"/>
      <c r="BA71" s="1201"/>
      <c r="BB71" s="1490"/>
    </row>
    <row r="72" spans="1:54" ht="18.75" customHeight="1" thickBot="1">
      <c r="A72" s="2497"/>
      <c r="B72" s="2430" t="s">
        <v>769</v>
      </c>
      <c r="C72" s="2431"/>
      <c r="D72" s="2431"/>
      <c r="E72" s="2431"/>
      <c r="F72" s="2431"/>
      <c r="G72" s="2431"/>
      <c r="H72" s="2431"/>
      <c r="I72" s="722"/>
      <c r="J72" s="706"/>
      <c r="K72" s="706"/>
      <c r="L72" s="2591" t="s">
        <v>1568</v>
      </c>
      <c r="M72" s="2592"/>
      <c r="N72" s="2593" t="s">
        <v>1569</v>
      </c>
      <c r="O72" s="2594"/>
      <c r="P72" s="2601" t="s">
        <v>730</v>
      </c>
      <c r="Q72" s="2602"/>
      <c r="R72" s="2602"/>
      <c r="S72" s="2602"/>
      <c r="T72" s="2602"/>
      <c r="U72" s="2602"/>
      <c r="V72" s="2602"/>
      <c r="W72" s="2602"/>
      <c r="X72" s="2602"/>
      <c r="Y72" s="2602"/>
      <c r="Z72" s="2602"/>
      <c r="AA72" s="2602"/>
      <c r="AB72" s="2603"/>
      <c r="AC72" s="1200"/>
      <c r="AD72" s="1200"/>
      <c r="AE72" s="1200"/>
      <c r="AF72" s="1366"/>
      <c r="AH72" s="1766"/>
      <c r="AI72" s="2652" t="s">
        <v>1358</v>
      </c>
      <c r="AJ72" s="2653"/>
      <c r="AK72" s="1508">
        <v>21</v>
      </c>
      <c r="AL72" s="1509">
        <v>20</v>
      </c>
      <c r="AM72" s="1509">
        <v>23</v>
      </c>
      <c r="AN72" s="1509">
        <v>22</v>
      </c>
      <c r="AO72" s="1509">
        <v>21</v>
      </c>
      <c r="AP72" s="1509">
        <v>22</v>
      </c>
      <c r="AQ72" s="1509">
        <v>22</v>
      </c>
      <c r="AR72" s="1509">
        <v>22</v>
      </c>
      <c r="AS72" s="1509">
        <v>22</v>
      </c>
      <c r="AT72" s="1509">
        <v>21</v>
      </c>
      <c r="AU72" s="1509">
        <v>22</v>
      </c>
      <c r="AV72" s="1510">
        <v>23</v>
      </c>
      <c r="AW72" s="1739"/>
      <c r="AX72" s="1512">
        <f>SUM(AK72:AV72)</f>
        <v>261</v>
      </c>
      <c r="AY72" s="1771"/>
      <c r="AZ72" s="1766"/>
      <c r="BA72" s="1201"/>
      <c r="BB72" s="1490"/>
    </row>
    <row r="73" spans="1:54" ht="18" customHeight="1" thickBot="1">
      <c r="A73" s="2497"/>
      <c r="B73" s="2118"/>
      <c r="C73" s="2119" t="s">
        <v>731</v>
      </c>
      <c r="D73" s="2119"/>
      <c r="E73" s="2120" t="s">
        <v>1513</v>
      </c>
      <c r="F73" s="2119"/>
      <c r="G73" s="2119"/>
      <c r="H73" s="2121"/>
      <c r="I73" s="720"/>
      <c r="J73" s="712"/>
      <c r="K73" s="712"/>
      <c r="L73" s="1351" t="b">
        <v>0</v>
      </c>
      <c r="M73" s="1352" t="b">
        <v>0</v>
      </c>
      <c r="N73" s="1459">
        <f>IF(L71=1,0,IF(L73,(T112/AX72)/1000,0))</f>
        <v>0</v>
      </c>
      <c r="O73" s="1466">
        <f>IF(L71=1,0,IF(M73,(W112/AX72)/1000,0))</f>
        <v>0</v>
      </c>
      <c r="P73" s="2595" t="s">
        <v>803</v>
      </c>
      <c r="Q73" s="2596"/>
      <c r="R73" s="2596"/>
      <c r="S73" s="2596"/>
      <c r="T73" s="2596"/>
      <c r="U73" s="2596"/>
      <c r="V73" s="2596"/>
      <c r="W73" s="2596"/>
      <c r="X73" s="2596"/>
      <c r="Y73" s="2596"/>
      <c r="Z73" s="2596"/>
      <c r="AA73" s="2596"/>
      <c r="AB73" s="2597"/>
      <c r="AC73" s="1200"/>
      <c r="AD73" s="1200"/>
      <c r="AE73" s="1200"/>
      <c r="AF73" s="1366"/>
      <c r="AH73" s="1771"/>
      <c r="AI73" s="2587" t="s">
        <v>1460</v>
      </c>
      <c r="AJ73" s="2588"/>
      <c r="AK73" s="2589"/>
      <c r="AL73" s="2589"/>
      <c r="AM73" s="2589"/>
      <c r="AN73" s="2589"/>
      <c r="AO73" s="2589"/>
      <c r="AP73" s="2589"/>
      <c r="AQ73" s="2589"/>
      <c r="AR73" s="2589"/>
      <c r="AS73" s="2589"/>
      <c r="AT73" s="2589"/>
      <c r="AU73" s="2589"/>
      <c r="AV73" s="2589"/>
      <c r="AW73" s="2589"/>
      <c r="AX73" s="2590"/>
      <c r="AY73" s="1771"/>
      <c r="AZ73" s="1771"/>
      <c r="BA73" s="1201"/>
      <c r="BB73" s="1490"/>
    </row>
    <row r="74" spans="1:54" ht="21" customHeight="1">
      <c r="A74" s="2497"/>
      <c r="B74" s="2118"/>
      <c r="C74" s="2120" t="s">
        <v>732</v>
      </c>
      <c r="D74" s="2119"/>
      <c r="E74" s="2120" t="s">
        <v>1514</v>
      </c>
      <c r="F74" s="2119"/>
      <c r="G74" s="2119"/>
      <c r="H74" s="2121"/>
      <c r="I74" s="720"/>
      <c r="J74" s="712"/>
      <c r="K74" s="712"/>
      <c r="L74" s="1349" t="b">
        <v>0</v>
      </c>
      <c r="M74" s="1353" t="b">
        <v>0</v>
      </c>
      <c r="N74" s="1748">
        <f>IF(L71=1,0,IF(L74,(U112/AX72)/1000,0))</f>
        <v>0</v>
      </c>
      <c r="O74" s="1749">
        <f>IF(L71=1,0,IF(M74,(X112/AX72)/1000,0))</f>
        <v>0</v>
      </c>
      <c r="P74" s="2598"/>
      <c r="Q74" s="2599"/>
      <c r="R74" s="2599"/>
      <c r="S74" s="2599"/>
      <c r="T74" s="2599"/>
      <c r="U74" s="2599"/>
      <c r="V74" s="2599"/>
      <c r="W74" s="2599"/>
      <c r="X74" s="2599"/>
      <c r="Y74" s="2599"/>
      <c r="Z74" s="2599"/>
      <c r="AA74" s="2599"/>
      <c r="AB74" s="2600"/>
      <c r="AC74" s="1200"/>
      <c r="AD74" s="1200"/>
      <c r="AE74" s="1200"/>
      <c r="AF74" s="1366"/>
      <c r="AH74" s="1766"/>
      <c r="AI74" s="2553" t="s">
        <v>1360</v>
      </c>
      <c r="AJ74" s="2554"/>
      <c r="AK74" s="1603">
        <f>AK72*$N$17</f>
        <v>0</v>
      </c>
      <c r="AL74" s="1604">
        <f t="shared" ref="AL74:AV74" si="0">AL72*$N$17</f>
        <v>0</v>
      </c>
      <c r="AM74" s="1604">
        <f t="shared" si="0"/>
        <v>0</v>
      </c>
      <c r="AN74" s="1604">
        <f t="shared" si="0"/>
        <v>0</v>
      </c>
      <c r="AO74" s="1604">
        <f t="shared" si="0"/>
        <v>0</v>
      </c>
      <c r="AP74" s="1604">
        <f t="shared" si="0"/>
        <v>0</v>
      </c>
      <c r="AQ74" s="1604">
        <f t="shared" si="0"/>
        <v>0</v>
      </c>
      <c r="AR74" s="1604">
        <f t="shared" si="0"/>
        <v>0</v>
      </c>
      <c r="AS74" s="1604">
        <f t="shared" si="0"/>
        <v>0</v>
      </c>
      <c r="AT74" s="1604">
        <f t="shared" si="0"/>
        <v>0</v>
      </c>
      <c r="AU74" s="1604">
        <f t="shared" si="0"/>
        <v>0</v>
      </c>
      <c r="AV74" s="1605">
        <f t="shared" si="0"/>
        <v>0</v>
      </c>
      <c r="AW74" s="1737"/>
      <c r="AX74" s="1566">
        <f>SUM(AK74:AV74)</f>
        <v>0</v>
      </c>
      <c r="AY74" s="1772" t="e">
        <f>AX74/$AX$78</f>
        <v>#DIV/0!</v>
      </c>
      <c r="AZ74" s="1766"/>
      <c r="BA74" s="1201"/>
      <c r="BB74" s="1490"/>
    </row>
    <row r="75" spans="1:54" ht="21.75" customHeight="1" thickBot="1">
      <c r="A75" s="2497"/>
      <c r="B75" s="2122"/>
      <c r="C75" s="2123" t="s">
        <v>1539</v>
      </c>
      <c r="D75" s="2124"/>
      <c r="E75" s="2123" t="s">
        <v>926</v>
      </c>
      <c r="F75" s="2124"/>
      <c r="G75" s="2124"/>
      <c r="H75" s="2125"/>
      <c r="I75" s="720"/>
      <c r="J75" s="712"/>
      <c r="K75" s="712"/>
      <c r="L75" s="1350" t="b">
        <v>0</v>
      </c>
      <c r="M75" s="1354" t="b">
        <v>0</v>
      </c>
      <c r="N75" s="1750">
        <f>IF(L71=1,0,IF(L75,(V112/AX72)/1000,0))</f>
        <v>0</v>
      </c>
      <c r="O75" s="1751">
        <f>IF(L71=1,0,IF(M75,(Y112/AX72)/1000,0))</f>
        <v>0</v>
      </c>
      <c r="P75" s="1402"/>
      <c r="Q75" s="1405"/>
      <c r="R75" s="1403"/>
      <c r="S75" s="1403"/>
      <c r="T75" s="1403"/>
      <c r="U75" s="1403"/>
      <c r="V75" s="1403"/>
      <c r="W75" s="1403"/>
      <c r="X75" s="1403"/>
      <c r="Y75" s="1403"/>
      <c r="Z75" s="1403"/>
      <c r="AA75" s="1403"/>
      <c r="AB75" s="1404"/>
      <c r="AC75" s="1200"/>
      <c r="AD75" s="1200"/>
      <c r="AE75" s="1200"/>
      <c r="AF75" s="1366"/>
      <c r="AH75" s="1766"/>
      <c r="AI75" s="2553" t="s">
        <v>1064</v>
      </c>
      <c r="AJ75" s="2554"/>
      <c r="AK75" s="1606">
        <f>AK72*$N$30</f>
        <v>0</v>
      </c>
      <c r="AL75" s="1607">
        <f t="shared" ref="AL75:AV75" si="1">AL72*$N$30</f>
        <v>0</v>
      </c>
      <c r="AM75" s="1607">
        <f t="shared" si="1"/>
        <v>0</v>
      </c>
      <c r="AN75" s="1607">
        <f t="shared" si="1"/>
        <v>0</v>
      </c>
      <c r="AO75" s="1607">
        <f t="shared" si="1"/>
        <v>0</v>
      </c>
      <c r="AP75" s="1607">
        <f t="shared" si="1"/>
        <v>0</v>
      </c>
      <c r="AQ75" s="1607">
        <f t="shared" si="1"/>
        <v>0</v>
      </c>
      <c r="AR75" s="1607">
        <f t="shared" si="1"/>
        <v>0</v>
      </c>
      <c r="AS75" s="1607">
        <f t="shared" si="1"/>
        <v>0</v>
      </c>
      <c r="AT75" s="1607">
        <f t="shared" si="1"/>
        <v>0</v>
      </c>
      <c r="AU75" s="1607">
        <f t="shared" si="1"/>
        <v>0</v>
      </c>
      <c r="AV75" s="1608">
        <f t="shared" si="1"/>
        <v>0</v>
      </c>
      <c r="AW75" s="1738"/>
      <c r="AX75" s="1567">
        <f>SUM(AK75:AV75)</f>
        <v>0</v>
      </c>
      <c r="AY75" s="1772" t="e">
        <f>AX75/$AX$78</f>
        <v>#DIV/0!</v>
      </c>
      <c r="AZ75" s="1766"/>
      <c r="BA75" s="1201"/>
      <c r="BB75" s="1490"/>
    </row>
    <row r="76" spans="1:54" ht="25.5" customHeight="1" thickBot="1">
      <c r="A76" s="2497"/>
      <c r="B76" s="2498" t="s">
        <v>930</v>
      </c>
      <c r="C76" s="2501"/>
      <c r="D76" s="2501"/>
      <c r="E76" s="2501"/>
      <c r="F76" s="2501"/>
      <c r="G76" s="2493"/>
      <c r="H76" s="2493"/>
      <c r="I76" s="704"/>
      <c r="J76" s="706"/>
      <c r="K76" s="706"/>
      <c r="L76" s="1427"/>
      <c r="M76" s="1199"/>
      <c r="N76" s="1460" t="s">
        <v>776</v>
      </c>
      <c r="O76" s="1461">
        <f>SUM(N73:O75)</f>
        <v>0</v>
      </c>
      <c r="P76" s="1406" t="s">
        <v>574</v>
      </c>
      <c r="Q76" s="1407" t="s">
        <v>575</v>
      </c>
      <c r="R76" s="1407" t="s">
        <v>576</v>
      </c>
      <c r="S76" s="1407" t="s">
        <v>577</v>
      </c>
      <c r="T76" s="1407" t="s">
        <v>578</v>
      </c>
      <c r="U76" s="1407" t="s">
        <v>579</v>
      </c>
      <c r="V76" s="1407" t="s">
        <v>580</v>
      </c>
      <c r="W76" s="1407" t="s">
        <v>581</v>
      </c>
      <c r="X76" s="1407" t="s">
        <v>582</v>
      </c>
      <c r="Y76" s="1407" t="s">
        <v>583</v>
      </c>
      <c r="Z76" s="1407" t="s">
        <v>584</v>
      </c>
      <c r="AA76" s="1407" t="s">
        <v>585</v>
      </c>
      <c r="AB76" s="1408" t="s">
        <v>586</v>
      </c>
      <c r="AC76" s="1200"/>
      <c r="AD76" s="1431" t="s">
        <v>587</v>
      </c>
      <c r="AE76" s="1562" t="s">
        <v>778</v>
      </c>
      <c r="AF76" s="1200"/>
      <c r="AH76" s="1766"/>
      <c r="AI76" s="2553" t="s">
        <v>1065</v>
      </c>
      <c r="AJ76" s="2554"/>
      <c r="AK76" s="1606">
        <f>AK72*$N$40</f>
        <v>0</v>
      </c>
      <c r="AL76" s="1607">
        <f t="shared" ref="AL76:AV76" si="2">AL72*$N$40</f>
        <v>0</v>
      </c>
      <c r="AM76" s="1607">
        <f t="shared" si="2"/>
        <v>0</v>
      </c>
      <c r="AN76" s="1607">
        <f t="shared" si="2"/>
        <v>0</v>
      </c>
      <c r="AO76" s="1607">
        <f t="shared" si="2"/>
        <v>0</v>
      </c>
      <c r="AP76" s="1607">
        <f t="shared" si="2"/>
        <v>0</v>
      </c>
      <c r="AQ76" s="1607">
        <f t="shared" si="2"/>
        <v>0</v>
      </c>
      <c r="AR76" s="1607">
        <f t="shared" si="2"/>
        <v>0</v>
      </c>
      <c r="AS76" s="1607">
        <f t="shared" si="2"/>
        <v>0</v>
      </c>
      <c r="AT76" s="1607">
        <f t="shared" si="2"/>
        <v>0</v>
      </c>
      <c r="AU76" s="1607">
        <f t="shared" si="2"/>
        <v>0</v>
      </c>
      <c r="AV76" s="1608">
        <f t="shared" si="2"/>
        <v>0</v>
      </c>
      <c r="AW76" s="1738"/>
      <c r="AX76" s="1567">
        <f>SUM(AK76:AV76)</f>
        <v>0</v>
      </c>
      <c r="AY76" s="1772" t="e">
        <f>AX76/$AX$78</f>
        <v>#DIV/0!</v>
      </c>
      <c r="AZ76" s="1766"/>
      <c r="BA76" s="1201"/>
      <c r="BB76" s="1490"/>
    </row>
    <row r="77" spans="1:54" ht="22.5" customHeight="1" thickBot="1">
      <c r="A77" s="2497"/>
      <c r="B77" s="2357" t="s">
        <v>770</v>
      </c>
      <c r="C77" s="2358"/>
      <c r="D77" s="2358"/>
      <c r="E77" s="2358"/>
      <c r="F77" s="2358"/>
      <c r="G77" s="2510"/>
      <c r="H77" s="2511"/>
      <c r="I77" s="721"/>
      <c r="J77" s="706"/>
      <c r="K77" s="706"/>
      <c r="L77" s="1428" t="s">
        <v>771</v>
      </c>
      <c r="M77" s="1271" t="s">
        <v>772</v>
      </c>
      <c r="N77" s="1400" t="s">
        <v>662</v>
      </c>
      <c r="O77" s="1199"/>
      <c r="P77" s="1409" t="s">
        <v>977</v>
      </c>
      <c r="Q77" s="1410">
        <f t="shared" ref="Q77:V77" si="3">C83</f>
        <v>0</v>
      </c>
      <c r="R77" s="1410">
        <f t="shared" si="3"/>
        <v>0</v>
      </c>
      <c r="S77" s="1410">
        <f t="shared" si="3"/>
        <v>0</v>
      </c>
      <c r="T77" s="1410">
        <f t="shared" si="3"/>
        <v>0</v>
      </c>
      <c r="U77" s="1410">
        <f t="shared" si="3"/>
        <v>0</v>
      </c>
      <c r="V77" s="1410">
        <f t="shared" si="3"/>
        <v>0</v>
      </c>
      <c r="W77" s="1410">
        <f t="shared" ref="W77:AB77" si="4">C85</f>
        <v>0</v>
      </c>
      <c r="X77" s="1410">
        <f t="shared" si="4"/>
        <v>0</v>
      </c>
      <c r="Y77" s="1410">
        <f t="shared" si="4"/>
        <v>0</v>
      </c>
      <c r="Z77" s="1410">
        <f t="shared" si="4"/>
        <v>0</v>
      </c>
      <c r="AA77" s="1410">
        <f t="shared" si="4"/>
        <v>0</v>
      </c>
      <c r="AB77" s="1411">
        <f t="shared" si="4"/>
        <v>0</v>
      </c>
      <c r="AC77" s="1200"/>
      <c r="AD77" s="1552">
        <f>SUM(Q77:AB77)</f>
        <v>0</v>
      </c>
      <c r="AE77" s="1561"/>
      <c r="AF77" s="1200"/>
      <c r="AH77" s="1766"/>
      <c r="AI77" s="2553" t="s">
        <v>1066</v>
      </c>
      <c r="AJ77" s="2554"/>
      <c r="AK77" s="1609">
        <f>AK72*$N$48</f>
        <v>0</v>
      </c>
      <c r="AL77" s="1610">
        <f t="shared" ref="AL77:AV77" si="5">AL72*$N$48</f>
        <v>0</v>
      </c>
      <c r="AM77" s="1610">
        <f t="shared" si="5"/>
        <v>0</v>
      </c>
      <c r="AN77" s="1610">
        <f t="shared" si="5"/>
        <v>0</v>
      </c>
      <c r="AO77" s="1610">
        <f t="shared" si="5"/>
        <v>0</v>
      </c>
      <c r="AP77" s="1610">
        <f t="shared" si="5"/>
        <v>0</v>
      </c>
      <c r="AQ77" s="1610">
        <f t="shared" si="5"/>
        <v>0</v>
      </c>
      <c r="AR77" s="1610">
        <f t="shared" si="5"/>
        <v>0</v>
      </c>
      <c r="AS77" s="1610">
        <f t="shared" si="5"/>
        <v>0</v>
      </c>
      <c r="AT77" s="1610">
        <f t="shared" si="5"/>
        <v>0</v>
      </c>
      <c r="AU77" s="1610">
        <f t="shared" si="5"/>
        <v>0</v>
      </c>
      <c r="AV77" s="1611">
        <f t="shared" si="5"/>
        <v>0</v>
      </c>
      <c r="AW77" s="1738"/>
      <c r="AX77" s="1568">
        <f>SUM(AK77:AV77)</f>
        <v>0</v>
      </c>
      <c r="AY77" s="1772" t="e">
        <f>AX77/$AX$78</f>
        <v>#DIV/0!</v>
      </c>
      <c r="AZ77" s="1766"/>
      <c r="BA77" s="1201"/>
      <c r="BB77" s="1490"/>
    </row>
    <row r="78" spans="1:54" ht="21" customHeight="1" thickBot="1">
      <c r="A78" s="2497"/>
      <c r="B78" s="2502" t="s">
        <v>774</v>
      </c>
      <c r="C78" s="2505" t="s">
        <v>1384</v>
      </c>
      <c r="D78" s="2508"/>
      <c r="E78" s="2508"/>
      <c r="F78" s="2508"/>
      <c r="G78" s="268">
        <f>VLOOKUP($L78,$Y$32:$AB$36,4)</f>
        <v>0</v>
      </c>
      <c r="H78" s="2011">
        <v>0</v>
      </c>
      <c r="I78" s="2482" t="str">
        <f>IF(G76=0,"",IF(SUM(H78:H80)=G76,"","Error. Check area!"))</f>
        <v/>
      </c>
      <c r="J78" s="2483"/>
      <c r="K78" s="1797"/>
      <c r="L78" s="1798">
        <v>1</v>
      </c>
      <c r="M78" s="1448">
        <f>G78*H78</f>
        <v>0</v>
      </c>
      <c r="N78" s="1444">
        <f>O76</f>
        <v>0</v>
      </c>
      <c r="O78" s="1199" t="s">
        <v>1385</v>
      </c>
      <c r="P78" s="1456" t="s">
        <v>1014</v>
      </c>
      <c r="Q78" s="1413">
        <f>IF((($M$81*Q77)-($M$81/100*$R$27*$N$81))&lt;0,0,(((($M$81*Q77)-($M$81/100*$R$27*$N$81)))/1000)+(0.25*$N$80))</f>
        <v>0</v>
      </c>
      <c r="R78" s="1413">
        <f>IF((($M$81*R77)-($M$81/100*$R$27*$N$81))&lt;0,0,(((($M$81*R77)-($M$81/100*$R$27*$N$81)))/1000)+Q81)</f>
        <v>0</v>
      </c>
      <c r="S78" s="1413">
        <f>IF((($M$81*S77)-($M$81/100*$R$27*$N$81))&lt;0,0,(((($M$81*S77)-($M$81/100*$R$27*$N$81)))/1000)+R81)</f>
        <v>0</v>
      </c>
      <c r="T78" s="1413">
        <f t="shared" ref="T78:AB78" si="6">IF((($M$81*T77)-($M$81/100*$R$27*$N$81))&lt;0,0,(((($M$81*T77)-($M$81/100*$R$27*$N$81)))/1000)+S81)</f>
        <v>0</v>
      </c>
      <c r="U78" s="1413">
        <f t="shared" si="6"/>
        <v>0</v>
      </c>
      <c r="V78" s="1413">
        <f t="shared" si="6"/>
        <v>0</v>
      </c>
      <c r="W78" s="1413">
        <f t="shared" si="6"/>
        <v>0</v>
      </c>
      <c r="X78" s="1413">
        <f t="shared" si="6"/>
        <v>0</v>
      </c>
      <c r="Y78" s="1413">
        <f t="shared" si="6"/>
        <v>0</v>
      </c>
      <c r="Z78" s="1413">
        <f t="shared" si="6"/>
        <v>0</v>
      </c>
      <c r="AA78" s="1413">
        <f t="shared" si="6"/>
        <v>0</v>
      </c>
      <c r="AB78" s="1413">
        <f t="shared" si="6"/>
        <v>0</v>
      </c>
      <c r="AC78" s="1200"/>
      <c r="AD78" s="1557">
        <f>SUM(P78:AB78)</f>
        <v>0</v>
      </c>
      <c r="AE78" s="1555" t="e">
        <f>AD78/$AD$85/$H$4*1000</f>
        <v>#DIV/0!</v>
      </c>
      <c r="AF78" s="1200"/>
      <c r="AH78" s="1766"/>
      <c r="AI78" s="2585" t="s">
        <v>1073</v>
      </c>
      <c r="AJ78" s="2586"/>
      <c r="AK78" s="1513">
        <f>SUM(AK74:AK77)</f>
        <v>0</v>
      </c>
      <c r="AL78" s="1514">
        <f t="shared" ref="AL78:AV78" si="7">SUM(AL74:AL77)</f>
        <v>0</v>
      </c>
      <c r="AM78" s="1514">
        <f t="shared" si="7"/>
        <v>0</v>
      </c>
      <c r="AN78" s="1514">
        <f t="shared" si="7"/>
        <v>0</v>
      </c>
      <c r="AO78" s="1514">
        <f t="shared" si="7"/>
        <v>0</v>
      </c>
      <c r="AP78" s="1514">
        <f t="shared" si="7"/>
        <v>0</v>
      </c>
      <c r="AQ78" s="1514">
        <f t="shared" si="7"/>
        <v>0</v>
      </c>
      <c r="AR78" s="1514">
        <f t="shared" si="7"/>
        <v>0</v>
      </c>
      <c r="AS78" s="1514">
        <f t="shared" si="7"/>
        <v>0</v>
      </c>
      <c r="AT78" s="1514">
        <f t="shared" si="7"/>
        <v>0</v>
      </c>
      <c r="AU78" s="1514">
        <f t="shared" si="7"/>
        <v>0</v>
      </c>
      <c r="AV78" s="1515">
        <f t="shared" si="7"/>
        <v>0</v>
      </c>
      <c r="AW78" s="1739"/>
      <c r="AX78" s="1572">
        <f>SUM(AK78:AV78)</f>
        <v>0</v>
      </c>
      <c r="AY78" s="1574">
        <f>AX78</f>
        <v>0</v>
      </c>
      <c r="AZ78" s="1766"/>
      <c r="BA78" s="1201"/>
      <c r="BB78" s="1490"/>
    </row>
    <row r="79" spans="1:54" ht="21" customHeight="1" thickBot="1">
      <c r="A79" s="2497"/>
      <c r="B79" s="2503"/>
      <c r="C79" s="2506"/>
      <c r="D79" s="2496"/>
      <c r="E79" s="2496"/>
      <c r="F79" s="2496"/>
      <c r="G79" s="268">
        <f>VLOOKUP($L79,$Y$32:$AB$36,4)</f>
        <v>0</v>
      </c>
      <c r="H79" s="2012">
        <v>0</v>
      </c>
      <c r="I79" s="2482"/>
      <c r="J79" s="2483"/>
      <c r="K79" s="1797"/>
      <c r="L79" s="1798">
        <v>1</v>
      </c>
      <c r="M79" s="1399">
        <f>G79*H79</f>
        <v>0</v>
      </c>
      <c r="N79" s="1445">
        <f>G76</f>
        <v>0</v>
      </c>
      <c r="O79" s="1199" t="s">
        <v>1354</v>
      </c>
      <c r="P79" s="1456" t="s">
        <v>777</v>
      </c>
      <c r="Q79" s="1659">
        <f>AK167/1000</f>
        <v>0</v>
      </c>
      <c r="R79" s="1659">
        <f t="shared" ref="R79:AB79" si="8">AL167/1000</f>
        <v>0</v>
      </c>
      <c r="S79" s="1659">
        <f t="shared" si="8"/>
        <v>0</v>
      </c>
      <c r="T79" s="1659">
        <f t="shared" si="8"/>
        <v>0</v>
      </c>
      <c r="U79" s="1659">
        <f t="shared" si="8"/>
        <v>0</v>
      </c>
      <c r="V79" s="1659">
        <f t="shared" si="8"/>
        <v>0</v>
      </c>
      <c r="W79" s="1659">
        <f t="shared" si="8"/>
        <v>0</v>
      </c>
      <c r="X79" s="1659">
        <f t="shared" si="8"/>
        <v>0</v>
      </c>
      <c r="Y79" s="1659">
        <f t="shared" si="8"/>
        <v>0</v>
      </c>
      <c r="Z79" s="1659">
        <f t="shared" si="8"/>
        <v>0</v>
      </c>
      <c r="AA79" s="1659">
        <f t="shared" si="8"/>
        <v>0</v>
      </c>
      <c r="AB79" s="1659">
        <f t="shared" si="8"/>
        <v>0</v>
      </c>
      <c r="AC79" s="1200"/>
      <c r="AD79" s="1558">
        <f>SUM(Q79:AB79)</f>
        <v>0</v>
      </c>
      <c r="AE79" s="1555" t="e">
        <f>AD79/$AD$85/$H$4*1000</f>
        <v>#DIV/0!</v>
      </c>
      <c r="AF79" s="1200"/>
      <c r="AH79" s="1771"/>
      <c r="AI79" s="2587" t="s">
        <v>1067</v>
      </c>
      <c r="AJ79" s="2588"/>
      <c r="AK79" s="2589"/>
      <c r="AL79" s="2589"/>
      <c r="AM79" s="2589"/>
      <c r="AN79" s="2589"/>
      <c r="AO79" s="2589"/>
      <c r="AP79" s="2589"/>
      <c r="AQ79" s="2589"/>
      <c r="AR79" s="2589"/>
      <c r="AS79" s="2589"/>
      <c r="AT79" s="2589"/>
      <c r="AU79" s="2589"/>
      <c r="AV79" s="2589"/>
      <c r="AW79" s="2589"/>
      <c r="AX79" s="2590"/>
      <c r="AY79" s="1771"/>
      <c r="AZ79" s="1771"/>
      <c r="BA79" s="1201"/>
      <c r="BB79" s="1490"/>
    </row>
    <row r="80" spans="1:54" ht="21" customHeight="1" thickBot="1">
      <c r="A80" s="2497"/>
      <c r="B80" s="2504"/>
      <c r="C80" s="2507"/>
      <c r="D80" s="2496"/>
      <c r="E80" s="2496"/>
      <c r="F80" s="2496"/>
      <c r="G80" s="268">
        <f>VLOOKUP($L80,$Y$32:$AB$36,4)</f>
        <v>0</v>
      </c>
      <c r="H80" s="2012">
        <v>0</v>
      </c>
      <c r="I80" s="2482"/>
      <c r="J80" s="2483"/>
      <c r="K80" s="1797"/>
      <c r="L80" s="1798">
        <v>1</v>
      </c>
      <c r="M80" s="1449">
        <f>G80*H80</f>
        <v>0</v>
      </c>
      <c r="N80" s="1446">
        <f>G77</f>
        <v>0</v>
      </c>
      <c r="O80" s="1199" t="s">
        <v>715</v>
      </c>
      <c r="P80" s="1415" t="s">
        <v>716</v>
      </c>
      <c r="Q80" s="1413">
        <f t="shared" ref="Q80:AB80" si="9">IF(Q78&gt;Q79,Q78-Q79,0)</f>
        <v>0</v>
      </c>
      <c r="R80" s="1413">
        <f t="shared" si="9"/>
        <v>0</v>
      </c>
      <c r="S80" s="1413">
        <f t="shared" si="9"/>
        <v>0</v>
      </c>
      <c r="T80" s="1413">
        <f t="shared" si="9"/>
        <v>0</v>
      </c>
      <c r="U80" s="1413">
        <f t="shared" si="9"/>
        <v>0</v>
      </c>
      <c r="V80" s="1413">
        <f t="shared" si="9"/>
        <v>0</v>
      </c>
      <c r="W80" s="1413">
        <f t="shared" si="9"/>
        <v>0</v>
      </c>
      <c r="X80" s="1413">
        <f t="shared" si="9"/>
        <v>0</v>
      </c>
      <c r="Y80" s="1413">
        <f t="shared" si="9"/>
        <v>0</v>
      </c>
      <c r="Z80" s="1413">
        <f t="shared" si="9"/>
        <v>0</v>
      </c>
      <c r="AA80" s="1413">
        <f t="shared" si="9"/>
        <v>0</v>
      </c>
      <c r="AB80" s="1414">
        <f t="shared" si="9"/>
        <v>0</v>
      </c>
      <c r="AC80" s="1200"/>
      <c r="AD80" s="1558">
        <f>SUM(Q80:AB80)</f>
        <v>0</v>
      </c>
      <c r="AE80" s="1555" t="e">
        <f>AD80/$AD$85/$H$4*1000</f>
        <v>#DIV/0!</v>
      </c>
      <c r="AF80" s="1200"/>
      <c r="AH80" s="1766"/>
      <c r="AI80" s="2551" t="s">
        <v>1068</v>
      </c>
      <c r="AJ80" s="2552"/>
      <c r="AK80" s="1594">
        <f>AK71*$G$63</f>
        <v>0</v>
      </c>
      <c r="AL80" s="1595">
        <f t="shared" ref="AL80:AV80" si="10">AL71*$G$63</f>
        <v>0</v>
      </c>
      <c r="AM80" s="1595">
        <f t="shared" si="10"/>
        <v>0</v>
      </c>
      <c r="AN80" s="1595">
        <f t="shared" si="10"/>
        <v>0</v>
      </c>
      <c r="AO80" s="1595">
        <f t="shared" si="10"/>
        <v>0</v>
      </c>
      <c r="AP80" s="1595">
        <f>AP71*$G$63</f>
        <v>0</v>
      </c>
      <c r="AQ80" s="1595">
        <f t="shared" si="10"/>
        <v>0</v>
      </c>
      <c r="AR80" s="1595">
        <f t="shared" si="10"/>
        <v>0</v>
      </c>
      <c r="AS80" s="1595">
        <f t="shared" si="10"/>
        <v>0</v>
      </c>
      <c r="AT80" s="1595">
        <f t="shared" si="10"/>
        <v>0</v>
      </c>
      <c r="AU80" s="1595">
        <f t="shared" si="10"/>
        <v>0</v>
      </c>
      <c r="AV80" s="1596">
        <f t="shared" si="10"/>
        <v>0</v>
      </c>
      <c r="AW80" s="1737"/>
      <c r="AX80" s="1563">
        <f>SUM(AK80:AV80)</f>
        <v>0</v>
      </c>
      <c r="AY80" s="1612" t="e">
        <f>AX80/$AX$84</f>
        <v>#DIV/0!</v>
      </c>
      <c r="AZ80" s="1766"/>
      <c r="BA80" s="1201"/>
      <c r="BB80" s="1490"/>
    </row>
    <row r="81" spans="1:54" ht="18" customHeight="1" thickBot="1">
      <c r="A81" s="2497"/>
      <c r="B81" s="2485" t="s">
        <v>1320</v>
      </c>
      <c r="C81" s="2485"/>
      <c r="D81" s="2485"/>
      <c r="E81" s="2485"/>
      <c r="F81" s="2485"/>
      <c r="G81" s="2485"/>
      <c r="H81" s="2485"/>
      <c r="I81" s="722"/>
      <c r="J81" s="713"/>
      <c r="K81" s="713"/>
      <c r="L81" s="1447" t="s">
        <v>591</v>
      </c>
      <c r="M81" s="1450">
        <f>SUM(M78:M80)</f>
        <v>0</v>
      </c>
      <c r="N81" s="1401">
        <f>H86/12</f>
        <v>0</v>
      </c>
      <c r="O81" s="1199" t="s">
        <v>661</v>
      </c>
      <c r="P81" s="1412" t="s">
        <v>717</v>
      </c>
      <c r="Q81" s="1413">
        <f>IF(Q80&gt;$N$80,$N$80,Q80)</f>
        <v>0</v>
      </c>
      <c r="R81" s="1413">
        <f t="shared" ref="R81:AB81" si="11">MIN($N$80,(Q80+IF(R80&gt;$N$80,$N$80,R80)))</f>
        <v>0</v>
      </c>
      <c r="S81" s="1413">
        <f t="shared" si="11"/>
        <v>0</v>
      </c>
      <c r="T81" s="1413">
        <f t="shared" si="11"/>
        <v>0</v>
      </c>
      <c r="U81" s="1413">
        <f t="shared" si="11"/>
        <v>0</v>
      </c>
      <c r="V81" s="1413">
        <f t="shared" si="11"/>
        <v>0</v>
      </c>
      <c r="W81" s="1413">
        <f t="shared" si="11"/>
        <v>0</v>
      </c>
      <c r="X81" s="1413">
        <f t="shared" si="11"/>
        <v>0</v>
      </c>
      <c r="Y81" s="1413">
        <f t="shared" si="11"/>
        <v>0</v>
      </c>
      <c r="Z81" s="1413">
        <f t="shared" si="11"/>
        <v>0</v>
      </c>
      <c r="AA81" s="1413">
        <f t="shared" si="11"/>
        <v>0</v>
      </c>
      <c r="AB81" s="1414">
        <f t="shared" si="11"/>
        <v>0</v>
      </c>
      <c r="AC81" s="1200"/>
      <c r="AD81" s="1553"/>
      <c r="AE81" s="1555"/>
      <c r="AF81" s="1200"/>
      <c r="AH81" s="1766"/>
      <c r="AI81" s="2551" t="s">
        <v>1069</v>
      </c>
      <c r="AJ81" s="2552"/>
      <c r="AK81" s="1597">
        <f>AK72*$G$64</f>
        <v>0</v>
      </c>
      <c r="AL81" s="1598">
        <f t="shared" ref="AL81:AV81" si="12">AL72*$G$64</f>
        <v>0</v>
      </c>
      <c r="AM81" s="1598">
        <f t="shared" si="12"/>
        <v>0</v>
      </c>
      <c r="AN81" s="1598">
        <f t="shared" si="12"/>
        <v>0</v>
      </c>
      <c r="AO81" s="1598">
        <f t="shared" si="12"/>
        <v>0</v>
      </c>
      <c r="AP81" s="1598">
        <f t="shared" si="12"/>
        <v>0</v>
      </c>
      <c r="AQ81" s="1598">
        <f t="shared" si="12"/>
        <v>0</v>
      </c>
      <c r="AR81" s="1598">
        <f t="shared" si="12"/>
        <v>0</v>
      </c>
      <c r="AS81" s="1598">
        <f t="shared" si="12"/>
        <v>0</v>
      </c>
      <c r="AT81" s="1598">
        <f t="shared" si="12"/>
        <v>0</v>
      </c>
      <c r="AU81" s="1598">
        <f t="shared" si="12"/>
        <v>0</v>
      </c>
      <c r="AV81" s="1599">
        <f t="shared" si="12"/>
        <v>0</v>
      </c>
      <c r="AW81" s="1738"/>
      <c r="AX81" s="1564">
        <f>SUM(AK81:AV81)</f>
        <v>0</v>
      </c>
      <c r="AY81" s="1612" t="e">
        <f>AX81/$AX$84</f>
        <v>#DIV/0!</v>
      </c>
      <c r="AZ81" s="1766"/>
      <c r="BA81" s="1201"/>
      <c r="BB81" s="1490"/>
    </row>
    <row r="82" spans="1:54" ht="14.1" customHeight="1">
      <c r="A82" s="2497"/>
      <c r="B82" s="989" t="s">
        <v>1321</v>
      </c>
      <c r="C82" s="700" t="s">
        <v>710</v>
      </c>
      <c r="D82" s="700" t="s">
        <v>711</v>
      </c>
      <c r="E82" s="700" t="s">
        <v>712</v>
      </c>
      <c r="F82" s="700" t="s">
        <v>713</v>
      </c>
      <c r="G82" s="700" t="s">
        <v>579</v>
      </c>
      <c r="H82" s="700" t="s">
        <v>714</v>
      </c>
      <c r="I82" s="723"/>
      <c r="J82" s="706"/>
      <c r="K82" s="706"/>
      <c r="M82" s="1199"/>
      <c r="P82" s="1412" t="s">
        <v>724</v>
      </c>
      <c r="Q82" s="1413">
        <f t="shared" ref="Q82:AB82" si="13">IF(Q78&lt;Q79,(Q79-Q78),0)</f>
        <v>0</v>
      </c>
      <c r="R82" s="1413">
        <f t="shared" si="13"/>
        <v>0</v>
      </c>
      <c r="S82" s="1413">
        <f t="shared" si="13"/>
        <v>0</v>
      </c>
      <c r="T82" s="1413">
        <f t="shared" si="13"/>
        <v>0</v>
      </c>
      <c r="U82" s="1413">
        <f t="shared" si="13"/>
        <v>0</v>
      </c>
      <c r="V82" s="1413">
        <f t="shared" si="13"/>
        <v>0</v>
      </c>
      <c r="W82" s="1413">
        <f t="shared" si="13"/>
        <v>0</v>
      </c>
      <c r="X82" s="1413">
        <f t="shared" si="13"/>
        <v>0</v>
      </c>
      <c r="Y82" s="1413">
        <f t="shared" si="13"/>
        <v>0</v>
      </c>
      <c r="Z82" s="1413">
        <f t="shared" si="13"/>
        <v>0</v>
      </c>
      <c r="AA82" s="1413">
        <f t="shared" si="13"/>
        <v>0</v>
      </c>
      <c r="AB82" s="1414">
        <f t="shared" si="13"/>
        <v>0</v>
      </c>
      <c r="AC82" s="1200"/>
      <c r="AD82" s="1558">
        <f>SUM(Q82:AB82)</f>
        <v>0</v>
      </c>
      <c r="AE82" s="1555" t="e">
        <f>AD82/$AD$85/$H$4*1000</f>
        <v>#DIV/0!</v>
      </c>
      <c r="AF82" s="1200"/>
      <c r="AH82" s="1766"/>
      <c r="AI82" s="2551" t="s">
        <v>1070</v>
      </c>
      <c r="AJ82" s="2552"/>
      <c r="AK82" s="1597">
        <f>$G$65*AK72</f>
        <v>0</v>
      </c>
      <c r="AL82" s="1598">
        <f t="shared" ref="AL82:AV82" si="14">$G$65*AL72</f>
        <v>0</v>
      </c>
      <c r="AM82" s="1598">
        <f t="shared" si="14"/>
        <v>0</v>
      </c>
      <c r="AN82" s="1598">
        <f t="shared" si="14"/>
        <v>0</v>
      </c>
      <c r="AO82" s="1598">
        <f t="shared" si="14"/>
        <v>0</v>
      </c>
      <c r="AP82" s="1598">
        <f t="shared" si="14"/>
        <v>0</v>
      </c>
      <c r="AQ82" s="1598">
        <f t="shared" si="14"/>
        <v>0</v>
      </c>
      <c r="AR82" s="1598">
        <f t="shared" si="14"/>
        <v>0</v>
      </c>
      <c r="AS82" s="1598">
        <f t="shared" si="14"/>
        <v>0</v>
      </c>
      <c r="AT82" s="1598">
        <f t="shared" si="14"/>
        <v>0</v>
      </c>
      <c r="AU82" s="1598">
        <f t="shared" si="14"/>
        <v>0</v>
      </c>
      <c r="AV82" s="1599">
        <f t="shared" si="14"/>
        <v>0</v>
      </c>
      <c r="AW82" s="1738"/>
      <c r="AX82" s="1564">
        <f>SUM(AK82:AV82)</f>
        <v>0</v>
      </c>
      <c r="AY82" s="1612" t="e">
        <f>AX82/$AX$84</f>
        <v>#DIV/0!</v>
      </c>
      <c r="AZ82" s="1766"/>
      <c r="BA82" s="1201"/>
      <c r="BB82" s="1490"/>
    </row>
    <row r="83" spans="1:54" ht="14.1" customHeight="1" thickBot="1">
      <c r="A83" s="2497"/>
      <c r="B83" s="976">
        <v>1</v>
      </c>
      <c r="C83" s="972">
        <f>VLOOKUP($B$83,'Rainfall data'!$A$3:$N$33,3,FALSE)</f>
        <v>0</v>
      </c>
      <c r="D83" s="973">
        <f>VLOOKUP($B$83,'Rainfall data'!$A$3:$N$33,4,FALSE)</f>
        <v>0</v>
      </c>
      <c r="E83" s="973">
        <f>VLOOKUP($B$83,'Rainfall data'!$A$3:$N$33,5,FALSE)</f>
        <v>0</v>
      </c>
      <c r="F83" s="973">
        <f>VLOOKUP($B$83,'Rainfall data'!$A$3:$N$33,6,FALSE)</f>
        <v>0</v>
      </c>
      <c r="G83" s="973">
        <f>VLOOKUP($B$83,'Rainfall data'!$A$3:$N$33,7,FALSE)</f>
        <v>0</v>
      </c>
      <c r="H83" s="973">
        <f>VLOOKUP($B$83,'Rainfall data'!$A$3:$N$33,8,FALSE)</f>
        <v>0</v>
      </c>
      <c r="I83" s="724"/>
      <c r="J83" s="712"/>
      <c r="K83" s="712"/>
      <c r="L83" s="1427"/>
      <c r="M83" s="1199"/>
      <c r="N83" s="1199"/>
      <c r="O83" s="1199"/>
      <c r="P83" s="1412"/>
      <c r="Q83" s="1413"/>
      <c r="R83" s="1413"/>
      <c r="S83" s="1413"/>
      <c r="T83" s="1413"/>
      <c r="U83" s="1413"/>
      <c r="V83" s="1413"/>
      <c r="W83" s="1413"/>
      <c r="X83" s="1413"/>
      <c r="Y83" s="1413"/>
      <c r="Z83" s="1413"/>
      <c r="AA83" s="1413"/>
      <c r="AB83" s="1414"/>
      <c r="AC83" s="1200"/>
      <c r="AD83" s="1553"/>
      <c r="AE83" s="1554"/>
      <c r="AF83" s="1200"/>
      <c r="AH83" s="1766"/>
      <c r="AI83" s="2551" t="s">
        <v>1071</v>
      </c>
      <c r="AJ83" s="2552"/>
      <c r="AK83" s="1600">
        <f>AK72*$G$66</f>
        <v>0</v>
      </c>
      <c r="AL83" s="1601">
        <f t="shared" ref="AL83:AV83" si="15">AL72*$G$66</f>
        <v>0</v>
      </c>
      <c r="AM83" s="1601">
        <f t="shared" si="15"/>
        <v>0</v>
      </c>
      <c r="AN83" s="1601">
        <f t="shared" si="15"/>
        <v>0</v>
      </c>
      <c r="AO83" s="1601">
        <f t="shared" si="15"/>
        <v>0</v>
      </c>
      <c r="AP83" s="1601">
        <f t="shared" si="15"/>
        <v>0</v>
      </c>
      <c r="AQ83" s="1601">
        <f t="shared" si="15"/>
        <v>0</v>
      </c>
      <c r="AR83" s="1601">
        <f t="shared" si="15"/>
        <v>0</v>
      </c>
      <c r="AS83" s="1601">
        <f t="shared" si="15"/>
        <v>0</v>
      </c>
      <c r="AT83" s="1601">
        <f t="shared" si="15"/>
        <v>0</v>
      </c>
      <c r="AU83" s="1601">
        <f t="shared" si="15"/>
        <v>0</v>
      </c>
      <c r="AV83" s="1602">
        <f t="shared" si="15"/>
        <v>0</v>
      </c>
      <c r="AW83" s="1738"/>
      <c r="AX83" s="1565">
        <f>SUM(AK83:AV83)</f>
        <v>0</v>
      </c>
      <c r="AY83" s="1612" t="e">
        <f>AX83/$AX$84</f>
        <v>#DIV/0!</v>
      </c>
      <c r="AZ83" s="1766"/>
      <c r="BA83" s="1201"/>
      <c r="BB83" s="1490"/>
    </row>
    <row r="84" spans="1:54" ht="14.1" customHeight="1" thickBot="1">
      <c r="A84" s="2497"/>
      <c r="B84" s="974"/>
      <c r="C84" s="700" t="s">
        <v>718</v>
      </c>
      <c r="D84" s="700" t="s">
        <v>719</v>
      </c>
      <c r="E84" s="700" t="s">
        <v>720</v>
      </c>
      <c r="F84" s="700" t="s">
        <v>721</v>
      </c>
      <c r="G84" s="700" t="s">
        <v>722</v>
      </c>
      <c r="H84" s="700" t="s">
        <v>723</v>
      </c>
      <c r="I84" s="713"/>
      <c r="J84" s="712"/>
      <c r="K84" s="712"/>
      <c r="L84" s="1427"/>
      <c r="M84" s="1199"/>
      <c r="N84" s="1199"/>
      <c r="O84" s="1246"/>
      <c r="P84" s="1412" t="s">
        <v>725</v>
      </c>
      <c r="Q84" s="1659">
        <f t="shared" ref="Q84:AB84" si="16">IF(Q79&lt;Q78,Q79,Q78)</f>
        <v>0</v>
      </c>
      <c r="R84" s="1659">
        <f t="shared" si="16"/>
        <v>0</v>
      </c>
      <c r="S84" s="1659">
        <f t="shared" si="16"/>
        <v>0</v>
      </c>
      <c r="T84" s="1659">
        <f t="shared" si="16"/>
        <v>0</v>
      </c>
      <c r="U84" s="1659">
        <f t="shared" si="16"/>
        <v>0</v>
      </c>
      <c r="V84" s="1659">
        <f t="shared" si="16"/>
        <v>0</v>
      </c>
      <c r="W84" s="1659">
        <f t="shared" si="16"/>
        <v>0</v>
      </c>
      <c r="X84" s="1659">
        <f t="shared" si="16"/>
        <v>0</v>
      </c>
      <c r="Y84" s="1659">
        <f t="shared" si="16"/>
        <v>0</v>
      </c>
      <c r="Z84" s="1659">
        <f t="shared" si="16"/>
        <v>0</v>
      </c>
      <c r="AA84" s="1659">
        <f t="shared" si="16"/>
        <v>0</v>
      </c>
      <c r="AB84" s="1660">
        <f t="shared" si="16"/>
        <v>0</v>
      </c>
      <c r="AC84" s="1200"/>
      <c r="AD84" s="1558">
        <f>SUM(Q84:AB84)</f>
        <v>0</v>
      </c>
      <c r="AE84" s="1555" t="e">
        <f>((AD84-(N73*AD88))/$AD$85/$H$4*1000)</f>
        <v>#DIV/0!</v>
      </c>
      <c r="AF84" s="1200"/>
      <c r="AH84" s="1766"/>
      <c r="AI84" s="2585" t="s">
        <v>1074</v>
      </c>
      <c r="AJ84" s="2586"/>
      <c r="AK84" s="1513">
        <f>SUM(AK80:AK83)</f>
        <v>0</v>
      </c>
      <c r="AL84" s="1514">
        <f t="shared" ref="AL84:AV84" si="17">SUM(AL80:AL83)</f>
        <v>0</v>
      </c>
      <c r="AM84" s="1514">
        <f t="shared" si="17"/>
        <v>0</v>
      </c>
      <c r="AN84" s="1514">
        <f t="shared" si="17"/>
        <v>0</v>
      </c>
      <c r="AO84" s="1514">
        <f t="shared" si="17"/>
        <v>0</v>
      </c>
      <c r="AP84" s="1514">
        <f t="shared" si="17"/>
        <v>0</v>
      </c>
      <c r="AQ84" s="1514">
        <f t="shared" si="17"/>
        <v>0</v>
      </c>
      <c r="AR84" s="1514">
        <f t="shared" si="17"/>
        <v>0</v>
      </c>
      <c r="AS84" s="1514">
        <f t="shared" si="17"/>
        <v>0</v>
      </c>
      <c r="AT84" s="1514">
        <f t="shared" si="17"/>
        <v>0</v>
      </c>
      <c r="AU84" s="1514">
        <f t="shared" si="17"/>
        <v>0</v>
      </c>
      <c r="AV84" s="1515">
        <f t="shared" si="17"/>
        <v>0</v>
      </c>
      <c r="AW84" s="1739"/>
      <c r="AX84" s="1573">
        <f>SUM(AK84:AV84)</f>
        <v>0</v>
      </c>
      <c r="AY84" s="1575">
        <f>AX84</f>
        <v>0</v>
      </c>
      <c r="AZ84" s="1766"/>
      <c r="BA84" s="1201"/>
      <c r="BB84" s="1490"/>
    </row>
    <row r="85" spans="1:54" ht="14.1" customHeight="1" thickBot="1">
      <c r="A85" s="2497"/>
      <c r="B85" s="974"/>
      <c r="C85" s="972">
        <f>VLOOKUP($B$83,'Rainfall data'!$A$3:$N$33,9,FALSE)</f>
        <v>0</v>
      </c>
      <c r="D85" s="972">
        <f>VLOOKUP($B$83,'Rainfall data'!$A$3:$N$33,10,FALSE)</f>
        <v>0</v>
      </c>
      <c r="E85" s="972">
        <f>VLOOKUP($B$83,'Rainfall data'!$A$3:$N$33,11,FALSE)</f>
        <v>0</v>
      </c>
      <c r="F85" s="972">
        <f>VLOOKUP($B$83,'Rainfall data'!$A$3:$N$33,12,FALSE)</f>
        <v>0</v>
      </c>
      <c r="G85" s="972">
        <f>VLOOKUP($B$83,'Rainfall data'!$A$3:$N$33,13,FALSE)</f>
        <v>0</v>
      </c>
      <c r="H85" s="973">
        <f>VLOOKUP($B$83,'Rainfall data'!$A$3:$N$33,14,FALSE)</f>
        <v>0</v>
      </c>
      <c r="I85" s="724"/>
      <c r="J85" s="712"/>
      <c r="K85" s="712"/>
      <c r="L85" s="1427"/>
      <c r="M85" s="1199"/>
      <c r="N85" s="1761">
        <f>(SUM(O73:O74))*1000</f>
        <v>0</v>
      </c>
      <c r="O85" s="1622" t="s">
        <v>402</v>
      </c>
      <c r="P85" s="1412" t="s">
        <v>726</v>
      </c>
      <c r="Q85" s="1416">
        <v>31</v>
      </c>
      <c r="R85" s="1416">
        <v>28</v>
      </c>
      <c r="S85" s="1416">
        <v>31</v>
      </c>
      <c r="T85" s="1416">
        <v>30</v>
      </c>
      <c r="U85" s="1416">
        <v>31</v>
      </c>
      <c r="V85" s="1416">
        <v>30</v>
      </c>
      <c r="W85" s="1416">
        <v>31</v>
      </c>
      <c r="X85" s="1416">
        <v>31</v>
      </c>
      <c r="Y85" s="1416">
        <v>30</v>
      </c>
      <c r="Z85" s="1416">
        <v>31</v>
      </c>
      <c r="AA85" s="1416">
        <v>30</v>
      </c>
      <c r="AB85" s="1417">
        <v>31</v>
      </c>
      <c r="AC85" s="1200"/>
      <c r="AD85" s="1559">
        <f>SUM(Q85:AB85)</f>
        <v>365</v>
      </c>
      <c r="AE85" s="1554"/>
      <c r="AF85" s="1200"/>
      <c r="AH85" s="1771"/>
      <c r="AI85" s="2587" t="s">
        <v>1075</v>
      </c>
      <c r="AJ85" s="2588"/>
      <c r="AK85" s="2654"/>
      <c r="AL85" s="2654"/>
      <c r="AM85" s="2654"/>
      <c r="AN85" s="2654"/>
      <c r="AO85" s="2654"/>
      <c r="AP85" s="2654"/>
      <c r="AQ85" s="2654"/>
      <c r="AR85" s="2654"/>
      <c r="AS85" s="2654"/>
      <c r="AT85" s="2654"/>
      <c r="AU85" s="2654"/>
      <c r="AV85" s="2654"/>
      <c r="AW85" s="2654"/>
      <c r="AX85" s="2655"/>
      <c r="AY85" s="1771"/>
      <c r="AZ85" s="1771"/>
      <c r="BA85" s="1201"/>
      <c r="BB85" s="1490"/>
    </row>
    <row r="86" spans="1:54" ht="32.25" customHeight="1" thickBot="1">
      <c r="A86" s="2497"/>
      <c r="B86" s="975"/>
      <c r="C86" s="2509" t="s">
        <v>976</v>
      </c>
      <c r="D86" s="2509"/>
      <c r="E86" s="2509"/>
      <c r="F86" s="2509"/>
      <c r="G86" s="2509"/>
      <c r="H86" s="1355">
        <f>VLOOKUP($B$83,'Rainfall data'!$A$3:$P$33,16,FALSE)</f>
        <v>0</v>
      </c>
      <c r="I86" s="713"/>
      <c r="J86" s="712"/>
      <c r="K86" s="712"/>
      <c r="L86" s="1427"/>
      <c r="M86" s="1199"/>
      <c r="N86" s="1763"/>
      <c r="O86" s="1181"/>
      <c r="P86" s="1418" t="s">
        <v>727</v>
      </c>
      <c r="Q86" s="1419"/>
      <c r="R86" s="1419"/>
      <c r="S86" s="1419"/>
      <c r="T86" s="1419"/>
      <c r="U86" s="1419"/>
      <c r="V86" s="1419"/>
      <c r="W86" s="1419"/>
      <c r="X86" s="1419"/>
      <c r="Y86" s="1419"/>
      <c r="Z86" s="1419"/>
      <c r="AA86" s="1419"/>
      <c r="AB86" s="1420"/>
      <c r="AC86" s="1200"/>
      <c r="AD86" s="1560" t="e">
        <f>1/AD78*AD84</f>
        <v>#DIV/0!</v>
      </c>
      <c r="AE86" s="1556">
        <f>AD79-AD82</f>
        <v>0</v>
      </c>
      <c r="AF86" s="1200"/>
      <c r="AH86" s="1766"/>
      <c r="AI86" s="2656" t="s">
        <v>1082</v>
      </c>
      <c r="AJ86" s="2657"/>
      <c r="AK86" s="2658"/>
      <c r="AL86" s="2658"/>
      <c r="AM86" s="2658"/>
      <c r="AN86" s="2658"/>
      <c r="AO86" s="2658"/>
      <c r="AP86" s="2658"/>
      <c r="AQ86" s="2658"/>
      <c r="AR86" s="2658"/>
      <c r="AS86" s="2658"/>
      <c r="AT86" s="2658"/>
      <c r="AU86" s="2658"/>
      <c r="AV86" s="2658"/>
      <c r="AW86" s="2658"/>
      <c r="AX86" s="2659"/>
      <c r="AY86" s="1766"/>
      <c r="AZ86" s="1766"/>
      <c r="BA86" s="1201"/>
      <c r="BB86" s="1490"/>
    </row>
    <row r="87" spans="1:54" ht="33.75" customHeight="1">
      <c r="A87" s="2497"/>
      <c r="B87" s="2357" t="s">
        <v>410</v>
      </c>
      <c r="C87" s="2489"/>
      <c r="D87" s="2489"/>
      <c r="E87" s="2489"/>
      <c r="F87" s="2489"/>
      <c r="G87" s="2500">
        <f>IF(TYPE(N85/$H$4)=16,0,(N85/$H$4))</f>
        <v>0</v>
      </c>
      <c r="H87" s="2500"/>
      <c r="I87" s="713"/>
      <c r="J87" s="712"/>
      <c r="K87" s="712"/>
      <c r="L87" s="1765"/>
      <c r="M87" s="1764"/>
      <c r="N87" s="1764"/>
      <c r="O87" s="1762"/>
      <c r="P87" s="1402"/>
      <c r="Q87" s="1457" t="s">
        <v>1013</v>
      </c>
      <c r="R87" s="1403"/>
      <c r="S87" s="1403"/>
      <c r="T87" s="1403"/>
      <c r="U87" s="1403"/>
      <c r="V87" s="1403"/>
      <c r="W87" s="1403"/>
      <c r="X87" s="1403"/>
      <c r="Y87" s="1403"/>
      <c r="Z87" s="1403"/>
      <c r="AA87" s="1403"/>
      <c r="AB87" s="1404"/>
      <c r="AC87" s="1200"/>
      <c r="AD87" s="1462"/>
      <c r="AE87" s="1200"/>
      <c r="AF87" s="1366"/>
      <c r="AH87" s="1766"/>
      <c r="AI87" s="2553" t="s">
        <v>1360</v>
      </c>
      <c r="AJ87" s="2554"/>
      <c r="AK87" s="1516" t="e">
        <f>(AK74)/(AK$78+AK$84)</f>
        <v>#DIV/0!</v>
      </c>
      <c r="AL87" s="1517" t="e">
        <f t="shared" ref="AL87:AV87" si="18">(AL74)/(AL$78+AL$84)</f>
        <v>#DIV/0!</v>
      </c>
      <c r="AM87" s="1517" t="e">
        <f t="shared" si="18"/>
        <v>#DIV/0!</v>
      </c>
      <c r="AN87" s="1517" t="e">
        <f t="shared" si="18"/>
        <v>#DIV/0!</v>
      </c>
      <c r="AO87" s="1517" t="e">
        <f t="shared" si="18"/>
        <v>#DIV/0!</v>
      </c>
      <c r="AP87" s="1517" t="e">
        <f t="shared" si="18"/>
        <v>#DIV/0!</v>
      </c>
      <c r="AQ87" s="1517" t="e">
        <f t="shared" si="18"/>
        <v>#DIV/0!</v>
      </c>
      <c r="AR87" s="1517" t="e">
        <f t="shared" si="18"/>
        <v>#DIV/0!</v>
      </c>
      <c r="AS87" s="1517" t="e">
        <f t="shared" si="18"/>
        <v>#DIV/0!</v>
      </c>
      <c r="AT87" s="1517" t="e">
        <f t="shared" si="18"/>
        <v>#DIV/0!</v>
      </c>
      <c r="AU87" s="1517" t="e">
        <f t="shared" si="18"/>
        <v>#DIV/0!</v>
      </c>
      <c r="AV87" s="1518" t="e">
        <f t="shared" si="18"/>
        <v>#DIV/0!</v>
      </c>
      <c r="AW87" s="1737"/>
      <c r="AX87" s="2640"/>
      <c r="AY87" s="1766"/>
      <c r="AZ87" s="1766"/>
      <c r="BA87" s="1201"/>
      <c r="BB87" s="1490"/>
    </row>
    <row r="88" spans="1:54" ht="12" customHeight="1" thickBot="1">
      <c r="A88" s="2497"/>
      <c r="B88" s="668"/>
      <c r="C88" s="681"/>
      <c r="D88" s="681"/>
      <c r="E88" s="681"/>
      <c r="F88" s="681"/>
      <c r="G88" s="681"/>
      <c r="H88" s="681"/>
      <c r="I88" s="713"/>
      <c r="J88" s="712"/>
      <c r="K88" s="712"/>
      <c r="L88" s="1429"/>
      <c r="M88" s="1430"/>
      <c r="N88" s="1430"/>
      <c r="O88" s="1430"/>
      <c r="P88" s="1421" t="s">
        <v>663</v>
      </c>
      <c r="Q88" s="1422">
        <v>21</v>
      </c>
      <c r="R88" s="1422">
        <v>20</v>
      </c>
      <c r="S88" s="1422">
        <v>23</v>
      </c>
      <c r="T88" s="1422">
        <v>22</v>
      </c>
      <c r="U88" s="1422">
        <v>21</v>
      </c>
      <c r="V88" s="1422">
        <v>22</v>
      </c>
      <c r="W88" s="1422">
        <v>22</v>
      </c>
      <c r="X88" s="1422">
        <v>22</v>
      </c>
      <c r="Y88" s="1422">
        <v>22</v>
      </c>
      <c r="Z88" s="1422">
        <v>21</v>
      </c>
      <c r="AA88" s="1422">
        <v>22</v>
      </c>
      <c r="AB88" s="1423">
        <v>23</v>
      </c>
      <c r="AC88" s="1434"/>
      <c r="AD88" s="1463">
        <f>SUM(Q88:AB88)</f>
        <v>261</v>
      </c>
      <c r="AE88" s="1434"/>
      <c r="AF88" s="1366"/>
      <c r="AH88" s="1766"/>
      <c r="AI88" s="2553" t="s">
        <v>1064</v>
      </c>
      <c r="AJ88" s="2554"/>
      <c r="AK88" s="1519" t="e">
        <f>(AK75)/(AK$78+AK$84)</f>
        <v>#DIV/0!</v>
      </c>
      <c r="AL88" s="1495" t="e">
        <f t="shared" ref="AL88:AV88" si="19">(AL75)/(AL$78+AL$84)</f>
        <v>#DIV/0!</v>
      </c>
      <c r="AM88" s="1495" t="e">
        <f t="shared" si="19"/>
        <v>#DIV/0!</v>
      </c>
      <c r="AN88" s="1495" t="e">
        <f t="shared" si="19"/>
        <v>#DIV/0!</v>
      </c>
      <c r="AO88" s="1495" t="e">
        <f t="shared" si="19"/>
        <v>#DIV/0!</v>
      </c>
      <c r="AP88" s="1495" t="e">
        <f t="shared" si="19"/>
        <v>#DIV/0!</v>
      </c>
      <c r="AQ88" s="1495" t="e">
        <f t="shared" si="19"/>
        <v>#DIV/0!</v>
      </c>
      <c r="AR88" s="1495" t="e">
        <f t="shared" si="19"/>
        <v>#DIV/0!</v>
      </c>
      <c r="AS88" s="1495" t="e">
        <f t="shared" si="19"/>
        <v>#DIV/0!</v>
      </c>
      <c r="AT88" s="1495" t="e">
        <f t="shared" si="19"/>
        <v>#DIV/0!</v>
      </c>
      <c r="AU88" s="1495" t="e">
        <f t="shared" si="19"/>
        <v>#DIV/0!</v>
      </c>
      <c r="AV88" s="1520" t="e">
        <f t="shared" si="19"/>
        <v>#DIV/0!</v>
      </c>
      <c r="AW88" s="1738"/>
      <c r="AX88" s="2641"/>
      <c r="AY88" s="1766"/>
      <c r="AZ88" s="1766"/>
      <c r="BA88" s="1201"/>
      <c r="BB88" s="1490"/>
    </row>
    <row r="89" spans="1:54" ht="27.75" customHeight="1" thickBot="1">
      <c r="A89" s="2497"/>
      <c r="B89" s="2355" t="s">
        <v>728</v>
      </c>
      <c r="C89" s="2356"/>
      <c r="D89" s="2356"/>
      <c r="E89" s="2356"/>
      <c r="F89" s="2356"/>
      <c r="G89" s="2356"/>
      <c r="H89" s="2356"/>
      <c r="I89" s="713"/>
      <c r="J89" s="712"/>
      <c r="K89" s="712"/>
      <c r="L89" s="1179"/>
      <c r="M89" s="1179"/>
      <c r="N89" s="1179"/>
      <c r="P89" s="1435"/>
      <c r="Q89" s="1436">
        <f t="shared" ref="Q89:AB89" si="20">Q85/Q88</f>
        <v>1.4761904761904763</v>
      </c>
      <c r="R89" s="1436">
        <f t="shared" si="20"/>
        <v>1.4</v>
      </c>
      <c r="S89" s="1436">
        <f t="shared" si="20"/>
        <v>1.3478260869565217</v>
      </c>
      <c r="T89" s="1436">
        <f t="shared" si="20"/>
        <v>1.3636363636363635</v>
      </c>
      <c r="U89" s="1436">
        <f t="shared" si="20"/>
        <v>1.4761904761904763</v>
      </c>
      <c r="V89" s="1436">
        <f t="shared" si="20"/>
        <v>1.3636363636363635</v>
      </c>
      <c r="W89" s="1436">
        <f t="shared" si="20"/>
        <v>1.4090909090909092</v>
      </c>
      <c r="X89" s="1436">
        <f t="shared" si="20"/>
        <v>1.4090909090909092</v>
      </c>
      <c r="Y89" s="1436">
        <f t="shared" si="20"/>
        <v>1.3636363636363635</v>
      </c>
      <c r="Z89" s="1436">
        <f t="shared" si="20"/>
        <v>1.4761904761904763</v>
      </c>
      <c r="AA89" s="1436">
        <f t="shared" si="20"/>
        <v>1.3636363636363635</v>
      </c>
      <c r="AB89" s="1436">
        <f t="shared" si="20"/>
        <v>1.3478260869565217</v>
      </c>
      <c r="AC89" s="1436"/>
      <c r="AD89" s="1436">
        <f>AD85/AD88</f>
        <v>1.3984674329501916</v>
      </c>
      <c r="AE89" s="1436"/>
      <c r="AF89" s="1437"/>
      <c r="AH89" s="1766"/>
      <c r="AI89" s="2553" t="s">
        <v>1065</v>
      </c>
      <c r="AJ89" s="2554"/>
      <c r="AK89" s="1519" t="e">
        <f>(AK76)/(AK$78+AK$84)</f>
        <v>#DIV/0!</v>
      </c>
      <c r="AL89" s="1495" t="e">
        <f t="shared" ref="AL89:AV89" si="21">(AL76)/(AL$78+AL$84)</f>
        <v>#DIV/0!</v>
      </c>
      <c r="AM89" s="1495" t="e">
        <f t="shared" si="21"/>
        <v>#DIV/0!</v>
      </c>
      <c r="AN89" s="1495" t="e">
        <f t="shared" si="21"/>
        <v>#DIV/0!</v>
      </c>
      <c r="AO89" s="1495" t="e">
        <f t="shared" si="21"/>
        <v>#DIV/0!</v>
      </c>
      <c r="AP89" s="1495" t="e">
        <f t="shared" si="21"/>
        <v>#DIV/0!</v>
      </c>
      <c r="AQ89" s="1495" t="e">
        <f t="shared" si="21"/>
        <v>#DIV/0!</v>
      </c>
      <c r="AR89" s="1495" t="e">
        <f t="shared" si="21"/>
        <v>#DIV/0!</v>
      </c>
      <c r="AS89" s="1495" t="e">
        <f t="shared" si="21"/>
        <v>#DIV/0!</v>
      </c>
      <c r="AT89" s="1495" t="e">
        <f t="shared" si="21"/>
        <v>#DIV/0!</v>
      </c>
      <c r="AU89" s="1495" t="e">
        <f t="shared" si="21"/>
        <v>#DIV/0!</v>
      </c>
      <c r="AV89" s="1520" t="e">
        <f t="shared" si="21"/>
        <v>#DIV/0!</v>
      </c>
      <c r="AW89" s="1738"/>
      <c r="AX89" s="2641"/>
      <c r="AY89" s="1766"/>
      <c r="AZ89" s="1766"/>
      <c r="BA89" s="1201"/>
      <c r="BB89" s="1490"/>
    </row>
    <row r="90" spans="1:54" ht="34.5" customHeight="1" thickBot="1">
      <c r="A90" s="2497"/>
      <c r="B90" s="2359" t="s">
        <v>1367</v>
      </c>
      <c r="C90" s="2442"/>
      <c r="D90" s="2442"/>
      <c r="E90" s="2442"/>
      <c r="F90" s="2442"/>
      <c r="G90" s="2460"/>
      <c r="H90" s="2445"/>
      <c r="I90" s="718"/>
      <c r="J90" s="712"/>
      <c r="K90" s="712"/>
      <c r="L90" s="1424">
        <v>2</v>
      </c>
      <c r="M90" s="1425" t="s">
        <v>805</v>
      </c>
      <c r="N90" s="1179"/>
      <c r="AH90" s="1766"/>
      <c r="AI90" s="2553" t="s">
        <v>1066</v>
      </c>
      <c r="AJ90" s="2554"/>
      <c r="AK90" s="1519" t="e">
        <f>(AK77)/(AK$78+AK$84)</f>
        <v>#DIV/0!</v>
      </c>
      <c r="AL90" s="1495" t="e">
        <f t="shared" ref="AL90:AV90" si="22">(AL77)/(AL$78+AL$84)</f>
        <v>#DIV/0!</v>
      </c>
      <c r="AM90" s="1495" t="e">
        <f t="shared" si="22"/>
        <v>#DIV/0!</v>
      </c>
      <c r="AN90" s="1495" t="e">
        <f t="shared" si="22"/>
        <v>#DIV/0!</v>
      </c>
      <c r="AO90" s="1495" t="e">
        <f t="shared" si="22"/>
        <v>#DIV/0!</v>
      </c>
      <c r="AP90" s="1495" t="e">
        <f t="shared" si="22"/>
        <v>#DIV/0!</v>
      </c>
      <c r="AQ90" s="1495" t="e">
        <f t="shared" si="22"/>
        <v>#DIV/0!</v>
      </c>
      <c r="AR90" s="1495" t="e">
        <f t="shared" si="22"/>
        <v>#DIV/0!</v>
      </c>
      <c r="AS90" s="1495" t="e">
        <f t="shared" si="22"/>
        <v>#DIV/0!</v>
      </c>
      <c r="AT90" s="1495" t="e">
        <f t="shared" si="22"/>
        <v>#DIV/0!</v>
      </c>
      <c r="AU90" s="1495" t="e">
        <f t="shared" si="22"/>
        <v>#DIV/0!</v>
      </c>
      <c r="AV90" s="1520" t="e">
        <f t="shared" si="22"/>
        <v>#DIV/0!</v>
      </c>
      <c r="AW90" s="1738"/>
      <c r="AX90" s="2641"/>
      <c r="AY90" s="1766"/>
      <c r="AZ90" s="1766"/>
      <c r="BA90" s="1201"/>
      <c r="BB90" s="1490"/>
    </row>
    <row r="91" spans="1:54" ht="19.5" customHeight="1" thickBot="1">
      <c r="A91" s="2497"/>
      <c r="B91" s="2448" t="s">
        <v>1368</v>
      </c>
      <c r="C91" s="2494"/>
      <c r="D91" s="2494"/>
      <c r="E91" s="2494"/>
      <c r="F91" s="2494"/>
      <c r="G91" s="2494"/>
      <c r="H91" s="2495"/>
      <c r="I91" s="720"/>
      <c r="J91" s="712"/>
      <c r="K91" s="712"/>
      <c r="AD91" s="1181" t="s">
        <v>418</v>
      </c>
      <c r="AH91" s="1766"/>
      <c r="AI91" s="2551" t="s">
        <v>1068</v>
      </c>
      <c r="AJ91" s="2552"/>
      <c r="AK91" s="1519" t="e">
        <f>(AK80)/(AK$78+AK$84)</f>
        <v>#DIV/0!</v>
      </c>
      <c r="AL91" s="1495" t="e">
        <f t="shared" ref="AL91:AV91" si="23">(AL80)/(AL$78+AL$84)</f>
        <v>#DIV/0!</v>
      </c>
      <c r="AM91" s="1495" t="e">
        <f t="shared" si="23"/>
        <v>#DIV/0!</v>
      </c>
      <c r="AN91" s="1495" t="e">
        <f t="shared" si="23"/>
        <v>#DIV/0!</v>
      </c>
      <c r="AO91" s="1495" t="e">
        <f t="shared" si="23"/>
        <v>#DIV/0!</v>
      </c>
      <c r="AP91" s="1495" t="e">
        <f t="shared" si="23"/>
        <v>#DIV/0!</v>
      </c>
      <c r="AQ91" s="1495" t="e">
        <f t="shared" si="23"/>
        <v>#DIV/0!</v>
      </c>
      <c r="AR91" s="1495" t="e">
        <f t="shared" si="23"/>
        <v>#DIV/0!</v>
      </c>
      <c r="AS91" s="1495" t="e">
        <f t="shared" si="23"/>
        <v>#DIV/0!</v>
      </c>
      <c r="AT91" s="1495" t="e">
        <f t="shared" si="23"/>
        <v>#DIV/0!</v>
      </c>
      <c r="AU91" s="1495" t="e">
        <f t="shared" si="23"/>
        <v>#DIV/0!</v>
      </c>
      <c r="AV91" s="1520" t="e">
        <f t="shared" si="23"/>
        <v>#DIV/0!</v>
      </c>
      <c r="AW91" s="1738"/>
      <c r="AX91" s="2641"/>
      <c r="AY91" s="1766"/>
      <c r="AZ91" s="1766"/>
      <c r="BA91" s="1201"/>
      <c r="BB91" s="1490"/>
    </row>
    <row r="92" spans="1:54" ht="18" customHeight="1" thickBot="1">
      <c r="A92" s="2497"/>
      <c r="B92" s="2118"/>
      <c r="C92" s="2119" t="s">
        <v>731</v>
      </c>
      <c r="D92" s="2119"/>
      <c r="E92" s="2120" t="s">
        <v>57</v>
      </c>
      <c r="F92" s="2119"/>
      <c r="G92" s="2119"/>
      <c r="H92" s="2121"/>
      <c r="I92" s="720"/>
      <c r="J92" s="712"/>
      <c r="K92" s="712"/>
      <c r="L92" s="2581" t="s">
        <v>766</v>
      </c>
      <c r="M92" s="2582"/>
      <c r="N92" s="2583" t="s">
        <v>404</v>
      </c>
      <c r="O92" s="2584"/>
      <c r="P92" s="1470" t="s">
        <v>574</v>
      </c>
      <c r="Q92" s="1472" t="s">
        <v>575</v>
      </c>
      <c r="R92" s="1473" t="s">
        <v>576</v>
      </c>
      <c r="S92" s="1473" t="s">
        <v>577</v>
      </c>
      <c r="T92" s="1473" t="s">
        <v>578</v>
      </c>
      <c r="U92" s="1473" t="s">
        <v>579</v>
      </c>
      <c r="V92" s="1473" t="s">
        <v>580</v>
      </c>
      <c r="W92" s="1473" t="s">
        <v>581</v>
      </c>
      <c r="X92" s="1473" t="s">
        <v>582</v>
      </c>
      <c r="Y92" s="1473" t="s">
        <v>583</v>
      </c>
      <c r="Z92" s="1473" t="s">
        <v>584</v>
      </c>
      <c r="AA92" s="1473" t="s">
        <v>585</v>
      </c>
      <c r="AB92" s="1474" t="s">
        <v>586</v>
      </c>
      <c r="AH92" s="1766"/>
      <c r="AI92" s="2551" t="s">
        <v>1069</v>
      </c>
      <c r="AJ92" s="2552"/>
      <c r="AK92" s="1519" t="e">
        <f>(AK81)/(AK$78+AK$84)</f>
        <v>#DIV/0!</v>
      </c>
      <c r="AL92" s="1495" t="e">
        <f t="shared" ref="AL92:AV92" si="24">(AL81)/(AL$78+AL$84)</f>
        <v>#DIV/0!</v>
      </c>
      <c r="AM92" s="1495" t="e">
        <f t="shared" si="24"/>
        <v>#DIV/0!</v>
      </c>
      <c r="AN92" s="1495" t="e">
        <f t="shared" si="24"/>
        <v>#DIV/0!</v>
      </c>
      <c r="AO92" s="1495" t="e">
        <f t="shared" si="24"/>
        <v>#DIV/0!</v>
      </c>
      <c r="AP92" s="1495" t="e">
        <f t="shared" si="24"/>
        <v>#DIV/0!</v>
      </c>
      <c r="AQ92" s="1495" t="e">
        <f t="shared" si="24"/>
        <v>#DIV/0!</v>
      </c>
      <c r="AR92" s="1495" t="e">
        <f t="shared" si="24"/>
        <v>#DIV/0!</v>
      </c>
      <c r="AS92" s="1495" t="e">
        <f t="shared" si="24"/>
        <v>#DIV/0!</v>
      </c>
      <c r="AT92" s="1495" t="e">
        <f t="shared" si="24"/>
        <v>#DIV/0!</v>
      </c>
      <c r="AU92" s="1495" t="e">
        <f t="shared" si="24"/>
        <v>#DIV/0!</v>
      </c>
      <c r="AV92" s="1520" t="e">
        <f t="shared" si="24"/>
        <v>#DIV/0!</v>
      </c>
      <c r="AW92" s="1738"/>
      <c r="AX92" s="2641"/>
      <c r="AY92" s="1766"/>
      <c r="AZ92" s="1766"/>
      <c r="BA92" s="1201"/>
      <c r="BB92" s="1490"/>
    </row>
    <row r="93" spans="1:54" ht="23.25" customHeight="1">
      <c r="A93" s="2497"/>
      <c r="B93" s="2118"/>
      <c r="C93" s="2120" t="s">
        <v>732</v>
      </c>
      <c r="D93" s="2119"/>
      <c r="E93" s="2120" t="s">
        <v>58</v>
      </c>
      <c r="F93" s="2119"/>
      <c r="G93" s="2119"/>
      <c r="H93" s="2121"/>
      <c r="I93" s="720"/>
      <c r="J93" s="712"/>
      <c r="K93" s="712"/>
      <c r="L93" s="1438" t="b">
        <v>0</v>
      </c>
      <c r="M93" s="1441" t="b">
        <v>0</v>
      </c>
      <c r="N93" s="1471">
        <f>IF(L90=1,0,IF(L93,(T113/AX72)/1000,0))</f>
        <v>0</v>
      </c>
      <c r="O93" s="1743">
        <f>IF(L90=1,0,IF(M93,(W113/AX72)/1000,0))</f>
        <v>0</v>
      </c>
      <c r="P93" s="1470" t="s">
        <v>1018</v>
      </c>
      <c r="Q93" s="1475">
        <f>($N$97*Q88)/1000</f>
        <v>0</v>
      </c>
      <c r="R93" s="1476">
        <f t="shared" ref="R93:AB93" si="25">($N$97*R88)/1000</f>
        <v>0</v>
      </c>
      <c r="S93" s="1476">
        <f t="shared" si="25"/>
        <v>0</v>
      </c>
      <c r="T93" s="1476">
        <f t="shared" si="25"/>
        <v>0</v>
      </c>
      <c r="U93" s="1476">
        <f t="shared" si="25"/>
        <v>0</v>
      </c>
      <c r="V93" s="1476">
        <f t="shared" si="25"/>
        <v>0</v>
      </c>
      <c r="W93" s="1476">
        <f t="shared" si="25"/>
        <v>0</v>
      </c>
      <c r="X93" s="1476">
        <f t="shared" si="25"/>
        <v>0</v>
      </c>
      <c r="Y93" s="1476">
        <f t="shared" si="25"/>
        <v>0</v>
      </c>
      <c r="Z93" s="1476">
        <f t="shared" si="25"/>
        <v>0</v>
      </c>
      <c r="AA93" s="1476">
        <f t="shared" si="25"/>
        <v>0</v>
      </c>
      <c r="AB93" s="1477">
        <f t="shared" si="25"/>
        <v>0</v>
      </c>
      <c r="AD93" s="1486">
        <f>SUM(Q93:AB93)</f>
        <v>0</v>
      </c>
      <c r="AH93" s="1766"/>
      <c r="AI93" s="2551" t="s">
        <v>1070</v>
      </c>
      <c r="AJ93" s="2552"/>
      <c r="AK93" s="1519" t="e">
        <f>(AK82)/(AK$78+AK$84)</f>
        <v>#DIV/0!</v>
      </c>
      <c r="AL93" s="1495" t="e">
        <f t="shared" ref="AL93:AV93" si="26">(AL82)/(AL$78+AL$84)</f>
        <v>#DIV/0!</v>
      </c>
      <c r="AM93" s="1495" t="e">
        <f t="shared" si="26"/>
        <v>#DIV/0!</v>
      </c>
      <c r="AN93" s="1495" t="e">
        <f t="shared" si="26"/>
        <v>#DIV/0!</v>
      </c>
      <c r="AO93" s="1495" t="e">
        <f t="shared" si="26"/>
        <v>#DIV/0!</v>
      </c>
      <c r="AP93" s="1495" t="e">
        <f t="shared" si="26"/>
        <v>#DIV/0!</v>
      </c>
      <c r="AQ93" s="1495" t="e">
        <f t="shared" si="26"/>
        <v>#DIV/0!</v>
      </c>
      <c r="AR93" s="1495" t="e">
        <f t="shared" si="26"/>
        <v>#DIV/0!</v>
      </c>
      <c r="AS93" s="1495" t="e">
        <f t="shared" si="26"/>
        <v>#DIV/0!</v>
      </c>
      <c r="AT93" s="1495" t="e">
        <f t="shared" si="26"/>
        <v>#DIV/0!</v>
      </c>
      <c r="AU93" s="1495" t="e">
        <f t="shared" si="26"/>
        <v>#DIV/0!</v>
      </c>
      <c r="AV93" s="1520" t="e">
        <f t="shared" si="26"/>
        <v>#DIV/0!</v>
      </c>
      <c r="AW93" s="1738"/>
      <c r="AX93" s="2641"/>
      <c r="AY93" s="1766"/>
      <c r="AZ93" s="1766"/>
      <c r="BA93" s="1201"/>
      <c r="BB93" s="1490"/>
    </row>
    <row r="94" spans="1:54" ht="21.75" customHeight="1" thickBot="1">
      <c r="A94" s="2497"/>
      <c r="B94" s="2122"/>
      <c r="C94" s="2123" t="s">
        <v>1539</v>
      </c>
      <c r="D94" s="2124"/>
      <c r="E94" s="2123" t="s">
        <v>927</v>
      </c>
      <c r="F94" s="2124"/>
      <c r="G94" s="2124"/>
      <c r="H94" s="2125"/>
      <c r="I94" s="2126"/>
      <c r="J94" s="712"/>
      <c r="K94" s="712"/>
      <c r="L94" s="1439" t="b">
        <v>0</v>
      </c>
      <c r="M94" s="1442" t="b">
        <v>0</v>
      </c>
      <c r="N94" s="1744">
        <f>IF(L90=1,0,IF(L94,(U113/AX72)/1000,0))</f>
        <v>0</v>
      </c>
      <c r="O94" s="1745">
        <f>IF(L90=1,0,IF(M94,(X113/AX72)/1000,0))</f>
        <v>0</v>
      </c>
      <c r="P94" s="1470" t="s">
        <v>1019</v>
      </c>
      <c r="Q94" s="1475">
        <f>($N$98*Q88)/1000</f>
        <v>0</v>
      </c>
      <c r="R94" s="1476">
        <f t="shared" ref="R94:AB94" si="27">($N$98*R88)/1000</f>
        <v>0</v>
      </c>
      <c r="S94" s="1476">
        <f t="shared" si="27"/>
        <v>0</v>
      </c>
      <c r="T94" s="1476">
        <f t="shared" si="27"/>
        <v>0</v>
      </c>
      <c r="U94" s="1476">
        <f t="shared" si="27"/>
        <v>0</v>
      </c>
      <c r="V94" s="1476">
        <f t="shared" si="27"/>
        <v>0</v>
      </c>
      <c r="W94" s="1476">
        <f t="shared" si="27"/>
        <v>0</v>
      </c>
      <c r="X94" s="1476">
        <f t="shared" si="27"/>
        <v>0</v>
      </c>
      <c r="Y94" s="1476">
        <f t="shared" si="27"/>
        <v>0</v>
      </c>
      <c r="Z94" s="1476">
        <f t="shared" si="27"/>
        <v>0</v>
      </c>
      <c r="AA94" s="1476">
        <f t="shared" si="27"/>
        <v>0</v>
      </c>
      <c r="AB94" s="1477">
        <f t="shared" si="27"/>
        <v>0</v>
      </c>
      <c r="AD94" s="1487">
        <f>SUM(Q94:AB94)</f>
        <v>0</v>
      </c>
      <c r="AH94" s="1766"/>
      <c r="AI94" s="2551" t="s">
        <v>1071</v>
      </c>
      <c r="AJ94" s="2552"/>
      <c r="AK94" s="1521" t="e">
        <f>(AK83)/(AK$78+AK$84)</f>
        <v>#DIV/0!</v>
      </c>
      <c r="AL94" s="1522" t="e">
        <f t="shared" ref="AL94:AV94" si="28">(AL83)/(AL$78+AL$84)</f>
        <v>#DIV/0!</v>
      </c>
      <c r="AM94" s="1522" t="e">
        <f t="shared" si="28"/>
        <v>#DIV/0!</v>
      </c>
      <c r="AN94" s="1522" t="e">
        <f t="shared" si="28"/>
        <v>#DIV/0!</v>
      </c>
      <c r="AO94" s="1522" t="e">
        <f t="shared" si="28"/>
        <v>#DIV/0!</v>
      </c>
      <c r="AP94" s="1522" t="e">
        <f t="shared" si="28"/>
        <v>#DIV/0!</v>
      </c>
      <c r="AQ94" s="1522" t="e">
        <f t="shared" si="28"/>
        <v>#DIV/0!</v>
      </c>
      <c r="AR94" s="1522" t="e">
        <f t="shared" si="28"/>
        <v>#DIV/0!</v>
      </c>
      <c r="AS94" s="1522" t="e">
        <f t="shared" si="28"/>
        <v>#DIV/0!</v>
      </c>
      <c r="AT94" s="1522" t="e">
        <f t="shared" si="28"/>
        <v>#DIV/0!</v>
      </c>
      <c r="AU94" s="1522" t="e">
        <f t="shared" si="28"/>
        <v>#DIV/0!</v>
      </c>
      <c r="AV94" s="1523" t="e">
        <f t="shared" si="28"/>
        <v>#DIV/0!</v>
      </c>
      <c r="AW94" s="1739"/>
      <c r="AX94" s="2642"/>
      <c r="AY94" s="1766"/>
      <c r="AZ94" s="1766"/>
      <c r="BA94" s="1201"/>
      <c r="BB94" s="1490"/>
    </row>
    <row r="95" spans="1:54" ht="16.5" customHeight="1" thickBot="1">
      <c r="A95" s="2497"/>
      <c r="B95" s="2514" t="s">
        <v>1628</v>
      </c>
      <c r="C95" s="2515"/>
      <c r="D95" s="2515"/>
      <c r="E95" s="2515"/>
      <c r="F95" s="2515"/>
      <c r="G95" s="2486"/>
      <c r="H95" s="2486"/>
      <c r="I95" s="721"/>
      <c r="J95" s="712"/>
      <c r="K95" s="712"/>
      <c r="L95" s="1440" t="b">
        <v>0</v>
      </c>
      <c r="M95" s="1443" t="b">
        <v>0</v>
      </c>
      <c r="N95" s="1746">
        <f>IF(L90=1,0,IF(L95,(V113/AX72)/1000,0))</f>
        <v>0</v>
      </c>
      <c r="O95" s="1747">
        <f>IF(L90=1,0,IF(M95,(Y113/AX72)/1000,0))</f>
        <v>0</v>
      </c>
      <c r="P95" s="1470" t="s">
        <v>1020</v>
      </c>
      <c r="Q95" s="1475">
        <f>($N$99*Q88)/1000</f>
        <v>0</v>
      </c>
      <c r="R95" s="1476">
        <f t="shared" ref="R95:AB95" si="29">($N$99*R88)/1000</f>
        <v>0</v>
      </c>
      <c r="S95" s="1476">
        <f t="shared" si="29"/>
        <v>0</v>
      </c>
      <c r="T95" s="1476">
        <f t="shared" si="29"/>
        <v>0</v>
      </c>
      <c r="U95" s="1476">
        <f t="shared" si="29"/>
        <v>0</v>
      </c>
      <c r="V95" s="1476">
        <f t="shared" si="29"/>
        <v>0</v>
      </c>
      <c r="W95" s="1476">
        <f t="shared" si="29"/>
        <v>0</v>
      </c>
      <c r="X95" s="1476">
        <f t="shared" si="29"/>
        <v>0</v>
      </c>
      <c r="Y95" s="1476">
        <f t="shared" si="29"/>
        <v>0</v>
      </c>
      <c r="Z95" s="1476">
        <f t="shared" si="29"/>
        <v>0</v>
      </c>
      <c r="AA95" s="1476">
        <f t="shared" si="29"/>
        <v>0</v>
      </c>
      <c r="AB95" s="1477">
        <f t="shared" si="29"/>
        <v>0</v>
      </c>
      <c r="AD95" s="1487">
        <f>SUM(Q95:AB95)</f>
        <v>0</v>
      </c>
      <c r="AH95" s="1771"/>
      <c r="AI95" s="2565" t="s">
        <v>1083</v>
      </c>
      <c r="AJ95" s="2566"/>
      <c r="AK95" s="2566"/>
      <c r="AL95" s="2566"/>
      <c r="AM95" s="2566"/>
      <c r="AN95" s="2566"/>
      <c r="AO95" s="2566"/>
      <c r="AP95" s="2566"/>
      <c r="AQ95" s="2566"/>
      <c r="AR95" s="2566"/>
      <c r="AS95" s="2566"/>
      <c r="AT95" s="2566"/>
      <c r="AU95" s="2566"/>
      <c r="AV95" s="2566"/>
      <c r="AW95" s="2566"/>
      <c r="AX95" s="2567"/>
      <c r="AY95" s="1771"/>
      <c r="AZ95" s="1771"/>
      <c r="BA95" s="1201"/>
      <c r="BB95" s="1490"/>
    </row>
    <row r="96" spans="1:54" ht="17.25" customHeight="1" thickBot="1">
      <c r="A96" s="2497"/>
      <c r="B96" s="2490" t="s">
        <v>1629</v>
      </c>
      <c r="C96" s="2491"/>
      <c r="D96" s="2491"/>
      <c r="E96" s="2491"/>
      <c r="F96" s="2491"/>
      <c r="G96" s="2349"/>
      <c r="H96" s="2349"/>
      <c r="I96" s="722"/>
      <c r="J96" s="712"/>
      <c r="K96" s="712"/>
      <c r="L96" s="1179"/>
      <c r="M96" s="1179"/>
      <c r="N96" s="1468" t="s">
        <v>1017</v>
      </c>
      <c r="O96" s="1469">
        <f>SUM(N93:O95)</f>
        <v>0</v>
      </c>
      <c r="P96" s="1470" t="s">
        <v>1021</v>
      </c>
      <c r="Q96" s="1478">
        <f>SUM(Q93:Q95)</f>
        <v>0</v>
      </c>
      <c r="R96" s="1479">
        <f t="shared" ref="R96:AB96" si="30">SUM(R93:R95)</f>
        <v>0</v>
      </c>
      <c r="S96" s="1479">
        <f t="shared" si="30"/>
        <v>0</v>
      </c>
      <c r="T96" s="1479">
        <f t="shared" si="30"/>
        <v>0</v>
      </c>
      <c r="U96" s="1479">
        <f t="shared" si="30"/>
        <v>0</v>
      </c>
      <c r="V96" s="1479">
        <f t="shared" si="30"/>
        <v>0</v>
      </c>
      <c r="W96" s="1479">
        <f t="shared" si="30"/>
        <v>0</v>
      </c>
      <c r="X96" s="1479">
        <f t="shared" si="30"/>
        <v>0</v>
      </c>
      <c r="Y96" s="1479">
        <f t="shared" si="30"/>
        <v>0</v>
      </c>
      <c r="Z96" s="1479">
        <f t="shared" si="30"/>
        <v>0</v>
      </c>
      <c r="AA96" s="1479">
        <f t="shared" si="30"/>
        <v>0</v>
      </c>
      <c r="AB96" s="1480">
        <f t="shared" si="30"/>
        <v>0</v>
      </c>
      <c r="AD96" s="1488">
        <f>SUM(Q96:AB96)</f>
        <v>0</v>
      </c>
      <c r="AH96" s="1709"/>
      <c r="AI96" s="2660" t="s">
        <v>1076</v>
      </c>
      <c r="AJ96" s="2661"/>
      <c r="AK96" s="1524" t="e">
        <f>(AK84)/(AK84+AK78)</f>
        <v>#DIV/0!</v>
      </c>
      <c r="AL96" s="1525" t="e">
        <f t="shared" ref="AL96:AV96" si="31">(AL84)/(AL84+AL78)</f>
        <v>#DIV/0!</v>
      </c>
      <c r="AM96" s="1525" t="e">
        <f t="shared" si="31"/>
        <v>#DIV/0!</v>
      </c>
      <c r="AN96" s="1525" t="e">
        <f t="shared" si="31"/>
        <v>#DIV/0!</v>
      </c>
      <c r="AO96" s="1525" t="e">
        <f t="shared" si="31"/>
        <v>#DIV/0!</v>
      </c>
      <c r="AP96" s="1525" t="e">
        <f t="shared" si="31"/>
        <v>#DIV/0!</v>
      </c>
      <c r="AQ96" s="1525" t="e">
        <f t="shared" si="31"/>
        <v>#DIV/0!</v>
      </c>
      <c r="AR96" s="1525" t="e">
        <f t="shared" si="31"/>
        <v>#DIV/0!</v>
      </c>
      <c r="AS96" s="1525" t="e">
        <f t="shared" si="31"/>
        <v>#DIV/0!</v>
      </c>
      <c r="AT96" s="1525" t="e">
        <f t="shared" si="31"/>
        <v>#DIV/0!</v>
      </c>
      <c r="AU96" s="1525" t="e">
        <f t="shared" si="31"/>
        <v>#DIV/0!</v>
      </c>
      <c r="AV96" s="1526" t="e">
        <f t="shared" si="31"/>
        <v>#DIV/0!</v>
      </c>
      <c r="AW96" s="1732"/>
      <c r="AX96" s="2629"/>
      <c r="AY96" s="1709"/>
      <c r="AZ96" s="1709"/>
      <c r="BA96" s="1181"/>
    </row>
    <row r="97" spans="1:53" ht="20.25" customHeight="1" thickBot="1">
      <c r="A97" s="2497"/>
      <c r="B97" s="2490" t="s">
        <v>773</v>
      </c>
      <c r="C97" s="2490"/>
      <c r="D97" s="2490"/>
      <c r="E97" s="2490"/>
      <c r="F97" s="2490"/>
      <c r="G97" s="2487"/>
      <c r="H97" s="2488"/>
      <c r="I97" s="713"/>
      <c r="J97" s="706"/>
      <c r="K97" s="706"/>
      <c r="L97" s="1179"/>
      <c r="M97" s="1179"/>
      <c r="N97" s="1620">
        <f>G95*N40</f>
        <v>0</v>
      </c>
      <c r="O97" s="1179" t="s">
        <v>968</v>
      </c>
      <c r="AD97" s="1212"/>
      <c r="AH97" s="1709"/>
      <c r="AI97" s="2625" t="s">
        <v>1077</v>
      </c>
      <c r="AJ97" s="2626"/>
      <c r="AK97" s="1527" t="e">
        <f>(AK74+AK75)/(AK78+AK84)</f>
        <v>#DIV/0!</v>
      </c>
      <c r="AL97" s="1496" t="e">
        <f t="shared" ref="AL97:AV97" si="32">(AL74+AL75)/(AL78+AL84)</f>
        <v>#DIV/0!</v>
      </c>
      <c r="AM97" s="1496" t="e">
        <f t="shared" si="32"/>
        <v>#DIV/0!</v>
      </c>
      <c r="AN97" s="1496" t="e">
        <f t="shared" si="32"/>
        <v>#DIV/0!</v>
      </c>
      <c r="AO97" s="1496" t="e">
        <f t="shared" si="32"/>
        <v>#DIV/0!</v>
      </c>
      <c r="AP97" s="1496" t="e">
        <f t="shared" si="32"/>
        <v>#DIV/0!</v>
      </c>
      <c r="AQ97" s="1496" t="e">
        <f t="shared" si="32"/>
        <v>#DIV/0!</v>
      </c>
      <c r="AR97" s="1496" t="e">
        <f t="shared" si="32"/>
        <v>#DIV/0!</v>
      </c>
      <c r="AS97" s="1496" t="e">
        <f t="shared" si="32"/>
        <v>#DIV/0!</v>
      </c>
      <c r="AT97" s="1496" t="e">
        <f t="shared" si="32"/>
        <v>#DIV/0!</v>
      </c>
      <c r="AU97" s="1496" t="e">
        <f t="shared" si="32"/>
        <v>#DIV/0!</v>
      </c>
      <c r="AV97" s="1528" t="e">
        <f t="shared" si="32"/>
        <v>#DIV/0!</v>
      </c>
      <c r="AW97" s="1733"/>
      <c r="AX97" s="2630"/>
      <c r="AY97" s="1709"/>
      <c r="AZ97" s="1709"/>
      <c r="BA97" s="1181"/>
    </row>
    <row r="98" spans="1:53" ht="24.75" customHeight="1" thickBot="1">
      <c r="A98" s="2497"/>
      <c r="B98" s="2516" t="s">
        <v>1134</v>
      </c>
      <c r="C98" s="2517"/>
      <c r="D98" s="2518"/>
      <c r="E98" s="2518"/>
      <c r="F98" s="2518"/>
      <c r="G98" s="2444" t="s">
        <v>738</v>
      </c>
      <c r="H98" s="2445"/>
      <c r="I98" s="713"/>
      <c r="J98" s="712"/>
      <c r="K98" s="712"/>
      <c r="L98" s="1179"/>
      <c r="M98" s="1179"/>
      <c r="N98" s="1621">
        <f>G96*N48</f>
        <v>0</v>
      </c>
      <c r="O98" s="1179" t="s">
        <v>969</v>
      </c>
      <c r="P98" s="1181" t="s">
        <v>1022</v>
      </c>
      <c r="Q98" s="1483">
        <f>($O$93+$O$94)*Q88</f>
        <v>0</v>
      </c>
      <c r="R98" s="1484">
        <f t="shared" ref="R98:AB98" si="33">($O$93+$O$94)*R88</f>
        <v>0</v>
      </c>
      <c r="S98" s="1484">
        <f t="shared" si="33"/>
        <v>0</v>
      </c>
      <c r="T98" s="1484">
        <f t="shared" si="33"/>
        <v>0</v>
      </c>
      <c r="U98" s="1484">
        <f t="shared" si="33"/>
        <v>0</v>
      </c>
      <c r="V98" s="1484">
        <f t="shared" si="33"/>
        <v>0</v>
      </c>
      <c r="W98" s="1484">
        <f t="shared" si="33"/>
        <v>0</v>
      </c>
      <c r="X98" s="1484">
        <f t="shared" si="33"/>
        <v>0</v>
      </c>
      <c r="Y98" s="1484">
        <f t="shared" si="33"/>
        <v>0</v>
      </c>
      <c r="Z98" s="1484">
        <f t="shared" si="33"/>
        <v>0</v>
      </c>
      <c r="AA98" s="1484">
        <f t="shared" si="33"/>
        <v>0</v>
      </c>
      <c r="AB98" s="1485">
        <f t="shared" si="33"/>
        <v>0</v>
      </c>
      <c r="AD98" s="1489">
        <f>SUM(Q98:AB98)</f>
        <v>0</v>
      </c>
      <c r="AE98" s="1201" t="s">
        <v>1024</v>
      </c>
      <c r="AH98" s="1709"/>
      <c r="AI98" s="2625" t="s">
        <v>1078</v>
      </c>
      <c r="AJ98" s="2626"/>
      <c r="AK98" s="1529" t="e">
        <f>(AK76+AK77)/(AK78+AK84)</f>
        <v>#DIV/0!</v>
      </c>
      <c r="AL98" s="1530" t="e">
        <f t="shared" ref="AL98:AV98" si="34">(AL76+AL77)/(AL78+AL84)</f>
        <v>#DIV/0!</v>
      </c>
      <c r="AM98" s="1530" t="e">
        <f t="shared" si="34"/>
        <v>#DIV/0!</v>
      </c>
      <c r="AN98" s="1530" t="e">
        <f t="shared" si="34"/>
        <v>#DIV/0!</v>
      </c>
      <c r="AO98" s="1530" t="e">
        <f t="shared" si="34"/>
        <v>#DIV/0!</v>
      </c>
      <c r="AP98" s="1530" t="e">
        <f t="shared" si="34"/>
        <v>#DIV/0!</v>
      </c>
      <c r="AQ98" s="1530" t="e">
        <f t="shared" si="34"/>
        <v>#DIV/0!</v>
      </c>
      <c r="AR98" s="1530" t="e">
        <f t="shared" si="34"/>
        <v>#DIV/0!</v>
      </c>
      <c r="AS98" s="1530" t="e">
        <f t="shared" si="34"/>
        <v>#DIV/0!</v>
      </c>
      <c r="AT98" s="1530" t="e">
        <f t="shared" si="34"/>
        <v>#DIV/0!</v>
      </c>
      <c r="AU98" s="1530" t="e">
        <f t="shared" si="34"/>
        <v>#DIV/0!</v>
      </c>
      <c r="AV98" s="1531" t="e">
        <f t="shared" si="34"/>
        <v>#DIV/0!</v>
      </c>
      <c r="AW98" s="1735"/>
      <c r="AX98" s="2631"/>
      <c r="AY98" s="1709"/>
      <c r="AZ98" s="1709"/>
      <c r="BA98" s="1181"/>
    </row>
    <row r="99" spans="1:53" ht="18" customHeight="1" thickBot="1">
      <c r="A99" s="2497"/>
      <c r="B99" s="2440" t="s">
        <v>148</v>
      </c>
      <c r="C99" s="2440"/>
      <c r="D99" s="2441"/>
      <c r="E99" s="2441"/>
      <c r="F99" s="2441"/>
      <c r="G99" s="2446">
        <v>0</v>
      </c>
      <c r="H99" s="2447"/>
      <c r="I99" s="721"/>
      <c r="J99" s="713"/>
      <c r="K99" s="713"/>
      <c r="L99" s="1179"/>
      <c r="M99" s="1187"/>
      <c r="N99" s="1467">
        <f>SUM(G99:H102)</f>
        <v>0</v>
      </c>
      <c r="O99" s="1183" t="s">
        <v>880</v>
      </c>
      <c r="P99" s="1181" t="s">
        <v>1023</v>
      </c>
      <c r="Q99" s="1478">
        <f>($N$93*Q85)+($N$94*Q88)+($N$95*Q88)+($O$95*Q88)</f>
        <v>0</v>
      </c>
      <c r="R99" s="1481">
        <f t="shared" ref="R99:AB99" si="35">($N$93*R85)+($N$94*R88)+($N$95*R88)+($O$95*R88)</f>
        <v>0</v>
      </c>
      <c r="S99" s="1481">
        <f t="shared" si="35"/>
        <v>0</v>
      </c>
      <c r="T99" s="1481">
        <f t="shared" si="35"/>
        <v>0</v>
      </c>
      <c r="U99" s="1481">
        <f t="shared" si="35"/>
        <v>0</v>
      </c>
      <c r="V99" s="1481">
        <f t="shared" si="35"/>
        <v>0</v>
      </c>
      <c r="W99" s="1481">
        <f t="shared" si="35"/>
        <v>0</v>
      </c>
      <c r="X99" s="1481">
        <f t="shared" si="35"/>
        <v>0</v>
      </c>
      <c r="Y99" s="1481">
        <f t="shared" si="35"/>
        <v>0</v>
      </c>
      <c r="Z99" s="1481">
        <f t="shared" si="35"/>
        <v>0</v>
      </c>
      <c r="AA99" s="1481">
        <f t="shared" si="35"/>
        <v>0</v>
      </c>
      <c r="AB99" s="1482">
        <f t="shared" si="35"/>
        <v>0</v>
      </c>
      <c r="AD99" s="1488">
        <f>SUM(Q99:AB99)</f>
        <v>0</v>
      </c>
      <c r="AH99" s="1770"/>
      <c r="AI99" s="2643" t="s">
        <v>1085</v>
      </c>
      <c r="AJ99" s="2644"/>
      <c r="AK99" s="2645"/>
      <c r="AL99" s="2645"/>
      <c r="AM99" s="2645"/>
      <c r="AN99" s="2645"/>
      <c r="AO99" s="2645"/>
      <c r="AP99" s="2645"/>
      <c r="AQ99" s="2645"/>
      <c r="AR99" s="2645"/>
      <c r="AS99" s="2645"/>
      <c r="AT99" s="2645"/>
      <c r="AU99" s="2645"/>
      <c r="AV99" s="2645"/>
      <c r="AW99" s="2645"/>
      <c r="AX99" s="2646"/>
      <c r="AY99" s="1770"/>
      <c r="AZ99" s="1770"/>
      <c r="BA99" s="1181"/>
    </row>
    <row r="100" spans="1:53" ht="18" customHeight="1" thickBot="1">
      <c r="A100" s="2497"/>
      <c r="B100" s="2440" t="s">
        <v>148</v>
      </c>
      <c r="C100" s="2440"/>
      <c r="D100" s="2441"/>
      <c r="E100" s="2441"/>
      <c r="F100" s="2441"/>
      <c r="G100" s="2446">
        <v>0</v>
      </c>
      <c r="H100" s="2447"/>
      <c r="I100" s="721"/>
      <c r="J100" s="713"/>
      <c r="K100" s="713"/>
      <c r="L100" s="1179"/>
      <c r="M100" s="1187"/>
      <c r="N100" s="1623">
        <f>IF(SUM(N97:N99)&lt;(G97*1000),SUM(N97:N99),(G97*1000))</f>
        <v>0</v>
      </c>
      <c r="O100" s="1622" t="s">
        <v>1461</v>
      </c>
      <c r="AH100" s="1709"/>
      <c r="AI100" s="2627" t="s">
        <v>1572</v>
      </c>
      <c r="AJ100" s="2628"/>
      <c r="AK100" s="1591">
        <f>$N$118*AK72</f>
        <v>0</v>
      </c>
      <c r="AL100" s="1592">
        <f t="shared" ref="AL100:AV100" si="36">$N$118*AL72</f>
        <v>0</v>
      </c>
      <c r="AM100" s="1592">
        <f t="shared" si="36"/>
        <v>0</v>
      </c>
      <c r="AN100" s="1592">
        <f t="shared" si="36"/>
        <v>0</v>
      </c>
      <c r="AO100" s="1592">
        <f t="shared" si="36"/>
        <v>0</v>
      </c>
      <c r="AP100" s="1592">
        <f t="shared" si="36"/>
        <v>0</v>
      </c>
      <c r="AQ100" s="1592">
        <f t="shared" si="36"/>
        <v>0</v>
      </c>
      <c r="AR100" s="1592">
        <f t="shared" si="36"/>
        <v>0</v>
      </c>
      <c r="AS100" s="1592">
        <f t="shared" si="36"/>
        <v>0</v>
      </c>
      <c r="AT100" s="1592">
        <f t="shared" si="36"/>
        <v>0</v>
      </c>
      <c r="AU100" s="1592">
        <f t="shared" si="36"/>
        <v>0</v>
      </c>
      <c r="AV100" s="1593">
        <f t="shared" si="36"/>
        <v>0</v>
      </c>
      <c r="AW100" s="1732"/>
      <c r="AX100" s="1726">
        <f>SUM(AK100:AV100)</f>
        <v>0</v>
      </c>
      <c r="AY100" s="1770"/>
      <c r="AZ100" s="1709"/>
      <c r="BA100" s="1181"/>
    </row>
    <row r="101" spans="1:53" ht="18" customHeight="1" thickBot="1">
      <c r="A101" s="2497"/>
      <c r="B101" s="2440" t="s">
        <v>148</v>
      </c>
      <c r="C101" s="2440"/>
      <c r="D101" s="2441"/>
      <c r="E101" s="2441"/>
      <c r="F101" s="2441"/>
      <c r="G101" s="2446">
        <v>0</v>
      </c>
      <c r="H101" s="2447"/>
      <c r="I101" s="713"/>
      <c r="J101" s="712"/>
      <c r="K101" s="712"/>
      <c r="L101" s="1179"/>
      <c r="M101" s="1179"/>
      <c r="N101" s="1754">
        <f>SUM(O93:O94)*1000</f>
        <v>0</v>
      </c>
      <c r="O101" s="1622" t="s">
        <v>402</v>
      </c>
      <c r="AH101" s="1709"/>
      <c r="AI101" s="2573" t="s">
        <v>1457</v>
      </c>
      <c r="AJ101" s="1532" t="s">
        <v>1079</v>
      </c>
      <c r="AK101" s="1533">
        <f>IF($M$109,(AK87+AK88),0)</f>
        <v>0</v>
      </c>
      <c r="AL101" s="1534">
        <f t="shared" ref="AL101:AV101" si="37">IF($M$109,(AL87+AL88),0)</f>
        <v>0</v>
      </c>
      <c r="AM101" s="1534">
        <f t="shared" si="37"/>
        <v>0</v>
      </c>
      <c r="AN101" s="1534">
        <f t="shared" si="37"/>
        <v>0</v>
      </c>
      <c r="AO101" s="1534">
        <f t="shared" si="37"/>
        <v>0</v>
      </c>
      <c r="AP101" s="1534">
        <f t="shared" si="37"/>
        <v>0</v>
      </c>
      <c r="AQ101" s="1534">
        <f t="shared" si="37"/>
        <v>0</v>
      </c>
      <c r="AR101" s="1534">
        <f t="shared" si="37"/>
        <v>0</v>
      </c>
      <c r="AS101" s="1534">
        <f t="shared" si="37"/>
        <v>0</v>
      </c>
      <c r="AT101" s="1534">
        <f t="shared" si="37"/>
        <v>0</v>
      </c>
      <c r="AU101" s="1534">
        <f t="shared" si="37"/>
        <v>0</v>
      </c>
      <c r="AV101" s="1535">
        <f t="shared" si="37"/>
        <v>0</v>
      </c>
      <c r="AW101" s="1733"/>
      <c r="AX101" s="2576"/>
      <c r="AY101" s="1770"/>
      <c r="AZ101" s="1709"/>
      <c r="BA101" s="1181"/>
    </row>
    <row r="102" spans="1:53" ht="18" customHeight="1">
      <c r="A102" s="2497"/>
      <c r="B102" s="2440" t="s">
        <v>148</v>
      </c>
      <c r="C102" s="2440"/>
      <c r="D102" s="2441"/>
      <c r="E102" s="2441"/>
      <c r="F102" s="2441"/>
      <c r="G102" s="2446">
        <v>0</v>
      </c>
      <c r="H102" s="2447"/>
      <c r="I102" s="713"/>
      <c r="J102" s="712"/>
      <c r="K102" s="712"/>
      <c r="L102" s="1193"/>
      <c r="M102" s="1193"/>
      <c r="N102" s="1755"/>
      <c r="O102" s="1183"/>
      <c r="Q102" s="1206"/>
      <c r="AH102" s="1709"/>
      <c r="AI102" s="2574"/>
      <c r="AJ102" s="1532" t="s">
        <v>1080</v>
      </c>
      <c r="AK102" s="1536">
        <f>IF($M$110,(AK90+AK89),0)</f>
        <v>0</v>
      </c>
      <c r="AL102" s="1493">
        <f t="shared" ref="AL102:AV102" si="38">IF($M$110,(AL90+AL89),0)</f>
        <v>0</v>
      </c>
      <c r="AM102" s="1493">
        <f t="shared" si="38"/>
        <v>0</v>
      </c>
      <c r="AN102" s="1493">
        <f t="shared" si="38"/>
        <v>0</v>
      </c>
      <c r="AO102" s="1493">
        <f t="shared" si="38"/>
        <v>0</v>
      </c>
      <c r="AP102" s="1493">
        <f t="shared" si="38"/>
        <v>0</v>
      </c>
      <c r="AQ102" s="1493">
        <f t="shared" si="38"/>
        <v>0</v>
      </c>
      <c r="AR102" s="1493">
        <f t="shared" si="38"/>
        <v>0</v>
      </c>
      <c r="AS102" s="1493">
        <f t="shared" si="38"/>
        <v>0</v>
      </c>
      <c r="AT102" s="1493">
        <f t="shared" si="38"/>
        <v>0</v>
      </c>
      <c r="AU102" s="1493">
        <f t="shared" si="38"/>
        <v>0</v>
      </c>
      <c r="AV102" s="1537">
        <f t="shared" si="38"/>
        <v>0</v>
      </c>
      <c r="AW102" s="1733"/>
      <c r="AX102" s="2576"/>
      <c r="AY102" s="1770"/>
      <c r="AZ102" s="1709"/>
      <c r="BA102" s="1181"/>
    </row>
    <row r="103" spans="1:53" ht="18" hidden="1" customHeight="1" thickBot="1">
      <c r="A103" s="2497"/>
      <c r="B103" s="2492"/>
      <c r="C103" s="2492"/>
      <c r="D103" s="2492"/>
      <c r="E103" s="2492"/>
      <c r="F103" s="2492"/>
      <c r="G103" s="2492"/>
      <c r="H103" s="2492"/>
      <c r="I103" s="713"/>
      <c r="J103" s="712"/>
      <c r="K103" s="712"/>
      <c r="L103" s="1196"/>
      <c r="M103" s="1195"/>
      <c r="N103" s="1752"/>
      <c r="P103" s="1205"/>
      <c r="Q103" s="1206"/>
      <c r="AH103" s="1709"/>
      <c r="AI103" s="2574"/>
      <c r="AJ103" s="1498"/>
      <c r="AK103" s="1536"/>
      <c r="AL103" s="1493"/>
      <c r="AM103" s="1493"/>
      <c r="AN103" s="1493"/>
      <c r="AO103" s="1493"/>
      <c r="AP103" s="1493"/>
      <c r="AQ103" s="1493"/>
      <c r="AR103" s="1493"/>
      <c r="AS103" s="1493"/>
      <c r="AT103" s="1493"/>
      <c r="AU103" s="1493"/>
      <c r="AV103" s="1537"/>
      <c r="AW103" s="1733"/>
      <c r="AX103" s="2576"/>
      <c r="AY103" s="1770"/>
      <c r="AZ103" s="1709"/>
      <c r="BA103" s="1181"/>
    </row>
    <row r="104" spans="1:53" ht="35.25" customHeight="1" thickBot="1">
      <c r="A104" s="2497"/>
      <c r="B104" s="2443" t="s">
        <v>409</v>
      </c>
      <c r="C104" s="2443"/>
      <c r="D104" s="2443"/>
      <c r="E104" s="2443"/>
      <c r="F104" s="2443"/>
      <c r="G104" s="2484">
        <f>IF(TYPE(N101/$H$4)=16,0,(N101/$H$4))</f>
        <v>0</v>
      </c>
      <c r="H104" s="2484"/>
      <c r="I104" s="713"/>
      <c r="J104" s="706"/>
      <c r="K104" s="706"/>
      <c r="L104" s="1757"/>
      <c r="M104" s="1758"/>
      <c r="N104" s="1756"/>
      <c r="O104" s="1203"/>
      <c r="P104" s="1179"/>
      <c r="Q104" s="1206"/>
      <c r="AH104" s="1709"/>
      <c r="AI104" s="2574"/>
      <c r="AJ104" s="1569" t="s">
        <v>1016</v>
      </c>
      <c r="AK104" s="1536">
        <f>IF($L$110,AK92,0)</f>
        <v>0</v>
      </c>
      <c r="AL104" s="1493">
        <f t="shared" ref="AL104:AV104" si="39">IF($L$110,AL92,0)</f>
        <v>0</v>
      </c>
      <c r="AM104" s="1493">
        <f t="shared" si="39"/>
        <v>0</v>
      </c>
      <c r="AN104" s="1493">
        <f t="shared" si="39"/>
        <v>0</v>
      </c>
      <c r="AO104" s="1493">
        <f t="shared" si="39"/>
        <v>0</v>
      </c>
      <c r="AP104" s="1493">
        <f t="shared" si="39"/>
        <v>0</v>
      </c>
      <c r="AQ104" s="1493">
        <f t="shared" si="39"/>
        <v>0</v>
      </c>
      <c r="AR104" s="1493">
        <f t="shared" si="39"/>
        <v>0</v>
      </c>
      <c r="AS104" s="1493">
        <f t="shared" si="39"/>
        <v>0</v>
      </c>
      <c r="AT104" s="1493">
        <f t="shared" si="39"/>
        <v>0</v>
      </c>
      <c r="AU104" s="1493">
        <f t="shared" si="39"/>
        <v>0</v>
      </c>
      <c r="AV104" s="1537">
        <f t="shared" si="39"/>
        <v>0</v>
      </c>
      <c r="AW104" s="1733"/>
      <c r="AX104" s="2576"/>
      <c r="AY104" s="1770"/>
      <c r="AZ104" s="1709"/>
      <c r="BA104" s="1181"/>
    </row>
    <row r="105" spans="1:53" ht="12" customHeight="1" thickBot="1">
      <c r="A105" s="2497"/>
      <c r="B105" s="668"/>
      <c r="C105" s="681"/>
      <c r="D105" s="681"/>
      <c r="E105" s="681"/>
      <c r="F105" s="681"/>
      <c r="G105" s="681"/>
      <c r="H105" s="681"/>
      <c r="I105" s="713"/>
      <c r="J105" s="706"/>
      <c r="K105" s="706"/>
      <c r="L105" s="1179"/>
      <c r="M105" s="1179"/>
      <c r="N105" s="1760">
        <f>IF(AND(L90=2,H4&gt;0),IF(O96=0,0,IF(N100&lt;=(O96*1000),(N97+N98+N99)/H4,(((O96*1000)/N100)*(N97+N98+N99))/H4)),0)</f>
        <v>0</v>
      </c>
      <c r="O105" s="1203" t="s">
        <v>972</v>
      </c>
      <c r="P105" s="1179"/>
      <c r="Q105" s="1207"/>
      <c r="AH105" s="1709"/>
      <c r="AI105" s="2574"/>
      <c r="AJ105" s="1569" t="s">
        <v>731</v>
      </c>
      <c r="AK105" s="1536">
        <f>IF($L$109,AK91,0)</f>
        <v>0</v>
      </c>
      <c r="AL105" s="1493">
        <f t="shared" ref="AL105:AV105" si="40">IF($L$109,AL91,0)</f>
        <v>0</v>
      </c>
      <c r="AM105" s="1493">
        <f t="shared" si="40"/>
        <v>0</v>
      </c>
      <c r="AN105" s="1493">
        <f t="shared" si="40"/>
        <v>0</v>
      </c>
      <c r="AO105" s="1493">
        <f t="shared" si="40"/>
        <v>0</v>
      </c>
      <c r="AP105" s="1493">
        <f t="shared" si="40"/>
        <v>0</v>
      </c>
      <c r="AQ105" s="1493">
        <f t="shared" si="40"/>
        <v>0</v>
      </c>
      <c r="AR105" s="1493">
        <f t="shared" si="40"/>
        <v>0</v>
      </c>
      <c r="AS105" s="1493">
        <f t="shared" si="40"/>
        <v>0</v>
      </c>
      <c r="AT105" s="1493">
        <f t="shared" si="40"/>
        <v>0</v>
      </c>
      <c r="AU105" s="1493">
        <f t="shared" si="40"/>
        <v>0</v>
      </c>
      <c r="AV105" s="1537">
        <f t="shared" si="40"/>
        <v>0</v>
      </c>
      <c r="AW105" s="1733"/>
      <c r="AX105" s="2576"/>
      <c r="AY105" s="1770"/>
      <c r="AZ105" s="1709"/>
      <c r="BA105" s="1181"/>
    </row>
    <row r="106" spans="1:53" ht="18.75" customHeight="1" thickBot="1">
      <c r="A106" s="2497"/>
      <c r="B106" s="2355" t="s">
        <v>881</v>
      </c>
      <c r="C106" s="2356"/>
      <c r="D106" s="2356"/>
      <c r="E106" s="2356"/>
      <c r="F106" s="2356"/>
      <c r="G106" s="2356"/>
      <c r="H106" s="2356"/>
      <c r="I106" s="713"/>
      <c r="J106" s="706"/>
      <c r="K106" s="706"/>
      <c r="L106" s="1179"/>
      <c r="M106" s="1179"/>
      <c r="N106" s="1202"/>
      <c r="P106" s="1205"/>
      <c r="Q106" s="1206"/>
      <c r="AH106" s="1709"/>
      <c r="AI106" s="2574"/>
      <c r="AJ106" s="1569" t="s">
        <v>1081</v>
      </c>
      <c r="AK106" s="1536">
        <f>IF($L$111,AK93,0)</f>
        <v>0</v>
      </c>
      <c r="AL106" s="1493">
        <f t="shared" ref="AL106:AV106" si="41">IF($L$111,AL93,0)</f>
        <v>0</v>
      </c>
      <c r="AM106" s="1493">
        <f t="shared" si="41"/>
        <v>0</v>
      </c>
      <c r="AN106" s="1493">
        <f t="shared" si="41"/>
        <v>0</v>
      </c>
      <c r="AO106" s="1493">
        <f t="shared" si="41"/>
        <v>0</v>
      </c>
      <c r="AP106" s="1493">
        <f t="shared" si="41"/>
        <v>0</v>
      </c>
      <c r="AQ106" s="1493">
        <f t="shared" si="41"/>
        <v>0</v>
      </c>
      <c r="AR106" s="1493">
        <f t="shared" si="41"/>
        <v>0</v>
      </c>
      <c r="AS106" s="1493">
        <f t="shared" si="41"/>
        <v>0</v>
      </c>
      <c r="AT106" s="1493">
        <f t="shared" si="41"/>
        <v>0</v>
      </c>
      <c r="AU106" s="1493">
        <f t="shared" si="41"/>
        <v>0</v>
      </c>
      <c r="AV106" s="1537">
        <f t="shared" si="41"/>
        <v>0</v>
      </c>
      <c r="AW106" s="1733"/>
      <c r="AX106" s="2576"/>
      <c r="AY106" s="1770"/>
      <c r="AZ106" s="1709"/>
      <c r="BA106" s="1181"/>
    </row>
    <row r="107" spans="1:53" ht="34.5" customHeight="1" thickBot="1">
      <c r="A107" s="2497"/>
      <c r="B107" s="2359" t="s">
        <v>1343</v>
      </c>
      <c r="C107" s="2442"/>
      <c r="D107" s="2442"/>
      <c r="E107" s="2442"/>
      <c r="F107" s="2442"/>
      <c r="G107" s="2460"/>
      <c r="H107" s="2445"/>
      <c r="I107" s="718"/>
      <c r="J107" s="706"/>
      <c r="K107" s="706"/>
      <c r="L107" s="1424">
        <v>2</v>
      </c>
      <c r="M107" s="1425" t="s">
        <v>1462</v>
      </c>
      <c r="N107" s="1179"/>
      <c r="P107" s="1208"/>
      <c r="Q107" s="1209"/>
      <c r="AH107" s="1709"/>
      <c r="AI107" s="2575"/>
      <c r="AJ107" s="1569" t="s">
        <v>109</v>
      </c>
      <c r="AK107" s="1538">
        <f>IF($M$111,AK94,0)</f>
        <v>0</v>
      </c>
      <c r="AL107" s="1539">
        <f t="shared" ref="AL107:AV107" si="42">IF($M$111,AL94,0)</f>
        <v>0</v>
      </c>
      <c r="AM107" s="1539">
        <f t="shared" si="42"/>
        <v>0</v>
      </c>
      <c r="AN107" s="1539">
        <f t="shared" si="42"/>
        <v>0</v>
      </c>
      <c r="AO107" s="1539">
        <f t="shared" si="42"/>
        <v>0</v>
      </c>
      <c r="AP107" s="1539">
        <f t="shared" si="42"/>
        <v>0</v>
      </c>
      <c r="AQ107" s="1539">
        <f t="shared" si="42"/>
        <v>0</v>
      </c>
      <c r="AR107" s="1539">
        <f t="shared" si="42"/>
        <v>0</v>
      </c>
      <c r="AS107" s="1539">
        <f t="shared" si="42"/>
        <v>0</v>
      </c>
      <c r="AT107" s="1539">
        <f t="shared" si="42"/>
        <v>0</v>
      </c>
      <c r="AU107" s="1539">
        <f t="shared" si="42"/>
        <v>0</v>
      </c>
      <c r="AV107" s="1540">
        <f t="shared" si="42"/>
        <v>0</v>
      </c>
      <c r="AW107" s="1733"/>
      <c r="AX107" s="2576"/>
      <c r="AY107" s="1770"/>
      <c r="AZ107" s="1709"/>
      <c r="BA107" s="1181"/>
    </row>
    <row r="108" spans="1:53" ht="20.25" customHeight="1" thickBot="1">
      <c r="A108" s="2497"/>
      <c r="B108" s="2448" t="s">
        <v>1344</v>
      </c>
      <c r="C108" s="2449"/>
      <c r="D108" s="2449"/>
      <c r="E108" s="2449"/>
      <c r="F108" s="2449"/>
      <c r="G108" s="2449"/>
      <c r="H108" s="2450"/>
      <c r="I108" s="720"/>
      <c r="J108" s="706"/>
      <c r="K108" s="706"/>
      <c r="L108" s="2581" t="s">
        <v>766</v>
      </c>
      <c r="M108" s="2582"/>
      <c r="N108" s="2583" t="s">
        <v>403</v>
      </c>
      <c r="O108" s="2584"/>
      <c r="AH108" s="1709"/>
      <c r="AI108" s="2573" t="s">
        <v>1456</v>
      </c>
      <c r="AJ108" s="1532" t="s">
        <v>1079</v>
      </c>
      <c r="AK108" s="1577">
        <f t="shared" ref="AK108:AV108" si="43">IF(SUM($AK$101:$AK$107)=0,0,IF(AK$100*(AK101/SUM($AK$101:$AK$107))&lt;(AK74+AK75),AK$100*(AK101/SUM($AK$101:$AK$107)),(AK74+AK75)))</f>
        <v>0</v>
      </c>
      <c r="AL108" s="1578">
        <f t="shared" si="43"/>
        <v>0</v>
      </c>
      <c r="AM108" s="1578">
        <f t="shared" si="43"/>
        <v>0</v>
      </c>
      <c r="AN108" s="1578">
        <f t="shared" si="43"/>
        <v>0</v>
      </c>
      <c r="AO108" s="1578">
        <f t="shared" si="43"/>
        <v>0</v>
      </c>
      <c r="AP108" s="1578">
        <f t="shared" si="43"/>
        <v>0</v>
      </c>
      <c r="AQ108" s="1578">
        <f t="shared" si="43"/>
        <v>0</v>
      </c>
      <c r="AR108" s="1578">
        <f t="shared" si="43"/>
        <v>0</v>
      </c>
      <c r="AS108" s="1578">
        <f t="shared" si="43"/>
        <v>0</v>
      </c>
      <c r="AT108" s="1578">
        <f t="shared" si="43"/>
        <v>0</v>
      </c>
      <c r="AU108" s="1578">
        <f t="shared" si="43"/>
        <v>0</v>
      </c>
      <c r="AV108" s="1579">
        <f t="shared" si="43"/>
        <v>0</v>
      </c>
      <c r="AW108" s="1733"/>
      <c r="AX108" s="1727">
        <f t="shared" ref="AX108:AX119" si="44">SUM(AK108:AV108)</f>
        <v>0</v>
      </c>
      <c r="AY108" s="1773" t="e">
        <f>AX108/($AX$74+$AX$75)</f>
        <v>#DIV/0!</v>
      </c>
      <c r="AZ108" s="1709"/>
      <c r="BA108" s="1181"/>
    </row>
    <row r="109" spans="1:53" s="661" customFormat="1" ht="18" customHeight="1" thickBot="1">
      <c r="A109" s="2497"/>
      <c r="B109" s="2118"/>
      <c r="C109" s="2119" t="s">
        <v>731</v>
      </c>
      <c r="D109" s="2119"/>
      <c r="E109" s="2120" t="s">
        <v>840</v>
      </c>
      <c r="F109" s="2119"/>
      <c r="G109" s="2119"/>
      <c r="H109" s="2121"/>
      <c r="I109" s="720"/>
      <c r="J109" s="712"/>
      <c r="K109" s="712"/>
      <c r="L109" s="1438" t="b">
        <v>0</v>
      </c>
      <c r="M109" s="1616" t="b">
        <v>0</v>
      </c>
      <c r="N109" s="1471">
        <f>IF(L107=1,0,IF(L109,((T114/AX72)/1000),0))</f>
        <v>0</v>
      </c>
      <c r="O109" s="1743">
        <f>IF(L107=1,0,IF(M109,(W114/AX72)/1000,0))</f>
        <v>0</v>
      </c>
      <c r="P109" s="1185"/>
      <c r="Q109" s="1185"/>
      <c r="R109" s="1185"/>
      <c r="S109" s="1246"/>
      <c r="T109" s="1246"/>
      <c r="U109" s="1246"/>
      <c r="V109" s="1246"/>
      <c r="W109" s="1247"/>
      <c r="X109" s="1247"/>
      <c r="Y109" s="1247"/>
      <c r="Z109" s="1247"/>
      <c r="AA109" s="1185"/>
      <c r="AB109" s="1185"/>
      <c r="AC109" s="1185"/>
      <c r="AD109" s="1185"/>
      <c r="AE109" s="1185"/>
      <c r="AF109" s="1185"/>
      <c r="AG109" s="1185"/>
      <c r="AH109" s="1767"/>
      <c r="AI109" s="2574"/>
      <c r="AJ109" s="1532" t="s">
        <v>1080</v>
      </c>
      <c r="AK109" s="1580">
        <f t="shared" ref="AK109:AV109" si="45">IF(SUM($AK$101:$AK$107)=0,0,IF(AK$100*(AK102/SUM($AK$101:$AK$107))&lt;(AK76+AK77),AK$100*(AK102/SUM($AK$101:$AK$107)),(AK76+AK77)))</f>
        <v>0</v>
      </c>
      <c r="AL109" s="1581">
        <f t="shared" si="45"/>
        <v>0</v>
      </c>
      <c r="AM109" s="1581">
        <f t="shared" si="45"/>
        <v>0</v>
      </c>
      <c r="AN109" s="1581">
        <f t="shared" si="45"/>
        <v>0</v>
      </c>
      <c r="AO109" s="1581">
        <f t="shared" si="45"/>
        <v>0</v>
      </c>
      <c r="AP109" s="1581">
        <f t="shared" si="45"/>
        <v>0</v>
      </c>
      <c r="AQ109" s="1581">
        <f t="shared" si="45"/>
        <v>0</v>
      </c>
      <c r="AR109" s="1581">
        <f t="shared" si="45"/>
        <v>0</v>
      </c>
      <c r="AS109" s="1581">
        <f t="shared" si="45"/>
        <v>0</v>
      </c>
      <c r="AT109" s="1581">
        <f t="shared" si="45"/>
        <v>0</v>
      </c>
      <c r="AU109" s="1581">
        <f t="shared" si="45"/>
        <v>0</v>
      </c>
      <c r="AV109" s="1582">
        <f t="shared" si="45"/>
        <v>0</v>
      </c>
      <c r="AW109" s="1734"/>
      <c r="AX109" s="1728">
        <f t="shared" si="44"/>
        <v>0</v>
      </c>
      <c r="AY109" s="1773" t="e">
        <f>AX109/($AX$76+$AX$77)</f>
        <v>#DIV/0!</v>
      </c>
      <c r="AZ109" s="1767"/>
      <c r="BA109" s="1185"/>
    </row>
    <row r="110" spans="1:53" s="661" customFormat="1" ht="18" customHeight="1" thickBot="1">
      <c r="A110" s="2497"/>
      <c r="B110" s="2118"/>
      <c r="C110" s="2120" t="s">
        <v>732</v>
      </c>
      <c r="D110" s="2119"/>
      <c r="E110" s="2120" t="s">
        <v>333</v>
      </c>
      <c r="F110" s="2119"/>
      <c r="G110" s="2119"/>
      <c r="H110" s="2121"/>
      <c r="I110" s="720"/>
      <c r="J110" s="712"/>
      <c r="K110" s="712"/>
      <c r="L110" s="1439" t="b">
        <v>0</v>
      </c>
      <c r="M110" s="1617" t="b">
        <v>0</v>
      </c>
      <c r="N110" s="1744">
        <f>IF(L107=1,0,IF(L110,(U114/AX72)/1000,0))</f>
        <v>0</v>
      </c>
      <c r="O110" s="1745">
        <f>IF(L107=1,0,IF(M110,(X114/AX72)/1000,0))</f>
        <v>0</v>
      </c>
      <c r="P110" s="1185"/>
      <c r="Q110" s="1185"/>
      <c r="R110" s="1185"/>
      <c r="S110" s="2604" t="s">
        <v>1469</v>
      </c>
      <c r="T110" s="2605"/>
      <c r="U110" s="2605"/>
      <c r="V110" s="2605"/>
      <c r="W110" s="2605"/>
      <c r="X110" s="2605"/>
      <c r="Y110" s="2606"/>
      <c r="Z110" s="1201"/>
      <c r="AA110" s="1185"/>
      <c r="AB110" s="1185"/>
      <c r="AC110" s="1185"/>
      <c r="AD110" s="1185"/>
      <c r="AE110" s="1185"/>
      <c r="AF110" s="1185"/>
      <c r="AG110" s="1185"/>
      <c r="AH110" s="1767"/>
      <c r="AI110" s="2574"/>
      <c r="AJ110" s="1569" t="s">
        <v>1016</v>
      </c>
      <c r="AK110" s="1583">
        <f t="shared" ref="AK110:AV110" si="46">IF(SUM($AK$101:$AK$107)=0,0,IF(AK$100*(AK104/SUM($AK$101:$AK$107))&lt;(AK81),AK$100*(AK104/SUM($AK$101:$AK$107)),(AK81)))</f>
        <v>0</v>
      </c>
      <c r="AL110" s="1584">
        <f t="shared" si="46"/>
        <v>0</v>
      </c>
      <c r="AM110" s="1584">
        <f t="shared" si="46"/>
        <v>0</v>
      </c>
      <c r="AN110" s="1584">
        <f t="shared" si="46"/>
        <v>0</v>
      </c>
      <c r="AO110" s="1584">
        <f t="shared" si="46"/>
        <v>0</v>
      </c>
      <c r="AP110" s="1584">
        <f t="shared" si="46"/>
        <v>0</v>
      </c>
      <c r="AQ110" s="1584">
        <f t="shared" si="46"/>
        <v>0</v>
      </c>
      <c r="AR110" s="1584">
        <f t="shared" si="46"/>
        <v>0</v>
      </c>
      <c r="AS110" s="1584">
        <f t="shared" si="46"/>
        <v>0</v>
      </c>
      <c r="AT110" s="1584">
        <f t="shared" si="46"/>
        <v>0</v>
      </c>
      <c r="AU110" s="1584">
        <f t="shared" si="46"/>
        <v>0</v>
      </c>
      <c r="AV110" s="1585">
        <f t="shared" si="46"/>
        <v>0</v>
      </c>
      <c r="AW110" s="1734"/>
      <c r="AX110" s="1729">
        <f t="shared" si="44"/>
        <v>0</v>
      </c>
      <c r="AY110" s="1613">
        <f>SUM(AX108:AX109)</f>
        <v>0</v>
      </c>
      <c r="AZ110" s="1767"/>
      <c r="BA110" s="1185"/>
    </row>
    <row r="111" spans="1:53" s="661" customFormat="1" ht="18" customHeight="1" thickBot="1">
      <c r="A111" s="2497"/>
      <c r="B111" s="2122"/>
      <c r="C111" s="2123" t="s">
        <v>1539</v>
      </c>
      <c r="D111" s="2124"/>
      <c r="E111" s="2123" t="s">
        <v>928</v>
      </c>
      <c r="F111" s="2124"/>
      <c r="G111" s="2124"/>
      <c r="H111" s="2125"/>
      <c r="I111" s="720"/>
      <c r="J111" s="712"/>
      <c r="K111" s="712"/>
      <c r="L111" s="1440" t="b">
        <v>0</v>
      </c>
      <c r="M111" s="1618" t="b">
        <v>0</v>
      </c>
      <c r="N111" s="1746">
        <f>IF(L107=1,0,IF(L111,(V114/AX72)/1000,0))</f>
        <v>0</v>
      </c>
      <c r="O111" s="1747">
        <f>IF(L107=1,0,IF(M111,(Y114/AX72)/1000,0))</f>
        <v>0</v>
      </c>
      <c r="P111" s="1185"/>
      <c r="Q111" s="1210"/>
      <c r="R111" s="1185"/>
      <c r="S111" s="1790" t="s">
        <v>1015</v>
      </c>
      <c r="T111" s="1794" t="s">
        <v>731</v>
      </c>
      <c r="U111" s="1794" t="s">
        <v>1464</v>
      </c>
      <c r="V111" s="1794" t="s">
        <v>1465</v>
      </c>
      <c r="W111" s="1795" t="s">
        <v>1466</v>
      </c>
      <c r="X111" s="1795" t="s">
        <v>1467</v>
      </c>
      <c r="Y111" s="1796" t="s">
        <v>109</v>
      </c>
      <c r="Z111" s="1201"/>
      <c r="AA111" s="1185"/>
      <c r="AB111" s="1185"/>
      <c r="AC111" s="1185"/>
      <c r="AD111" s="1185"/>
      <c r="AE111" s="1185"/>
      <c r="AF111" s="1185"/>
      <c r="AG111" s="1185"/>
      <c r="AH111" s="1767"/>
      <c r="AI111" s="2574"/>
      <c r="AJ111" s="1569" t="s">
        <v>731</v>
      </c>
      <c r="AK111" s="1583">
        <f t="shared" ref="AK111:AV111" si="47">IF(SUM($AK$101:$AK$107)=0,0,IF(AK$100*(AK105/SUM($AK$101:$AK$107))&lt;(AK80),AK$100*(AK105/SUM($AK$101:$AK$107)),(AK80)))</f>
        <v>0</v>
      </c>
      <c r="AL111" s="1584">
        <f t="shared" si="47"/>
        <v>0</v>
      </c>
      <c r="AM111" s="1584">
        <f t="shared" si="47"/>
        <v>0</v>
      </c>
      <c r="AN111" s="1584">
        <f t="shared" si="47"/>
        <v>0</v>
      </c>
      <c r="AO111" s="1584">
        <f t="shared" si="47"/>
        <v>0</v>
      </c>
      <c r="AP111" s="1584">
        <f t="shared" si="47"/>
        <v>0</v>
      </c>
      <c r="AQ111" s="1584">
        <f t="shared" si="47"/>
        <v>0</v>
      </c>
      <c r="AR111" s="1584">
        <f t="shared" si="47"/>
        <v>0</v>
      </c>
      <c r="AS111" s="1584">
        <f t="shared" si="47"/>
        <v>0</v>
      </c>
      <c r="AT111" s="1584">
        <f t="shared" si="47"/>
        <v>0</v>
      </c>
      <c r="AU111" s="1584">
        <f t="shared" si="47"/>
        <v>0</v>
      </c>
      <c r="AV111" s="1585">
        <f t="shared" si="47"/>
        <v>0</v>
      </c>
      <c r="AW111" s="1734"/>
      <c r="AX111" s="1729">
        <f t="shared" si="44"/>
        <v>0</v>
      </c>
      <c r="AY111" s="1767"/>
      <c r="AZ111" s="1767"/>
      <c r="BA111" s="1185"/>
    </row>
    <row r="112" spans="1:53" ht="18" customHeight="1" thickBot="1">
      <c r="A112" s="2497"/>
      <c r="B112" s="2498" t="s">
        <v>1007</v>
      </c>
      <c r="C112" s="2499"/>
      <c r="D112" s="2499"/>
      <c r="E112" s="2499"/>
      <c r="F112" s="2499"/>
      <c r="G112" s="2486"/>
      <c r="H112" s="2486"/>
      <c r="I112" s="721"/>
      <c r="J112" s="706"/>
      <c r="K112" s="706"/>
      <c r="L112" s="1179"/>
      <c r="M112" s="1179"/>
      <c r="N112" s="1468" t="s">
        <v>1017</v>
      </c>
      <c r="O112" s="1469">
        <f>SUM(N109:O111)</f>
        <v>0</v>
      </c>
      <c r="S112" s="1791" t="s">
        <v>187</v>
      </c>
      <c r="T112" s="1741" t="e">
        <f>AX173</f>
        <v>#DIV/0!</v>
      </c>
      <c r="U112" s="1741" t="e">
        <f>AX172</f>
        <v>#DIV/0!</v>
      </c>
      <c r="V112" s="1741" t="e">
        <f>AX174</f>
        <v>#DIV/0!</v>
      </c>
      <c r="W112" s="1742" t="e">
        <f>AX170</f>
        <v>#DIV/0!</v>
      </c>
      <c r="X112" s="1497" t="e">
        <f>AX171</f>
        <v>#DIV/0!</v>
      </c>
      <c r="Y112" s="1775" t="e">
        <f>AX175</f>
        <v>#DIV/0!</v>
      </c>
      <c r="Z112" s="1201"/>
      <c r="AH112" s="1709"/>
      <c r="AI112" s="2574"/>
      <c r="AJ112" s="1569" t="s">
        <v>1081</v>
      </c>
      <c r="AK112" s="1583">
        <f t="shared" ref="AK112:AV112" si="48">IF(SUM($AK$101:$AK$107)=0,0,IF(AK$100*(AK106/SUM($AK$101:$AK$107))&lt;(AK82),AK$100*(AK106/SUM($AK$101:$AK$107)),(AK82)))</f>
        <v>0</v>
      </c>
      <c r="AL112" s="1584">
        <f t="shared" si="48"/>
        <v>0</v>
      </c>
      <c r="AM112" s="1584">
        <f t="shared" si="48"/>
        <v>0</v>
      </c>
      <c r="AN112" s="1584">
        <f t="shared" si="48"/>
        <v>0</v>
      </c>
      <c r="AO112" s="1584">
        <f t="shared" si="48"/>
        <v>0</v>
      </c>
      <c r="AP112" s="1584">
        <f t="shared" si="48"/>
        <v>0</v>
      </c>
      <c r="AQ112" s="1584">
        <f t="shared" si="48"/>
        <v>0</v>
      </c>
      <c r="AR112" s="1584">
        <f t="shared" si="48"/>
        <v>0</v>
      </c>
      <c r="AS112" s="1584">
        <f t="shared" si="48"/>
        <v>0</v>
      </c>
      <c r="AT112" s="1584">
        <f t="shared" si="48"/>
        <v>0</v>
      </c>
      <c r="AU112" s="1584">
        <f t="shared" si="48"/>
        <v>0</v>
      </c>
      <c r="AV112" s="1585">
        <f t="shared" si="48"/>
        <v>0</v>
      </c>
      <c r="AW112" s="1733"/>
      <c r="AX112" s="1729">
        <f t="shared" si="44"/>
        <v>0</v>
      </c>
      <c r="AY112" s="1709"/>
      <c r="AZ112" s="1709"/>
      <c r="BA112" s="1181"/>
    </row>
    <row r="113" spans="1:53" ht="16.5" customHeight="1" thickBot="1">
      <c r="A113" s="2497"/>
      <c r="B113" s="2357" t="s">
        <v>1008</v>
      </c>
      <c r="C113" s="2358"/>
      <c r="D113" s="2358"/>
      <c r="E113" s="2358"/>
      <c r="F113" s="2358"/>
      <c r="G113" s="2349"/>
      <c r="H113" s="2349"/>
      <c r="I113" s="722"/>
      <c r="J113" s="712"/>
      <c r="K113" s="712"/>
      <c r="L113" s="1179"/>
      <c r="M113" s="1179"/>
      <c r="N113" s="1620">
        <f>G112*N17</f>
        <v>0</v>
      </c>
      <c r="O113" s="1179" t="s">
        <v>970</v>
      </c>
      <c r="Q113" s="1211"/>
      <c r="S113" s="1791" t="s">
        <v>188</v>
      </c>
      <c r="T113" s="1655">
        <f>AX138</f>
        <v>0</v>
      </c>
      <c r="U113" s="1655">
        <f>AX137</f>
        <v>0</v>
      </c>
      <c r="V113" s="1655">
        <f>AX139</f>
        <v>0</v>
      </c>
      <c r="W113" s="1497">
        <f>AX135</f>
        <v>0</v>
      </c>
      <c r="X113" s="1497">
        <f>AX136</f>
        <v>0</v>
      </c>
      <c r="Y113" s="1776">
        <f>AX140</f>
        <v>0</v>
      </c>
      <c r="Z113" s="1201"/>
      <c r="AH113" s="1709"/>
      <c r="AI113" s="2575"/>
      <c r="AJ113" s="1569" t="s">
        <v>109</v>
      </c>
      <c r="AK113" s="1586">
        <f t="shared" ref="AK113:AV113" si="49">IF(SUM($AK$101:$AK$107)=0,0,IF(AK$100*(AK107/SUM($AK$101:$AK$107))&lt;(AK83),AK$100*(AK107/SUM($AK$101:$AK$107)),(AK83)))</f>
        <v>0</v>
      </c>
      <c r="AL113" s="1587">
        <f t="shared" si="49"/>
        <v>0</v>
      </c>
      <c r="AM113" s="1587">
        <f t="shared" si="49"/>
        <v>0</v>
      </c>
      <c r="AN113" s="1587">
        <f t="shared" si="49"/>
        <v>0</v>
      </c>
      <c r="AO113" s="1587">
        <f t="shared" si="49"/>
        <v>0</v>
      </c>
      <c r="AP113" s="1587">
        <f t="shared" si="49"/>
        <v>0</v>
      </c>
      <c r="AQ113" s="1587">
        <f t="shared" si="49"/>
        <v>0</v>
      </c>
      <c r="AR113" s="1587">
        <f t="shared" si="49"/>
        <v>0</v>
      </c>
      <c r="AS113" s="1587">
        <f t="shared" si="49"/>
        <v>0</v>
      </c>
      <c r="AT113" s="1587">
        <f t="shared" si="49"/>
        <v>0</v>
      </c>
      <c r="AU113" s="1587">
        <f t="shared" si="49"/>
        <v>0</v>
      </c>
      <c r="AV113" s="1588">
        <f t="shared" si="49"/>
        <v>0</v>
      </c>
      <c r="AW113" s="1733"/>
      <c r="AX113" s="1730">
        <f t="shared" si="44"/>
        <v>0</v>
      </c>
      <c r="AY113" s="1614">
        <f>SUM(AX110:AX113)</f>
        <v>0</v>
      </c>
      <c r="AZ113" s="1709"/>
      <c r="BA113" s="1181"/>
    </row>
    <row r="114" spans="1:53" ht="17.25" customHeight="1">
      <c r="A114" s="2497"/>
      <c r="B114" s="2357" t="s">
        <v>1009</v>
      </c>
      <c r="C114" s="2358"/>
      <c r="D114" s="2358"/>
      <c r="E114" s="2358"/>
      <c r="F114" s="2358"/>
      <c r="G114" s="2349"/>
      <c r="H114" s="2349"/>
      <c r="I114" s="713"/>
      <c r="J114" s="706"/>
      <c r="K114" s="706"/>
      <c r="L114" s="1179"/>
      <c r="M114" s="1179"/>
      <c r="N114" s="1621">
        <f>G113*N30</f>
        <v>0</v>
      </c>
      <c r="O114" s="1179" t="s">
        <v>971</v>
      </c>
      <c r="Q114" s="1211"/>
      <c r="S114" s="1792" t="s">
        <v>189</v>
      </c>
      <c r="T114" s="1777">
        <f>AX111</f>
        <v>0</v>
      </c>
      <c r="U114" s="1777">
        <f>AX110</f>
        <v>0</v>
      </c>
      <c r="V114" s="1777">
        <f>AX112</f>
        <v>0</v>
      </c>
      <c r="W114" s="1778">
        <f>AX108</f>
        <v>0</v>
      </c>
      <c r="X114" s="1778">
        <f>AX109</f>
        <v>0</v>
      </c>
      <c r="Y114" s="1779">
        <f>AX113</f>
        <v>0</v>
      </c>
      <c r="Z114" s="1201"/>
      <c r="AH114" s="1709"/>
      <c r="AI114" s="2573" t="s">
        <v>1782</v>
      </c>
      <c r="AJ114" s="1532" t="s">
        <v>1079</v>
      </c>
      <c r="AK114" s="1577">
        <f t="shared" ref="AK114:AV114" si="50">(AK74+AK75)-AK108</f>
        <v>0</v>
      </c>
      <c r="AL114" s="1578">
        <f t="shared" si="50"/>
        <v>0</v>
      </c>
      <c r="AM114" s="1578">
        <f t="shared" si="50"/>
        <v>0</v>
      </c>
      <c r="AN114" s="1578">
        <f t="shared" si="50"/>
        <v>0</v>
      </c>
      <c r="AO114" s="1578">
        <f t="shared" si="50"/>
        <v>0</v>
      </c>
      <c r="AP114" s="1578">
        <f t="shared" si="50"/>
        <v>0</v>
      </c>
      <c r="AQ114" s="1578">
        <f t="shared" si="50"/>
        <v>0</v>
      </c>
      <c r="AR114" s="1578">
        <f t="shared" si="50"/>
        <v>0</v>
      </c>
      <c r="AS114" s="1578">
        <f t="shared" si="50"/>
        <v>0</v>
      </c>
      <c r="AT114" s="1578">
        <f t="shared" si="50"/>
        <v>0</v>
      </c>
      <c r="AU114" s="1578">
        <f t="shared" si="50"/>
        <v>0</v>
      </c>
      <c r="AV114" s="1579">
        <f t="shared" si="50"/>
        <v>0</v>
      </c>
      <c r="AW114" s="1733"/>
      <c r="AX114" s="1727">
        <f t="shared" si="44"/>
        <v>0</v>
      </c>
      <c r="AY114" s="1773" t="e">
        <f>AX114/($AX$74+$AX$75)</f>
        <v>#DIV/0!</v>
      </c>
      <c r="AZ114" s="1709"/>
      <c r="BA114" s="1181"/>
    </row>
    <row r="115" spans="1:53" ht="19.5" customHeight="1" thickBot="1">
      <c r="A115" s="2497"/>
      <c r="B115" s="2357" t="s">
        <v>1010</v>
      </c>
      <c r="C115" s="2358"/>
      <c r="D115" s="2358"/>
      <c r="E115" s="2358"/>
      <c r="F115" s="2358"/>
      <c r="G115" s="2349"/>
      <c r="H115" s="2349"/>
      <c r="I115" s="713"/>
      <c r="J115" s="713"/>
      <c r="K115" s="713"/>
      <c r="L115" s="1179"/>
      <c r="M115" s="1187"/>
      <c r="N115" s="1619">
        <f>G114*N40</f>
        <v>0</v>
      </c>
      <c r="O115" s="1179" t="s">
        <v>968</v>
      </c>
      <c r="S115" s="1792" t="s">
        <v>1793</v>
      </c>
      <c r="T115" s="1777">
        <f>AX205</f>
        <v>0</v>
      </c>
      <c r="U115" s="1777">
        <f>AX204</f>
        <v>0</v>
      </c>
      <c r="V115" s="1777">
        <f>AX206</f>
        <v>0</v>
      </c>
      <c r="W115" s="1778">
        <f>AX202</f>
        <v>0</v>
      </c>
      <c r="X115" s="1778">
        <f>AX203</f>
        <v>0</v>
      </c>
      <c r="Y115" s="1779">
        <f>AX207</f>
        <v>0</v>
      </c>
      <c r="Z115" s="1201"/>
      <c r="AH115" s="1709"/>
      <c r="AI115" s="2574"/>
      <c r="AJ115" s="1532" t="s">
        <v>1080</v>
      </c>
      <c r="AK115" s="1580">
        <f t="shared" ref="AK115:AV115" si="51">(AK76+AK77)-AK109</f>
        <v>0</v>
      </c>
      <c r="AL115" s="1581">
        <f t="shared" si="51"/>
        <v>0</v>
      </c>
      <c r="AM115" s="1581">
        <f t="shared" si="51"/>
        <v>0</v>
      </c>
      <c r="AN115" s="1581">
        <f t="shared" si="51"/>
        <v>0</v>
      </c>
      <c r="AO115" s="1581">
        <f t="shared" si="51"/>
        <v>0</v>
      </c>
      <c r="AP115" s="1581">
        <f t="shared" si="51"/>
        <v>0</v>
      </c>
      <c r="AQ115" s="1581">
        <f t="shared" si="51"/>
        <v>0</v>
      </c>
      <c r="AR115" s="1581">
        <f t="shared" si="51"/>
        <v>0</v>
      </c>
      <c r="AS115" s="1581">
        <f t="shared" si="51"/>
        <v>0</v>
      </c>
      <c r="AT115" s="1581">
        <f t="shared" si="51"/>
        <v>0</v>
      </c>
      <c r="AU115" s="1581">
        <f t="shared" si="51"/>
        <v>0</v>
      </c>
      <c r="AV115" s="1582">
        <f t="shared" si="51"/>
        <v>0</v>
      </c>
      <c r="AW115" s="1733"/>
      <c r="AX115" s="1728">
        <f t="shared" si="44"/>
        <v>0</v>
      </c>
      <c r="AY115" s="1773" t="e">
        <f>AX115/($AX$76+$AX$77)</f>
        <v>#DIV/0!</v>
      </c>
      <c r="AZ115" s="1709"/>
      <c r="BA115" s="1181"/>
    </row>
    <row r="116" spans="1:53" ht="20.25" customHeight="1" thickBot="1">
      <c r="A116" s="2497"/>
      <c r="B116" s="2357" t="s">
        <v>1011</v>
      </c>
      <c r="C116" s="2357"/>
      <c r="D116" s="2357"/>
      <c r="E116" s="2357"/>
      <c r="F116" s="2357"/>
      <c r="G116" s="2512"/>
      <c r="H116" s="2513"/>
      <c r="I116" s="713"/>
      <c r="J116" s="706"/>
      <c r="K116" s="706"/>
      <c r="L116" s="1179"/>
      <c r="M116" s="1179"/>
      <c r="N116" s="1619">
        <f>G115*N48</f>
        <v>0</v>
      </c>
      <c r="O116" s="1179" t="s">
        <v>969</v>
      </c>
      <c r="P116" s="1204"/>
      <c r="Q116" s="1204"/>
      <c r="S116" s="1793" t="s">
        <v>405</v>
      </c>
      <c r="T116" s="1789" t="e">
        <f>SUM(T112:T115)</f>
        <v>#DIV/0!</v>
      </c>
      <c r="U116" s="1789" t="e">
        <f t="shared" ref="U116:Y116" si="52">SUM(U112:U115)</f>
        <v>#DIV/0!</v>
      </c>
      <c r="V116" s="1789" t="e">
        <f t="shared" si="52"/>
        <v>#DIV/0!</v>
      </c>
      <c r="W116" s="1789" t="e">
        <f t="shared" si="52"/>
        <v>#DIV/0!</v>
      </c>
      <c r="X116" s="1789" t="e">
        <f t="shared" si="52"/>
        <v>#DIV/0!</v>
      </c>
      <c r="Y116" s="1789" t="e">
        <f t="shared" si="52"/>
        <v>#DIV/0!</v>
      </c>
      <c r="Z116" s="1201"/>
      <c r="AH116" s="1709"/>
      <c r="AI116" s="2574"/>
      <c r="AJ116" s="1569" t="s">
        <v>1016</v>
      </c>
      <c r="AK116" s="1583">
        <f t="shared" ref="AK116:AV116" si="53">AK81-AK110</f>
        <v>0</v>
      </c>
      <c r="AL116" s="1584">
        <f t="shared" si="53"/>
        <v>0</v>
      </c>
      <c r="AM116" s="1584">
        <f t="shared" si="53"/>
        <v>0</v>
      </c>
      <c r="AN116" s="1584">
        <f t="shared" si="53"/>
        <v>0</v>
      </c>
      <c r="AO116" s="1584">
        <f t="shared" si="53"/>
        <v>0</v>
      </c>
      <c r="AP116" s="1584">
        <f t="shared" si="53"/>
        <v>0</v>
      </c>
      <c r="AQ116" s="1584">
        <f t="shared" si="53"/>
        <v>0</v>
      </c>
      <c r="AR116" s="1584">
        <f t="shared" si="53"/>
        <v>0</v>
      </c>
      <c r="AS116" s="1584">
        <f t="shared" si="53"/>
        <v>0</v>
      </c>
      <c r="AT116" s="1584">
        <f t="shared" si="53"/>
        <v>0</v>
      </c>
      <c r="AU116" s="1584">
        <f t="shared" si="53"/>
        <v>0</v>
      </c>
      <c r="AV116" s="1585">
        <f t="shared" si="53"/>
        <v>0</v>
      </c>
      <c r="AW116" s="1733"/>
      <c r="AX116" s="1729">
        <f t="shared" si="44"/>
        <v>0</v>
      </c>
      <c r="AY116" s="1615">
        <f>SUM(AX114:AX115)</f>
        <v>0</v>
      </c>
      <c r="AZ116" s="1709"/>
      <c r="BA116" s="1181"/>
    </row>
    <row r="117" spans="1:53" ht="27.75" customHeight="1" thickBot="1">
      <c r="A117" s="2497"/>
      <c r="B117" s="2359" t="s">
        <v>1012</v>
      </c>
      <c r="C117" s="2428"/>
      <c r="D117" s="2429"/>
      <c r="E117" s="2429"/>
      <c r="F117" s="2429"/>
      <c r="G117" s="2444" t="s">
        <v>738</v>
      </c>
      <c r="H117" s="2445"/>
      <c r="I117" s="713"/>
      <c r="J117" s="714"/>
      <c r="K117" s="714"/>
      <c r="L117" s="1179"/>
      <c r="M117" s="1187"/>
      <c r="N117" s="1467">
        <f>SUM(G118:H121)</f>
        <v>0</v>
      </c>
      <c r="O117" s="1183" t="s">
        <v>880</v>
      </c>
      <c r="S117" s="1780" t="s">
        <v>1468</v>
      </c>
      <c r="T117" s="1781">
        <f>AX80</f>
        <v>0</v>
      </c>
      <c r="U117" s="1781">
        <f>AX81</f>
        <v>0</v>
      </c>
      <c r="V117" s="1781">
        <f>AX82</f>
        <v>0</v>
      </c>
      <c r="W117" s="1782">
        <f>AX74+AX75</f>
        <v>0</v>
      </c>
      <c r="X117" s="1782">
        <f>AX76+AX77</f>
        <v>0</v>
      </c>
      <c r="Y117" s="1783">
        <f>AX83</f>
        <v>0</v>
      </c>
      <c r="Z117" s="1201"/>
      <c r="AH117" s="1709"/>
      <c r="AI117" s="2574"/>
      <c r="AJ117" s="1569" t="s">
        <v>731</v>
      </c>
      <c r="AK117" s="1583">
        <f t="shared" ref="AK117:AV117" si="54">AK80-AK111</f>
        <v>0</v>
      </c>
      <c r="AL117" s="1584">
        <f t="shared" si="54"/>
        <v>0</v>
      </c>
      <c r="AM117" s="1584">
        <f t="shared" si="54"/>
        <v>0</v>
      </c>
      <c r="AN117" s="1584">
        <f t="shared" si="54"/>
        <v>0</v>
      </c>
      <c r="AO117" s="1584">
        <f t="shared" si="54"/>
        <v>0</v>
      </c>
      <c r="AP117" s="1584">
        <f t="shared" si="54"/>
        <v>0</v>
      </c>
      <c r="AQ117" s="1584">
        <f t="shared" si="54"/>
        <v>0</v>
      </c>
      <c r="AR117" s="1584">
        <f t="shared" si="54"/>
        <v>0</v>
      </c>
      <c r="AS117" s="1584">
        <f t="shared" si="54"/>
        <v>0</v>
      </c>
      <c r="AT117" s="1584">
        <f t="shared" si="54"/>
        <v>0</v>
      </c>
      <c r="AU117" s="1584">
        <f t="shared" si="54"/>
        <v>0</v>
      </c>
      <c r="AV117" s="1585">
        <f t="shared" si="54"/>
        <v>0</v>
      </c>
      <c r="AW117" s="1733"/>
      <c r="AX117" s="1729">
        <f t="shared" si="44"/>
        <v>0</v>
      </c>
      <c r="AY117" s="1709"/>
      <c r="AZ117" s="1709"/>
      <c r="BA117" s="1181"/>
    </row>
    <row r="118" spans="1:53" ht="18" customHeight="1" thickBot="1">
      <c r="A118" s="2497"/>
      <c r="B118" s="2426" t="s">
        <v>148</v>
      </c>
      <c r="C118" s="2426"/>
      <c r="D118" s="2427"/>
      <c r="E118" s="2427"/>
      <c r="F118" s="2427"/>
      <c r="G118" s="2362">
        <v>0</v>
      </c>
      <c r="H118" s="2363"/>
      <c r="I118" s="713"/>
      <c r="J118" s="713"/>
      <c r="K118" s="713"/>
      <c r="L118" s="1179"/>
      <c r="M118" s="1187"/>
      <c r="N118" s="1624">
        <f>IF(SUM(N113:N117)&lt;(G116*1000),SUM(N113:N117),G116*1000)</f>
        <v>0</v>
      </c>
      <c r="O118" s="1622" t="s">
        <v>1461</v>
      </c>
      <c r="S118" s="1784" t="s">
        <v>1470</v>
      </c>
      <c r="T118" s="1785" t="e">
        <f t="shared" ref="T118:Y118" si="55">IF(SUM(T112:T114)=0,0,(SUM(T112:T114))/T117)</f>
        <v>#DIV/0!</v>
      </c>
      <c r="U118" s="1785" t="e">
        <f t="shared" si="55"/>
        <v>#DIV/0!</v>
      </c>
      <c r="V118" s="1785" t="e">
        <f t="shared" si="55"/>
        <v>#DIV/0!</v>
      </c>
      <c r="W118" s="1785" t="e">
        <f t="shared" si="55"/>
        <v>#DIV/0!</v>
      </c>
      <c r="X118" s="1785" t="e">
        <f t="shared" si="55"/>
        <v>#DIV/0!</v>
      </c>
      <c r="Y118" s="1786" t="e">
        <f t="shared" si="55"/>
        <v>#DIV/0!</v>
      </c>
      <c r="Z118" s="1201"/>
      <c r="AH118" s="1709"/>
      <c r="AI118" s="2574"/>
      <c r="AJ118" s="1569" t="s">
        <v>1081</v>
      </c>
      <c r="AK118" s="1583">
        <f t="shared" ref="AK118:AV118" si="56">AK82-AK112</f>
        <v>0</v>
      </c>
      <c r="AL118" s="1584">
        <f t="shared" si="56"/>
        <v>0</v>
      </c>
      <c r="AM118" s="1584">
        <f t="shared" si="56"/>
        <v>0</v>
      </c>
      <c r="AN118" s="1584">
        <f t="shared" si="56"/>
        <v>0</v>
      </c>
      <c r="AO118" s="1584">
        <f t="shared" si="56"/>
        <v>0</v>
      </c>
      <c r="AP118" s="1584">
        <f t="shared" si="56"/>
        <v>0</v>
      </c>
      <c r="AQ118" s="1584">
        <f t="shared" si="56"/>
        <v>0</v>
      </c>
      <c r="AR118" s="1584">
        <f t="shared" si="56"/>
        <v>0</v>
      </c>
      <c r="AS118" s="1584">
        <f t="shared" si="56"/>
        <v>0</v>
      </c>
      <c r="AT118" s="1584">
        <f t="shared" si="56"/>
        <v>0</v>
      </c>
      <c r="AU118" s="1584">
        <f t="shared" si="56"/>
        <v>0</v>
      </c>
      <c r="AV118" s="1585">
        <f t="shared" si="56"/>
        <v>0</v>
      </c>
      <c r="AW118" s="1733"/>
      <c r="AX118" s="1729">
        <f t="shared" si="44"/>
        <v>0</v>
      </c>
      <c r="AY118" s="1709"/>
      <c r="AZ118" s="1709"/>
      <c r="BA118" s="1181"/>
    </row>
    <row r="119" spans="1:53" ht="18" customHeight="1" thickBot="1">
      <c r="A119" s="2497"/>
      <c r="B119" s="2426" t="s">
        <v>148</v>
      </c>
      <c r="C119" s="2426"/>
      <c r="D119" s="2427"/>
      <c r="E119" s="2427"/>
      <c r="F119" s="2427"/>
      <c r="G119" s="2362">
        <v>0</v>
      </c>
      <c r="H119" s="2363"/>
      <c r="I119" s="721"/>
      <c r="J119" s="706"/>
      <c r="K119" s="706"/>
      <c r="L119" s="1179"/>
      <c r="M119" s="1753"/>
      <c r="N119" s="1754">
        <f>(SUM(O109:O110)*1000)</f>
        <v>0</v>
      </c>
      <c r="O119" s="1622" t="s">
        <v>402</v>
      </c>
      <c r="S119" s="1787" t="s">
        <v>406</v>
      </c>
      <c r="T119" s="1656" t="e">
        <f>AX212</f>
        <v>#DIV/0!</v>
      </c>
      <c r="U119" s="1656" t="e">
        <f>AX211</f>
        <v>#DIV/0!</v>
      </c>
      <c r="V119" s="1656" t="e">
        <f>AX213</f>
        <v>#DIV/0!</v>
      </c>
      <c r="W119" s="1657">
        <f>AX219</f>
        <v>0</v>
      </c>
      <c r="X119" s="1657" t="e">
        <f>AX210</f>
        <v>#DIV/0!</v>
      </c>
      <c r="Y119" s="1788" t="e">
        <f>AX214</f>
        <v>#DIV/0!</v>
      </c>
      <c r="Z119" s="1201"/>
      <c r="AH119" s="1709"/>
      <c r="AI119" s="2575"/>
      <c r="AJ119" s="1569" t="s">
        <v>109</v>
      </c>
      <c r="AK119" s="1586">
        <f t="shared" ref="AK119:AV119" si="57">AK83-AK113</f>
        <v>0</v>
      </c>
      <c r="AL119" s="1587">
        <f t="shared" si="57"/>
        <v>0</v>
      </c>
      <c r="AM119" s="1587">
        <f t="shared" si="57"/>
        <v>0</v>
      </c>
      <c r="AN119" s="1587">
        <f t="shared" si="57"/>
        <v>0</v>
      </c>
      <c r="AO119" s="1587">
        <f t="shared" si="57"/>
        <v>0</v>
      </c>
      <c r="AP119" s="1587">
        <f t="shared" si="57"/>
        <v>0</v>
      </c>
      <c r="AQ119" s="1587">
        <f t="shared" si="57"/>
        <v>0</v>
      </c>
      <c r="AR119" s="1587">
        <f t="shared" si="57"/>
        <v>0</v>
      </c>
      <c r="AS119" s="1587">
        <f t="shared" si="57"/>
        <v>0</v>
      </c>
      <c r="AT119" s="1587">
        <f t="shared" si="57"/>
        <v>0</v>
      </c>
      <c r="AU119" s="1587">
        <f t="shared" si="57"/>
        <v>0</v>
      </c>
      <c r="AV119" s="1588">
        <f t="shared" si="57"/>
        <v>0</v>
      </c>
      <c r="AW119" s="1733"/>
      <c r="AX119" s="1730">
        <f t="shared" si="44"/>
        <v>0</v>
      </c>
      <c r="AY119" s="1614">
        <f>SUM(AX116:AX119)</f>
        <v>0</v>
      </c>
      <c r="AZ119" s="1709"/>
      <c r="BA119" s="1181"/>
    </row>
    <row r="120" spans="1:53" ht="18" customHeight="1" thickBot="1">
      <c r="A120" s="2497"/>
      <c r="B120" s="2426" t="s">
        <v>148</v>
      </c>
      <c r="C120" s="2426"/>
      <c r="D120" s="2427"/>
      <c r="E120" s="2427"/>
      <c r="F120" s="2427"/>
      <c r="G120" s="2362">
        <v>0</v>
      </c>
      <c r="H120" s="2363"/>
      <c r="I120" s="713"/>
      <c r="J120" s="712"/>
      <c r="K120" s="712"/>
      <c r="L120" s="1179"/>
      <c r="M120" s="1753"/>
      <c r="N120" s="1199"/>
      <c r="O120" s="1183"/>
      <c r="S120" s="1183"/>
      <c r="T120" s="1183"/>
      <c r="U120" s="1183"/>
      <c r="V120" s="1183"/>
      <c r="W120" s="1201"/>
      <c r="X120" s="1201"/>
      <c r="Y120" s="1201"/>
      <c r="Z120" s="1247"/>
      <c r="AH120" s="1709"/>
      <c r="AI120" s="2614" t="s">
        <v>1783</v>
      </c>
      <c r="AJ120" s="1532" t="s">
        <v>1079</v>
      </c>
      <c r="AK120" s="1541" t="e">
        <f>AK114/(SUM(AK$114:AK$119))</f>
        <v>#DIV/0!</v>
      </c>
      <c r="AL120" s="1542" t="e">
        <f t="shared" ref="AL120:AV120" si="58">AL114/(SUM(AL$114:AL$119))</f>
        <v>#DIV/0!</v>
      </c>
      <c r="AM120" s="1542" t="e">
        <f t="shared" si="58"/>
        <v>#DIV/0!</v>
      </c>
      <c r="AN120" s="1542" t="e">
        <f t="shared" si="58"/>
        <v>#DIV/0!</v>
      </c>
      <c r="AO120" s="1542" t="e">
        <f t="shared" si="58"/>
        <v>#DIV/0!</v>
      </c>
      <c r="AP120" s="1542" t="e">
        <f t="shared" si="58"/>
        <v>#DIV/0!</v>
      </c>
      <c r="AQ120" s="1542" t="e">
        <f t="shared" si="58"/>
        <v>#DIV/0!</v>
      </c>
      <c r="AR120" s="1542" t="e">
        <f t="shared" si="58"/>
        <v>#DIV/0!</v>
      </c>
      <c r="AS120" s="1542" t="e">
        <f t="shared" si="58"/>
        <v>#DIV/0!</v>
      </c>
      <c r="AT120" s="1542" t="e">
        <f t="shared" si="58"/>
        <v>#DIV/0!</v>
      </c>
      <c r="AU120" s="1542" t="e">
        <f t="shared" si="58"/>
        <v>#DIV/0!</v>
      </c>
      <c r="AV120" s="1543" t="e">
        <f t="shared" si="58"/>
        <v>#DIV/0!</v>
      </c>
      <c r="AW120" s="1736"/>
      <c r="AX120" s="2571"/>
      <c r="AY120" s="1709"/>
      <c r="AZ120" s="1709"/>
      <c r="BA120" s="1181"/>
    </row>
    <row r="121" spans="1:53" ht="18" customHeight="1" thickBot="1">
      <c r="A121" s="2497"/>
      <c r="B121" s="2426" t="s">
        <v>148</v>
      </c>
      <c r="C121" s="2426"/>
      <c r="D121" s="2427"/>
      <c r="E121" s="2427"/>
      <c r="F121" s="2427"/>
      <c r="G121" s="2362">
        <v>0</v>
      </c>
      <c r="H121" s="2363"/>
      <c r="I121" s="713"/>
      <c r="J121" s="712"/>
      <c r="K121" s="712"/>
      <c r="L121" s="1179"/>
      <c r="M121" s="1753"/>
      <c r="N121" s="1759">
        <f>IF(AND($L$107=2,$H$4&gt;0),IF(O112=0,0,(IF(N118&lt;(O112*1000),(N113+N114+N115+N116+N117)/$H$4,(((O112*1000)/N118)*(N113+N114+N115+N116+N117))/$H$4))),0)</f>
        <v>0</v>
      </c>
      <c r="O121" s="1211" t="s">
        <v>973</v>
      </c>
      <c r="AH121" s="1709"/>
      <c r="AI121" s="2614"/>
      <c r="AJ121" s="1532" t="s">
        <v>1080</v>
      </c>
      <c r="AK121" s="1544" t="e">
        <f>AK115/(SUM(AK$114:AK$119))</f>
        <v>#DIV/0!</v>
      </c>
      <c r="AL121" s="1494" t="e">
        <f t="shared" ref="AL121:AV121" si="59">AL115/(SUM(AL$114:AL$119))</f>
        <v>#DIV/0!</v>
      </c>
      <c r="AM121" s="1494" t="e">
        <f t="shared" si="59"/>
        <v>#DIV/0!</v>
      </c>
      <c r="AN121" s="1494" t="e">
        <f t="shared" si="59"/>
        <v>#DIV/0!</v>
      </c>
      <c r="AO121" s="1494" t="e">
        <f t="shared" si="59"/>
        <v>#DIV/0!</v>
      </c>
      <c r="AP121" s="1494" t="e">
        <f t="shared" si="59"/>
        <v>#DIV/0!</v>
      </c>
      <c r="AQ121" s="1494" t="e">
        <f t="shared" si="59"/>
        <v>#DIV/0!</v>
      </c>
      <c r="AR121" s="1494" t="e">
        <f t="shared" si="59"/>
        <v>#DIV/0!</v>
      </c>
      <c r="AS121" s="1494" t="e">
        <f t="shared" si="59"/>
        <v>#DIV/0!</v>
      </c>
      <c r="AT121" s="1494" t="e">
        <f t="shared" si="59"/>
        <v>#DIV/0!</v>
      </c>
      <c r="AU121" s="1494" t="e">
        <f t="shared" si="59"/>
        <v>#DIV/0!</v>
      </c>
      <c r="AV121" s="1545" t="e">
        <f t="shared" si="59"/>
        <v>#DIV/0!</v>
      </c>
      <c r="AW121" s="1733"/>
      <c r="AX121" s="2571"/>
      <c r="AY121" s="1709"/>
      <c r="AZ121" s="1709"/>
      <c r="BA121" s="1181"/>
    </row>
    <row r="122" spans="1:53" ht="4.5" hidden="1" customHeight="1">
      <c r="A122" s="2497"/>
      <c r="B122" s="2425"/>
      <c r="C122" s="2425"/>
      <c r="D122" s="2425"/>
      <c r="E122" s="2425"/>
      <c r="F122" s="2425"/>
      <c r="G122" s="2425"/>
      <c r="H122" s="2425"/>
      <c r="I122" s="713"/>
      <c r="J122" s="712"/>
      <c r="K122" s="712"/>
      <c r="L122" s="1752"/>
      <c r="M122" s="1753"/>
      <c r="N122" s="1179"/>
      <c r="AH122" s="1709"/>
      <c r="AI122" s="2614"/>
      <c r="AJ122" s="1498" t="s">
        <v>1016</v>
      </c>
      <c r="AK122" s="1544" t="e">
        <f>AK116/(SUM(AK$114:AK$119))</f>
        <v>#DIV/0!</v>
      </c>
      <c r="AL122" s="1494" t="e">
        <f t="shared" ref="AL122:AV122" si="60">AL116/(SUM(AL$114:AL$119))</f>
        <v>#DIV/0!</v>
      </c>
      <c r="AM122" s="1494" t="e">
        <f t="shared" si="60"/>
        <v>#DIV/0!</v>
      </c>
      <c r="AN122" s="1494" t="e">
        <f t="shared" si="60"/>
        <v>#DIV/0!</v>
      </c>
      <c r="AO122" s="1494" t="e">
        <f t="shared" si="60"/>
        <v>#DIV/0!</v>
      </c>
      <c r="AP122" s="1494" t="e">
        <f t="shared" si="60"/>
        <v>#DIV/0!</v>
      </c>
      <c r="AQ122" s="1494" t="e">
        <f t="shared" si="60"/>
        <v>#DIV/0!</v>
      </c>
      <c r="AR122" s="1494" t="e">
        <f t="shared" si="60"/>
        <v>#DIV/0!</v>
      </c>
      <c r="AS122" s="1494" t="e">
        <f t="shared" si="60"/>
        <v>#DIV/0!</v>
      </c>
      <c r="AT122" s="1494" t="e">
        <f t="shared" si="60"/>
        <v>#DIV/0!</v>
      </c>
      <c r="AU122" s="1494" t="e">
        <f t="shared" si="60"/>
        <v>#DIV/0!</v>
      </c>
      <c r="AV122" s="1545" t="e">
        <f t="shared" si="60"/>
        <v>#DIV/0!</v>
      </c>
      <c r="AW122" s="1733"/>
      <c r="AX122" s="2571"/>
      <c r="AY122" s="1709"/>
      <c r="AZ122" s="1709"/>
      <c r="BA122" s="1181"/>
    </row>
    <row r="123" spans="1:53" ht="38.25" customHeight="1">
      <c r="A123" s="2497"/>
      <c r="B123" s="2357" t="s">
        <v>407</v>
      </c>
      <c r="C123" s="2357"/>
      <c r="D123" s="2357"/>
      <c r="E123" s="2357"/>
      <c r="F123" s="2357"/>
      <c r="G123" s="2361">
        <f>IF(TYPE(N119/$H$4)=16,0,N119/$H$4)</f>
        <v>0</v>
      </c>
      <c r="H123" s="2361"/>
      <c r="I123" s="713"/>
      <c r="J123" s="712"/>
      <c r="K123" s="712"/>
      <c r="L123" s="1752"/>
      <c r="M123" s="1752"/>
      <c r="N123" s="1202"/>
      <c r="P123" s="1179"/>
      <c r="AH123" s="1709"/>
      <c r="AI123" s="2614"/>
      <c r="AJ123" s="1569" t="s">
        <v>1016</v>
      </c>
      <c r="AK123" s="1544" t="e">
        <f>AK116/(SUM(AK$114:AK$119))</f>
        <v>#DIV/0!</v>
      </c>
      <c r="AL123" s="1494" t="e">
        <f t="shared" ref="AL123:AV123" si="61">AL116/(SUM(AL$114:AL$119))</f>
        <v>#DIV/0!</v>
      </c>
      <c r="AM123" s="1494" t="e">
        <f t="shared" si="61"/>
        <v>#DIV/0!</v>
      </c>
      <c r="AN123" s="1494" t="e">
        <f t="shared" si="61"/>
        <v>#DIV/0!</v>
      </c>
      <c r="AO123" s="1494" t="e">
        <f t="shared" si="61"/>
        <v>#DIV/0!</v>
      </c>
      <c r="AP123" s="1494" t="e">
        <f t="shared" si="61"/>
        <v>#DIV/0!</v>
      </c>
      <c r="AQ123" s="1494" t="e">
        <f t="shared" si="61"/>
        <v>#DIV/0!</v>
      </c>
      <c r="AR123" s="1494" t="e">
        <f t="shared" si="61"/>
        <v>#DIV/0!</v>
      </c>
      <c r="AS123" s="1494" t="e">
        <f t="shared" si="61"/>
        <v>#DIV/0!</v>
      </c>
      <c r="AT123" s="1494" t="e">
        <f t="shared" si="61"/>
        <v>#DIV/0!</v>
      </c>
      <c r="AU123" s="1494" t="e">
        <f t="shared" si="61"/>
        <v>#DIV/0!</v>
      </c>
      <c r="AV123" s="1545" t="e">
        <f t="shared" si="61"/>
        <v>#DIV/0!</v>
      </c>
      <c r="AW123" s="1733"/>
      <c r="AX123" s="2571"/>
      <c r="AY123" s="1709"/>
      <c r="AZ123" s="1709"/>
      <c r="BA123" s="1181"/>
    </row>
    <row r="124" spans="1:53" ht="17.25" customHeight="1">
      <c r="A124" s="2497"/>
      <c r="I124" s="713"/>
      <c r="J124" s="713"/>
      <c r="K124" s="713"/>
      <c r="L124" s="1179"/>
      <c r="M124" s="1179"/>
      <c r="N124" s="1179"/>
      <c r="P124" s="1179"/>
      <c r="AH124" s="1709"/>
      <c r="AI124" s="2614"/>
      <c r="AJ124" s="1569" t="s">
        <v>731</v>
      </c>
      <c r="AK124" s="1544" t="e">
        <f>AK117/(SUM(AK$114:AK$119))</f>
        <v>#DIV/0!</v>
      </c>
      <c r="AL124" s="1494" t="e">
        <f t="shared" ref="AL124:AV124" si="62">AL117/(SUM(AL$114:AL$119))</f>
        <v>#DIV/0!</v>
      </c>
      <c r="AM124" s="1494" t="e">
        <f t="shared" si="62"/>
        <v>#DIV/0!</v>
      </c>
      <c r="AN124" s="1494" t="e">
        <f t="shared" si="62"/>
        <v>#DIV/0!</v>
      </c>
      <c r="AO124" s="1494" t="e">
        <f t="shared" si="62"/>
        <v>#DIV/0!</v>
      </c>
      <c r="AP124" s="1494" t="e">
        <f t="shared" si="62"/>
        <v>#DIV/0!</v>
      </c>
      <c r="AQ124" s="1494" t="e">
        <f t="shared" si="62"/>
        <v>#DIV/0!</v>
      </c>
      <c r="AR124" s="1494" t="e">
        <f t="shared" si="62"/>
        <v>#DIV/0!</v>
      </c>
      <c r="AS124" s="1494" t="e">
        <f t="shared" si="62"/>
        <v>#DIV/0!</v>
      </c>
      <c r="AT124" s="1494" t="e">
        <f t="shared" si="62"/>
        <v>#DIV/0!</v>
      </c>
      <c r="AU124" s="1494" t="e">
        <f t="shared" si="62"/>
        <v>#DIV/0!</v>
      </c>
      <c r="AV124" s="1545" t="e">
        <f t="shared" si="62"/>
        <v>#DIV/0!</v>
      </c>
      <c r="AW124" s="1733"/>
      <c r="AX124" s="2571"/>
      <c r="AY124" s="1709"/>
      <c r="AZ124" s="1709"/>
      <c r="BA124" s="1181"/>
    </row>
    <row r="125" spans="1:53" ht="28.5" customHeight="1" thickBot="1">
      <c r="A125" s="2497"/>
      <c r="B125" s="2355" t="s">
        <v>1779</v>
      </c>
      <c r="C125" s="2356"/>
      <c r="D125" s="2356"/>
      <c r="E125" s="2356"/>
      <c r="F125" s="2356"/>
      <c r="G125" s="2356"/>
      <c r="H125" s="2356"/>
      <c r="J125" s="713"/>
      <c r="K125" s="713"/>
      <c r="L125" s="1179"/>
      <c r="M125" s="1179"/>
      <c r="N125" s="1179"/>
      <c r="AH125" s="1709"/>
      <c r="AI125" s="2614"/>
      <c r="AJ125" s="1569" t="s">
        <v>1081</v>
      </c>
      <c r="AK125" s="1544" t="e">
        <f>AK118/(SUM(AK$114:AK$119))</f>
        <v>#DIV/0!</v>
      </c>
      <c r="AL125" s="1494" t="e">
        <f t="shared" ref="AL125:AV125" si="63">AL118/(SUM(AL$114:AL$119))</f>
        <v>#DIV/0!</v>
      </c>
      <c r="AM125" s="1494" t="e">
        <f t="shared" si="63"/>
        <v>#DIV/0!</v>
      </c>
      <c r="AN125" s="1494" t="e">
        <f t="shared" si="63"/>
        <v>#DIV/0!</v>
      </c>
      <c r="AO125" s="1494" t="e">
        <f t="shared" si="63"/>
        <v>#DIV/0!</v>
      </c>
      <c r="AP125" s="1494" t="e">
        <f t="shared" si="63"/>
        <v>#DIV/0!</v>
      </c>
      <c r="AQ125" s="1494" t="e">
        <f t="shared" si="63"/>
        <v>#DIV/0!</v>
      </c>
      <c r="AR125" s="1494" t="e">
        <f t="shared" si="63"/>
        <v>#DIV/0!</v>
      </c>
      <c r="AS125" s="1494" t="e">
        <f t="shared" si="63"/>
        <v>#DIV/0!</v>
      </c>
      <c r="AT125" s="1494" t="e">
        <f t="shared" si="63"/>
        <v>#DIV/0!</v>
      </c>
      <c r="AU125" s="1494" t="e">
        <f t="shared" si="63"/>
        <v>#DIV/0!</v>
      </c>
      <c r="AV125" s="1545" t="e">
        <f t="shared" si="63"/>
        <v>#DIV/0!</v>
      </c>
      <c r="AW125" s="1733"/>
      <c r="AX125" s="2571"/>
      <c r="AY125" s="1709"/>
      <c r="AZ125" s="1709"/>
      <c r="BA125" s="1181"/>
    </row>
    <row r="126" spans="1:53" ht="34.5" customHeight="1" thickBot="1">
      <c r="A126" s="2497"/>
      <c r="B126" s="2359" t="s">
        <v>1790</v>
      </c>
      <c r="C126" s="2442"/>
      <c r="D126" s="2442"/>
      <c r="E126" s="2442"/>
      <c r="F126" s="2442"/>
      <c r="G126" s="2460"/>
      <c r="H126" s="2445"/>
      <c r="J126" s="713"/>
      <c r="K126" s="713"/>
      <c r="L126" s="1424">
        <v>2</v>
      </c>
      <c r="M126" s="1425" t="s">
        <v>1462</v>
      </c>
      <c r="N126" s="1179"/>
      <c r="AH126" s="1709"/>
      <c r="AI126" s="2614"/>
      <c r="AJ126" s="1569" t="s">
        <v>109</v>
      </c>
      <c r="AK126" s="1546" t="e">
        <f>AK119/(SUM(AK$114:AK$119))</f>
        <v>#DIV/0!</v>
      </c>
      <c r="AL126" s="1547" t="e">
        <f t="shared" ref="AL126:AV126" si="64">AL119/(SUM(AL$114:AL$119))</f>
        <v>#DIV/0!</v>
      </c>
      <c r="AM126" s="1547" t="e">
        <f t="shared" si="64"/>
        <v>#DIV/0!</v>
      </c>
      <c r="AN126" s="1547" t="e">
        <f t="shared" si="64"/>
        <v>#DIV/0!</v>
      </c>
      <c r="AO126" s="1547" t="e">
        <f t="shared" si="64"/>
        <v>#DIV/0!</v>
      </c>
      <c r="AP126" s="1547" t="e">
        <f t="shared" si="64"/>
        <v>#DIV/0!</v>
      </c>
      <c r="AQ126" s="1547" t="e">
        <f t="shared" si="64"/>
        <v>#DIV/0!</v>
      </c>
      <c r="AR126" s="1547" t="e">
        <f t="shared" si="64"/>
        <v>#DIV/0!</v>
      </c>
      <c r="AS126" s="1547" t="e">
        <f t="shared" si="64"/>
        <v>#DIV/0!</v>
      </c>
      <c r="AT126" s="1547" t="e">
        <f t="shared" si="64"/>
        <v>#DIV/0!</v>
      </c>
      <c r="AU126" s="1547" t="e">
        <f t="shared" si="64"/>
        <v>#DIV/0!</v>
      </c>
      <c r="AV126" s="1548" t="e">
        <f t="shared" si="64"/>
        <v>#DIV/0!</v>
      </c>
      <c r="AW126" s="1735"/>
      <c r="AX126" s="2572"/>
      <c r="AY126" s="1709"/>
      <c r="AZ126" s="1709"/>
      <c r="BA126" s="1181"/>
    </row>
    <row r="127" spans="1:53" ht="27.75" customHeight="1" thickBot="1">
      <c r="A127" s="2497"/>
      <c r="B127" s="2430" t="s">
        <v>769</v>
      </c>
      <c r="C127" s="2431"/>
      <c r="D127" s="2431"/>
      <c r="E127" s="2431"/>
      <c r="F127" s="2431"/>
      <c r="G127" s="2431"/>
      <c r="H127" s="2431"/>
      <c r="J127" s="713"/>
      <c r="K127" s="713"/>
      <c r="L127" s="2581" t="s">
        <v>766</v>
      </c>
      <c r="M127" s="2582"/>
      <c r="N127" s="2583" t="s">
        <v>1791</v>
      </c>
      <c r="O127" s="2584"/>
      <c r="AH127" s="1770"/>
      <c r="AI127" s="2647" t="s">
        <v>1084</v>
      </c>
      <c r="AJ127" s="2648"/>
      <c r="AK127" s="2649"/>
      <c r="AL127" s="2649"/>
      <c r="AM127" s="2649"/>
      <c r="AN127" s="2649"/>
      <c r="AO127" s="2649"/>
      <c r="AP127" s="2649"/>
      <c r="AQ127" s="2649"/>
      <c r="AR127" s="2649"/>
      <c r="AS127" s="2649"/>
      <c r="AT127" s="2649"/>
      <c r="AU127" s="2649"/>
      <c r="AV127" s="2649"/>
      <c r="AW127" s="2649"/>
      <c r="AX127" s="2650"/>
      <c r="AY127" s="1770"/>
      <c r="AZ127" s="1770"/>
      <c r="BA127" s="1181"/>
    </row>
    <row r="128" spans="1:53" ht="22.5" customHeight="1" thickBot="1">
      <c r="A128" s="2497"/>
      <c r="B128" s="2118"/>
      <c r="C128" s="2119" t="s">
        <v>731</v>
      </c>
      <c r="D128" s="2119"/>
      <c r="E128" s="2120" t="s">
        <v>1513</v>
      </c>
      <c r="F128" s="2119"/>
      <c r="G128" s="2119"/>
      <c r="H128" s="2121"/>
      <c r="J128" s="713"/>
      <c r="K128" s="713"/>
      <c r="L128" s="1438" t="b">
        <v>0</v>
      </c>
      <c r="M128" s="1616" t="b">
        <v>0</v>
      </c>
      <c r="N128" s="1471">
        <f>IF(L126=1,0,IF(L128,((T115/AX72)/1000),0))</f>
        <v>0</v>
      </c>
      <c r="O128" s="1743">
        <f>IF(L126=1,0,IF(M128,(W115/AX72)/1000,0))</f>
        <v>0</v>
      </c>
      <c r="AH128" s="1709"/>
      <c r="AI128" s="2627" t="s">
        <v>1573</v>
      </c>
      <c r="AJ128" s="2628"/>
      <c r="AK128" s="1591">
        <f>AK72*$N$100</f>
        <v>0</v>
      </c>
      <c r="AL128" s="1592">
        <f t="shared" ref="AL128:AV128" si="65">AL72*$N$100</f>
        <v>0</v>
      </c>
      <c r="AM128" s="1592">
        <f t="shared" si="65"/>
        <v>0</v>
      </c>
      <c r="AN128" s="1592">
        <f t="shared" si="65"/>
        <v>0</v>
      </c>
      <c r="AO128" s="1592">
        <f t="shared" si="65"/>
        <v>0</v>
      </c>
      <c r="AP128" s="1592">
        <f t="shared" si="65"/>
        <v>0</v>
      </c>
      <c r="AQ128" s="1592">
        <f t="shared" si="65"/>
        <v>0</v>
      </c>
      <c r="AR128" s="1592">
        <f t="shared" si="65"/>
        <v>0</v>
      </c>
      <c r="AS128" s="1592">
        <f t="shared" si="65"/>
        <v>0</v>
      </c>
      <c r="AT128" s="1592">
        <f t="shared" si="65"/>
        <v>0</v>
      </c>
      <c r="AU128" s="1592">
        <f t="shared" si="65"/>
        <v>0</v>
      </c>
      <c r="AV128" s="1713">
        <f t="shared" si="65"/>
        <v>0</v>
      </c>
      <c r="AW128" s="1732"/>
      <c r="AX128" s="1726">
        <f>SUM(AK128:AV128)</f>
        <v>0</v>
      </c>
      <c r="AY128" s="1770"/>
      <c r="AZ128" s="1709"/>
      <c r="BA128" s="1181"/>
    </row>
    <row r="129" spans="1:53" ht="22.5" customHeight="1">
      <c r="A129" s="2497"/>
      <c r="B129" s="2118"/>
      <c r="C129" s="2120" t="s">
        <v>732</v>
      </c>
      <c r="D129" s="2119"/>
      <c r="E129" s="2120" t="s">
        <v>1514</v>
      </c>
      <c r="F129" s="2119"/>
      <c r="G129" s="2119"/>
      <c r="H129" s="2121"/>
      <c r="J129" s="713"/>
      <c r="K129" s="713"/>
      <c r="L129" s="1439" t="b">
        <v>0</v>
      </c>
      <c r="M129" s="1617" t="b">
        <v>0</v>
      </c>
      <c r="N129" s="1744">
        <f>IF(L126=1,0,IF(L129,(U115/AX72)/1000,0))</f>
        <v>0</v>
      </c>
      <c r="O129" s="1745">
        <f>IF(L126=1,0,IF(M129,(X115/AX72)/1000,0))</f>
        <v>0</v>
      </c>
      <c r="AH129" s="1709"/>
      <c r="AI129" s="2573" t="s">
        <v>1457</v>
      </c>
      <c r="AJ129" s="1532" t="s">
        <v>1079</v>
      </c>
      <c r="AK129" s="1533">
        <f>IF($M$93,AK120,0)</f>
        <v>0</v>
      </c>
      <c r="AL129" s="1534">
        <f t="shared" ref="AL129:AV129" si="66">IF($M$93,AL120,0)</f>
        <v>0</v>
      </c>
      <c r="AM129" s="1534">
        <f t="shared" si="66"/>
        <v>0</v>
      </c>
      <c r="AN129" s="1534">
        <f t="shared" si="66"/>
        <v>0</v>
      </c>
      <c r="AO129" s="1534">
        <f t="shared" si="66"/>
        <v>0</v>
      </c>
      <c r="AP129" s="1534">
        <f t="shared" si="66"/>
        <v>0</v>
      </c>
      <c r="AQ129" s="1534">
        <f t="shared" si="66"/>
        <v>0</v>
      </c>
      <c r="AR129" s="1534">
        <f t="shared" si="66"/>
        <v>0</v>
      </c>
      <c r="AS129" s="1534">
        <f t="shared" si="66"/>
        <v>0</v>
      </c>
      <c r="AT129" s="1534">
        <f t="shared" si="66"/>
        <v>0</v>
      </c>
      <c r="AU129" s="1534">
        <f t="shared" si="66"/>
        <v>0</v>
      </c>
      <c r="AV129" s="1714">
        <f t="shared" si="66"/>
        <v>0</v>
      </c>
      <c r="AW129" s="1733"/>
      <c r="AX129" s="2568"/>
      <c r="AY129" s="1770"/>
      <c r="AZ129" s="1709"/>
      <c r="BA129" s="1181"/>
    </row>
    <row r="130" spans="1:53" ht="22.5" customHeight="1" thickBot="1">
      <c r="A130" s="2497"/>
      <c r="B130" s="2122"/>
      <c r="C130" s="2123" t="s">
        <v>1539</v>
      </c>
      <c r="D130" s="2124"/>
      <c r="E130" s="2123" t="s">
        <v>926</v>
      </c>
      <c r="F130" s="2124"/>
      <c r="G130" s="2124"/>
      <c r="H130" s="2125"/>
      <c r="J130" s="713"/>
      <c r="K130" s="713"/>
      <c r="L130" s="1440" t="b">
        <v>0</v>
      </c>
      <c r="M130" s="1618" t="b">
        <v>0</v>
      </c>
      <c r="N130" s="1746">
        <f>IF(L126=1,0,IF(L130,(V115/AX72)/1000,0))</f>
        <v>0</v>
      </c>
      <c r="O130" s="1747">
        <f>IF(L126=1,0,IF(M130,(Y115/AX72)/1000,0))</f>
        <v>0</v>
      </c>
      <c r="AH130" s="1709"/>
      <c r="AI130" s="2574"/>
      <c r="AJ130" s="1532" t="s">
        <v>1080</v>
      </c>
      <c r="AK130" s="1536">
        <f>IF($M$94,AK121,0)</f>
        <v>0</v>
      </c>
      <c r="AL130" s="1493">
        <f t="shared" ref="AL130:AV130" si="67">IF($M$94,AL121,0)</f>
        <v>0</v>
      </c>
      <c r="AM130" s="1493">
        <f t="shared" si="67"/>
        <v>0</v>
      </c>
      <c r="AN130" s="1493">
        <f t="shared" si="67"/>
        <v>0</v>
      </c>
      <c r="AO130" s="1493">
        <f t="shared" si="67"/>
        <v>0</v>
      </c>
      <c r="AP130" s="1493">
        <f t="shared" si="67"/>
        <v>0</v>
      </c>
      <c r="AQ130" s="1493">
        <f t="shared" si="67"/>
        <v>0</v>
      </c>
      <c r="AR130" s="1493">
        <f t="shared" si="67"/>
        <v>0</v>
      </c>
      <c r="AS130" s="1493">
        <f t="shared" si="67"/>
        <v>0</v>
      </c>
      <c r="AT130" s="1493">
        <f t="shared" si="67"/>
        <v>0</v>
      </c>
      <c r="AU130" s="1493">
        <f t="shared" si="67"/>
        <v>0</v>
      </c>
      <c r="AV130" s="1715">
        <f t="shared" si="67"/>
        <v>0</v>
      </c>
      <c r="AW130" s="1733"/>
      <c r="AX130" s="2569"/>
      <c r="AY130" s="1770"/>
      <c r="AZ130" s="1709"/>
      <c r="BA130" s="1181"/>
    </row>
    <row r="131" spans="1:53" ht="19.5" customHeight="1" thickBot="1">
      <c r="A131" s="2497"/>
      <c r="B131" s="2432"/>
      <c r="C131" s="2433"/>
      <c r="D131" s="2433"/>
      <c r="E131" s="2433"/>
      <c r="F131" s="2434"/>
      <c r="G131" s="2432"/>
      <c r="H131" s="2433"/>
      <c r="I131" s="685"/>
      <c r="J131" s="706"/>
      <c r="K131" s="706"/>
      <c r="L131" s="1179"/>
      <c r="M131" s="1179"/>
      <c r="N131" s="1468" t="s">
        <v>1017</v>
      </c>
      <c r="O131" s="1469">
        <f>SUM(N128:O130)</f>
        <v>0</v>
      </c>
      <c r="AH131" s="1709"/>
      <c r="AI131" s="2574"/>
      <c r="AJ131" s="1569" t="s">
        <v>1016</v>
      </c>
      <c r="AK131" s="1536">
        <f>IF($L$94,AK123,0)</f>
        <v>0</v>
      </c>
      <c r="AL131" s="1493">
        <f t="shared" ref="AL131:AV131" si="68">IF($L$94,AL123,0)</f>
        <v>0</v>
      </c>
      <c r="AM131" s="1493">
        <f t="shared" si="68"/>
        <v>0</v>
      </c>
      <c r="AN131" s="1493">
        <f t="shared" si="68"/>
        <v>0</v>
      </c>
      <c r="AO131" s="1493">
        <f t="shared" si="68"/>
        <v>0</v>
      </c>
      <c r="AP131" s="1493">
        <f t="shared" si="68"/>
        <v>0</v>
      </c>
      <c r="AQ131" s="1493">
        <f t="shared" si="68"/>
        <v>0</v>
      </c>
      <c r="AR131" s="1493">
        <f t="shared" si="68"/>
        <v>0</v>
      </c>
      <c r="AS131" s="1493">
        <f t="shared" si="68"/>
        <v>0</v>
      </c>
      <c r="AT131" s="1493">
        <f t="shared" si="68"/>
        <v>0</v>
      </c>
      <c r="AU131" s="1493">
        <f t="shared" si="68"/>
        <v>0</v>
      </c>
      <c r="AV131" s="1715">
        <f t="shared" si="68"/>
        <v>0</v>
      </c>
      <c r="AW131" s="1733"/>
      <c r="AX131" s="2569"/>
      <c r="AY131" s="1770"/>
      <c r="AZ131" s="1709"/>
      <c r="BA131" s="1181"/>
    </row>
    <row r="132" spans="1:53" s="673" customFormat="1" ht="18" customHeight="1">
      <c r="A132" s="684"/>
      <c r="B132" s="2432"/>
      <c r="C132" s="2433"/>
      <c r="D132" s="2433"/>
      <c r="E132" s="2433"/>
      <c r="F132" s="2434"/>
      <c r="G132" s="2432"/>
      <c r="H132" s="2433"/>
      <c r="L132" s="1199"/>
      <c r="M132" s="1199"/>
      <c r="N132" s="1620"/>
      <c r="O132" s="1179"/>
      <c r="P132" s="1200"/>
      <c r="Q132" s="1200"/>
      <c r="R132" s="1200"/>
      <c r="S132" s="1200"/>
      <c r="T132" s="1200"/>
      <c r="U132" s="1200"/>
      <c r="V132" s="1200"/>
      <c r="W132" s="1200"/>
      <c r="X132" s="1200"/>
      <c r="Y132" s="1200"/>
      <c r="Z132" s="1200"/>
      <c r="AA132" s="1200"/>
      <c r="AB132" s="1200"/>
      <c r="AC132" s="1200"/>
      <c r="AD132" s="1200"/>
      <c r="AE132" s="1200"/>
      <c r="AF132" s="1200"/>
      <c r="AG132" s="1200"/>
      <c r="AH132" s="1768"/>
      <c r="AI132" s="2574"/>
      <c r="AJ132" s="1569" t="s">
        <v>731</v>
      </c>
      <c r="AK132" s="1536">
        <f>IF($L$93,AK124,0)</f>
        <v>0</v>
      </c>
      <c r="AL132" s="1493">
        <f t="shared" ref="AL132:AV132" si="69">IF($L$93,AL124,0)</f>
        <v>0</v>
      </c>
      <c r="AM132" s="1493">
        <f t="shared" si="69"/>
        <v>0</v>
      </c>
      <c r="AN132" s="1493">
        <f t="shared" si="69"/>
        <v>0</v>
      </c>
      <c r="AO132" s="1493">
        <f t="shared" si="69"/>
        <v>0</v>
      </c>
      <c r="AP132" s="1493">
        <f t="shared" si="69"/>
        <v>0</v>
      </c>
      <c r="AQ132" s="1493">
        <f t="shared" si="69"/>
        <v>0</v>
      </c>
      <c r="AR132" s="1493">
        <f t="shared" si="69"/>
        <v>0</v>
      </c>
      <c r="AS132" s="1493">
        <f t="shared" si="69"/>
        <v>0</v>
      </c>
      <c r="AT132" s="1493">
        <f t="shared" si="69"/>
        <v>0</v>
      </c>
      <c r="AU132" s="1493">
        <f t="shared" si="69"/>
        <v>0</v>
      </c>
      <c r="AV132" s="1715">
        <f t="shared" si="69"/>
        <v>0</v>
      </c>
      <c r="AW132" s="1733"/>
      <c r="AX132" s="2569"/>
      <c r="AY132" s="1774"/>
      <c r="AZ132" s="1768"/>
      <c r="BA132" s="1200"/>
    </row>
    <row r="133" spans="1:53" ht="27.75" customHeight="1">
      <c r="A133" s="668"/>
      <c r="B133" s="2346" t="s">
        <v>1792</v>
      </c>
      <c r="C133" s="700" t="s">
        <v>710</v>
      </c>
      <c r="D133" s="700" t="s">
        <v>711</v>
      </c>
      <c r="E133" s="700" t="s">
        <v>712</v>
      </c>
      <c r="F133" s="700" t="s">
        <v>713</v>
      </c>
      <c r="G133" s="700" t="s">
        <v>579</v>
      </c>
      <c r="H133" s="700" t="s">
        <v>714</v>
      </c>
      <c r="L133" s="1179"/>
      <c r="M133" s="1179"/>
      <c r="N133" s="1621"/>
      <c r="AH133" s="1709"/>
      <c r="AI133" s="2574"/>
      <c r="AJ133" s="1569" t="s">
        <v>1081</v>
      </c>
      <c r="AK133" s="1536">
        <f>IF($L$95,AK125,0)</f>
        <v>0</v>
      </c>
      <c r="AL133" s="1493">
        <f t="shared" ref="AL133:AV133" si="70">IF($L$95,AL125,0)</f>
        <v>0</v>
      </c>
      <c r="AM133" s="1493">
        <f t="shared" si="70"/>
        <v>0</v>
      </c>
      <c r="AN133" s="1493">
        <f t="shared" si="70"/>
        <v>0</v>
      </c>
      <c r="AO133" s="1493">
        <f t="shared" si="70"/>
        <v>0</v>
      </c>
      <c r="AP133" s="1493">
        <f t="shared" si="70"/>
        <v>0</v>
      </c>
      <c r="AQ133" s="1493">
        <f t="shared" si="70"/>
        <v>0</v>
      </c>
      <c r="AR133" s="1493">
        <f t="shared" si="70"/>
        <v>0</v>
      </c>
      <c r="AS133" s="1493">
        <f t="shared" si="70"/>
        <v>0</v>
      </c>
      <c r="AT133" s="1493">
        <f t="shared" si="70"/>
        <v>0</v>
      </c>
      <c r="AU133" s="1493">
        <f t="shared" si="70"/>
        <v>0</v>
      </c>
      <c r="AV133" s="1715">
        <f t="shared" si="70"/>
        <v>0</v>
      </c>
      <c r="AW133" s="1733"/>
      <c r="AX133" s="2569"/>
      <c r="AY133" s="1770"/>
      <c r="AZ133" s="1709"/>
      <c r="BA133" s="1181"/>
    </row>
    <row r="134" spans="1:53" ht="27" customHeight="1" thickBot="1">
      <c r="A134" s="668"/>
      <c r="B134" s="2347"/>
      <c r="C134" s="972">
        <v>20</v>
      </c>
      <c r="D134" s="973">
        <v>456</v>
      </c>
      <c r="E134" s="973">
        <v>450</v>
      </c>
      <c r="F134" s="973">
        <v>400</v>
      </c>
      <c r="G134" s="973">
        <v>300</v>
      </c>
      <c r="H134" s="973">
        <v>250</v>
      </c>
      <c r="L134" s="1179"/>
      <c r="M134" s="1179"/>
      <c r="N134" s="1619"/>
      <c r="AH134" s="1709"/>
      <c r="AI134" s="2575"/>
      <c r="AJ134" s="1569" t="s">
        <v>109</v>
      </c>
      <c r="AK134" s="1538">
        <f>IF($M$95,AK126,0)</f>
        <v>0</v>
      </c>
      <c r="AL134" s="1539">
        <f t="shared" ref="AL134:AV134" si="71">IF($M$95,AL126,0)</f>
        <v>0</v>
      </c>
      <c r="AM134" s="1539">
        <f t="shared" si="71"/>
        <v>0</v>
      </c>
      <c r="AN134" s="1539">
        <f t="shared" si="71"/>
        <v>0</v>
      </c>
      <c r="AO134" s="1539">
        <f t="shared" si="71"/>
        <v>0</v>
      </c>
      <c r="AP134" s="1539">
        <f t="shared" si="71"/>
        <v>0</v>
      </c>
      <c r="AQ134" s="1539">
        <f t="shared" si="71"/>
        <v>0</v>
      </c>
      <c r="AR134" s="1539">
        <f t="shared" si="71"/>
        <v>0</v>
      </c>
      <c r="AS134" s="1539">
        <f t="shared" si="71"/>
        <v>0</v>
      </c>
      <c r="AT134" s="1539">
        <f t="shared" si="71"/>
        <v>0</v>
      </c>
      <c r="AU134" s="1539">
        <f t="shared" si="71"/>
        <v>0</v>
      </c>
      <c r="AV134" s="1716">
        <f t="shared" si="71"/>
        <v>0</v>
      </c>
      <c r="AW134" s="1733"/>
      <c r="AX134" s="2570"/>
      <c r="AY134" s="1770"/>
      <c r="AZ134" s="1709"/>
      <c r="BA134" s="1181"/>
    </row>
    <row r="135" spans="1:53" ht="21.75" customHeight="1">
      <c r="A135" s="668"/>
      <c r="B135" s="2347"/>
      <c r="C135" s="700" t="s">
        <v>718</v>
      </c>
      <c r="D135" s="700" t="s">
        <v>719</v>
      </c>
      <c r="E135" s="700" t="s">
        <v>720</v>
      </c>
      <c r="F135" s="700" t="s">
        <v>721</v>
      </c>
      <c r="G135" s="700" t="s">
        <v>722</v>
      </c>
      <c r="H135" s="700" t="s">
        <v>723</v>
      </c>
      <c r="L135" s="1179"/>
      <c r="M135" s="1179"/>
      <c r="N135" s="1619"/>
      <c r="AH135" s="1709"/>
      <c r="AI135" s="2651" t="s">
        <v>1458</v>
      </c>
      <c r="AJ135" s="1532" t="s">
        <v>1079</v>
      </c>
      <c r="AK135" s="1577">
        <f t="shared" ref="AK135:AK140" si="72">IF(SUM(AK$129:AK$134)=0,0,IF(AK$128*(AK129/(SUM(AK$129:AK$134)))&lt;AK114,AK$128*(AK129/(SUM(AK$129:AK$134))),AK114))</f>
        <v>0</v>
      </c>
      <c r="AL135" s="1578">
        <f t="shared" ref="AL135:AV135" si="73">IF(SUM(AL$129:AL$134)=0,0,IF(AL$128*(AL129/(SUM(AL$129:AL$134)))&lt;AL114,AL$128*(AL129/(SUM(AL$129:AL$134))),AL114))</f>
        <v>0</v>
      </c>
      <c r="AM135" s="1578">
        <f t="shared" si="73"/>
        <v>0</v>
      </c>
      <c r="AN135" s="1578">
        <f t="shared" si="73"/>
        <v>0</v>
      </c>
      <c r="AO135" s="1578">
        <f t="shared" si="73"/>
        <v>0</v>
      </c>
      <c r="AP135" s="1578">
        <f t="shared" si="73"/>
        <v>0</v>
      </c>
      <c r="AQ135" s="1578">
        <f t="shared" si="73"/>
        <v>0</v>
      </c>
      <c r="AR135" s="1578">
        <f t="shared" si="73"/>
        <v>0</v>
      </c>
      <c r="AS135" s="1578">
        <f t="shared" si="73"/>
        <v>0</v>
      </c>
      <c r="AT135" s="1578">
        <f t="shared" si="73"/>
        <v>0</v>
      </c>
      <c r="AU135" s="1578">
        <f t="shared" si="73"/>
        <v>0</v>
      </c>
      <c r="AV135" s="1717">
        <f t="shared" si="73"/>
        <v>0</v>
      </c>
      <c r="AW135" s="1733"/>
      <c r="AX135" s="1727">
        <f t="shared" ref="AX135:AX140" si="74">SUM(AK135:AV135)</f>
        <v>0</v>
      </c>
      <c r="AY135" s="1773" t="e">
        <f>AX135/($AX$74+$AX$75)</f>
        <v>#DIV/0!</v>
      </c>
      <c r="AZ135" s="1709"/>
      <c r="BA135" s="1181"/>
    </row>
    <row r="136" spans="1:53" ht="26.25" thickBot="1">
      <c r="A136" s="668"/>
      <c r="B136" s="2348"/>
      <c r="C136" s="972">
        <v>200</v>
      </c>
      <c r="D136" s="972">
        <v>140</v>
      </c>
      <c r="E136" s="972">
        <v>160</v>
      </c>
      <c r="F136" s="972">
        <v>200</v>
      </c>
      <c r="G136" s="972">
        <v>180</v>
      </c>
      <c r="H136" s="973">
        <v>100</v>
      </c>
      <c r="L136" s="1179"/>
      <c r="M136" s="1179"/>
      <c r="N136" s="1467"/>
      <c r="O136" s="1183"/>
      <c r="AH136" s="1709"/>
      <c r="AI136" s="2651"/>
      <c r="AJ136" s="1532" t="s">
        <v>1080</v>
      </c>
      <c r="AK136" s="1580">
        <f t="shared" si="72"/>
        <v>0</v>
      </c>
      <c r="AL136" s="1581">
        <f t="shared" ref="AL136:AV136" si="75">IF(SUM(AL$129:AL$134)=0,0,IF(AL$128*(AL130/(SUM(AL$129:AL$134)))&lt;AL115,AL$128*(AL130/(SUM(AL$129:AL$134))),AL115))</f>
        <v>0</v>
      </c>
      <c r="AM136" s="1581">
        <f t="shared" si="75"/>
        <v>0</v>
      </c>
      <c r="AN136" s="1581">
        <f t="shared" si="75"/>
        <v>0</v>
      </c>
      <c r="AO136" s="1581">
        <f t="shared" si="75"/>
        <v>0</v>
      </c>
      <c r="AP136" s="1581">
        <f t="shared" si="75"/>
        <v>0</v>
      </c>
      <c r="AQ136" s="1581">
        <f t="shared" si="75"/>
        <v>0</v>
      </c>
      <c r="AR136" s="1581">
        <f t="shared" si="75"/>
        <v>0</v>
      </c>
      <c r="AS136" s="1581">
        <f t="shared" si="75"/>
        <v>0</v>
      </c>
      <c r="AT136" s="1581">
        <f t="shared" si="75"/>
        <v>0</v>
      </c>
      <c r="AU136" s="1581">
        <f t="shared" si="75"/>
        <v>0</v>
      </c>
      <c r="AV136" s="1718">
        <f t="shared" si="75"/>
        <v>0</v>
      </c>
      <c r="AW136" s="1733"/>
      <c r="AX136" s="1728">
        <f t="shared" si="74"/>
        <v>0</v>
      </c>
      <c r="AY136" s="1773" t="e">
        <f>AX136/($AX$76+$AX$77)</f>
        <v>#DIV/0!</v>
      </c>
      <c r="AZ136" s="1709"/>
      <c r="BA136" s="1181"/>
    </row>
    <row r="137" spans="1:53" ht="18.75" customHeight="1" thickBot="1">
      <c r="A137" s="668"/>
      <c r="B137" s="2132"/>
      <c r="C137" s="2133"/>
      <c r="D137" s="2133"/>
      <c r="E137" s="2133"/>
      <c r="F137" s="2134"/>
      <c r="G137" s="2438"/>
      <c r="H137" s="2439"/>
      <c r="L137" s="1179"/>
      <c r="M137" s="1179"/>
      <c r="N137" s="1624"/>
      <c r="O137" s="1622"/>
      <c r="AH137" s="1709"/>
      <c r="AI137" s="2651"/>
      <c r="AJ137" s="1569" t="s">
        <v>1016</v>
      </c>
      <c r="AK137" s="1583">
        <f t="shared" si="72"/>
        <v>0</v>
      </c>
      <c r="AL137" s="1584">
        <f t="shared" ref="AL137:AV137" si="76">IF(SUM(AL$129:AL$134)=0,0,IF(AL$128*(AL131/(SUM(AL$129:AL$134)))&lt;AL116,AL$128*(AL131/(SUM(AL$129:AL$134))),AL116))</f>
        <v>0</v>
      </c>
      <c r="AM137" s="1584">
        <f t="shared" si="76"/>
        <v>0</v>
      </c>
      <c r="AN137" s="1584">
        <f t="shared" si="76"/>
        <v>0</v>
      </c>
      <c r="AO137" s="1584">
        <f t="shared" si="76"/>
        <v>0</v>
      </c>
      <c r="AP137" s="1584">
        <f t="shared" si="76"/>
        <v>0</v>
      </c>
      <c r="AQ137" s="1584">
        <f t="shared" si="76"/>
        <v>0</v>
      </c>
      <c r="AR137" s="1584">
        <f t="shared" si="76"/>
        <v>0</v>
      </c>
      <c r="AS137" s="1584">
        <f t="shared" si="76"/>
        <v>0</v>
      </c>
      <c r="AT137" s="1584">
        <f t="shared" si="76"/>
        <v>0</v>
      </c>
      <c r="AU137" s="1584">
        <f t="shared" si="76"/>
        <v>0</v>
      </c>
      <c r="AV137" s="1719">
        <f t="shared" si="76"/>
        <v>0</v>
      </c>
      <c r="AW137" s="1733"/>
      <c r="AX137" s="1729">
        <f t="shared" si="74"/>
        <v>0</v>
      </c>
      <c r="AY137" s="1576">
        <f>SUM(AX135:AX136)</f>
        <v>0</v>
      </c>
      <c r="AZ137" s="1709"/>
      <c r="BA137" s="1181"/>
    </row>
    <row r="138" spans="1:53" ht="18.75" customHeight="1" thickBot="1">
      <c r="A138" s="668"/>
      <c r="B138" s="2135"/>
      <c r="C138" s="2136"/>
      <c r="D138" s="2136"/>
      <c r="E138" s="2136"/>
      <c r="F138" s="2137"/>
      <c r="G138" s="2438"/>
      <c r="H138" s="2439"/>
      <c r="L138" s="1179"/>
      <c r="M138" s="1199"/>
      <c r="N138" s="1754">
        <f>(SUM(O128:O129)*1000)</f>
        <v>0</v>
      </c>
      <c r="O138" s="1622" t="s">
        <v>402</v>
      </c>
      <c r="AH138" s="1709"/>
      <c r="AI138" s="2651"/>
      <c r="AJ138" s="1569" t="s">
        <v>731</v>
      </c>
      <c r="AK138" s="1583">
        <f t="shared" si="72"/>
        <v>0</v>
      </c>
      <c r="AL138" s="1584">
        <f t="shared" ref="AL138:AV138" si="77">IF(SUM(AL$129:AL$134)=0,0,IF(AL$128*(AL132/(SUM(AL$129:AL$134)))&lt;AL117,AL$128*(AL132/(SUM(AL$129:AL$134))),AL117))</f>
        <v>0</v>
      </c>
      <c r="AM138" s="1584">
        <f t="shared" si="77"/>
        <v>0</v>
      </c>
      <c r="AN138" s="1584">
        <f t="shared" si="77"/>
        <v>0</v>
      </c>
      <c r="AO138" s="1584">
        <f t="shared" si="77"/>
        <v>0</v>
      </c>
      <c r="AP138" s="1584">
        <f t="shared" si="77"/>
        <v>0</v>
      </c>
      <c r="AQ138" s="1584">
        <f t="shared" si="77"/>
        <v>0</v>
      </c>
      <c r="AR138" s="1584">
        <f t="shared" si="77"/>
        <v>0</v>
      </c>
      <c r="AS138" s="1584">
        <f t="shared" si="77"/>
        <v>0</v>
      </c>
      <c r="AT138" s="1584">
        <f t="shared" si="77"/>
        <v>0</v>
      </c>
      <c r="AU138" s="1584">
        <f t="shared" si="77"/>
        <v>0</v>
      </c>
      <c r="AV138" s="1719">
        <f t="shared" si="77"/>
        <v>0</v>
      </c>
      <c r="AW138" s="1733"/>
      <c r="AX138" s="1729">
        <f t="shared" si="74"/>
        <v>0</v>
      </c>
      <c r="AY138" s="1709"/>
      <c r="AZ138" s="1709"/>
      <c r="BA138" s="1181"/>
    </row>
    <row r="139" spans="1:53" s="673" customFormat="1" ht="18" customHeight="1" thickBot="1">
      <c r="A139" s="668"/>
      <c r="B139" s="2435"/>
      <c r="C139" s="2436"/>
      <c r="D139" s="2436"/>
      <c r="E139" s="2436"/>
      <c r="F139" s="2437"/>
      <c r="G139" s="2438"/>
      <c r="H139" s="2439"/>
      <c r="L139" s="1199"/>
      <c r="M139" s="1199"/>
      <c r="N139" s="1213"/>
      <c r="O139" s="1199"/>
      <c r="P139" s="1200"/>
      <c r="Q139" s="1200"/>
      <c r="R139" s="1200"/>
      <c r="S139" s="1200"/>
      <c r="T139" s="1200"/>
      <c r="U139" s="1200"/>
      <c r="V139" s="1200"/>
      <c r="W139" s="1200"/>
      <c r="X139" s="1200"/>
      <c r="Y139" s="1200"/>
      <c r="Z139" s="1200"/>
      <c r="AA139" s="1200"/>
      <c r="AB139" s="1200"/>
      <c r="AC139" s="1200"/>
      <c r="AD139" s="1200"/>
      <c r="AE139" s="1200"/>
      <c r="AF139" s="1200"/>
      <c r="AG139" s="1200"/>
      <c r="AH139" s="1768"/>
      <c r="AI139" s="2651"/>
      <c r="AJ139" s="1569" t="s">
        <v>1081</v>
      </c>
      <c r="AK139" s="1583">
        <f t="shared" si="72"/>
        <v>0</v>
      </c>
      <c r="AL139" s="1584">
        <f t="shared" ref="AL139:AV139" si="78">IF(SUM(AL$129:AL$134)=0,0,IF(AL$128*(AL133/(SUM(AL$129:AL$134)))&lt;AL118,AL$128*(AL133/(SUM(AL$129:AL$134))),AL118))</f>
        <v>0</v>
      </c>
      <c r="AM139" s="1584">
        <f t="shared" si="78"/>
        <v>0</v>
      </c>
      <c r="AN139" s="1584">
        <f t="shared" si="78"/>
        <v>0</v>
      </c>
      <c r="AO139" s="1584">
        <f t="shared" si="78"/>
        <v>0</v>
      </c>
      <c r="AP139" s="1584">
        <f t="shared" si="78"/>
        <v>0</v>
      </c>
      <c r="AQ139" s="1584">
        <f t="shared" si="78"/>
        <v>0</v>
      </c>
      <c r="AR139" s="1584">
        <f t="shared" si="78"/>
        <v>0</v>
      </c>
      <c r="AS139" s="1584">
        <f t="shared" si="78"/>
        <v>0</v>
      </c>
      <c r="AT139" s="1584">
        <f t="shared" si="78"/>
        <v>0</v>
      </c>
      <c r="AU139" s="1584">
        <f t="shared" si="78"/>
        <v>0</v>
      </c>
      <c r="AV139" s="1719">
        <f t="shared" si="78"/>
        <v>0</v>
      </c>
      <c r="AW139" s="1733"/>
      <c r="AX139" s="1729">
        <f t="shared" si="74"/>
        <v>0</v>
      </c>
      <c r="AY139" s="1768"/>
      <c r="AZ139" s="1768"/>
      <c r="BA139" s="1200"/>
    </row>
    <row r="140" spans="1:53" ht="31.5" customHeight="1" thickBot="1">
      <c r="A140" s="668"/>
      <c r="B140" s="2435"/>
      <c r="C140" s="2436"/>
      <c r="D140" s="2436"/>
      <c r="E140" s="2436"/>
      <c r="F140" s="2437"/>
      <c r="G140" s="2438"/>
      <c r="H140" s="2439"/>
      <c r="J140" s="717"/>
      <c r="K140" s="717"/>
      <c r="L140" s="1179"/>
      <c r="M140" s="1199"/>
      <c r="N140" s="2138"/>
      <c r="O140" s="2139"/>
      <c r="AH140" s="1709"/>
      <c r="AI140" s="2651"/>
      <c r="AJ140" s="1569" t="s">
        <v>109</v>
      </c>
      <c r="AK140" s="1586">
        <f t="shared" si="72"/>
        <v>0</v>
      </c>
      <c r="AL140" s="1587">
        <f t="shared" ref="AL140:AV140" si="79">IF(SUM(AL$129:AL$134)=0,0,IF(AL$128*(AL134/(SUM(AL$129:AL$134)))&lt;AL119,AL$128*(AL134/(SUM(AL$129:AL$134))),AL119))</f>
        <v>0</v>
      </c>
      <c r="AM140" s="1587">
        <f t="shared" si="79"/>
        <v>0</v>
      </c>
      <c r="AN140" s="1587">
        <f t="shared" si="79"/>
        <v>0</v>
      </c>
      <c r="AO140" s="1587">
        <f t="shared" si="79"/>
        <v>0</v>
      </c>
      <c r="AP140" s="1587">
        <f t="shared" si="79"/>
        <v>0</v>
      </c>
      <c r="AQ140" s="1587">
        <f t="shared" si="79"/>
        <v>0</v>
      </c>
      <c r="AR140" s="1587">
        <f t="shared" si="79"/>
        <v>0</v>
      </c>
      <c r="AS140" s="1587">
        <f t="shared" si="79"/>
        <v>0</v>
      </c>
      <c r="AT140" s="1587">
        <f t="shared" si="79"/>
        <v>0</v>
      </c>
      <c r="AU140" s="1587">
        <f t="shared" si="79"/>
        <v>0</v>
      </c>
      <c r="AV140" s="1720">
        <f t="shared" si="79"/>
        <v>0</v>
      </c>
      <c r="AW140" s="1733"/>
      <c r="AX140" s="1730">
        <f t="shared" si="74"/>
        <v>0</v>
      </c>
      <c r="AY140" s="1614">
        <f>SUM(AX137:AX140)</f>
        <v>0</v>
      </c>
      <c r="AZ140" s="1709"/>
      <c r="BA140" s="1181"/>
    </row>
    <row r="141" spans="1:53" ht="27.75" hidden="1" customHeight="1" thickBot="1">
      <c r="A141" s="668"/>
      <c r="B141" s="2127"/>
      <c r="C141" s="2127"/>
      <c r="D141" s="2127"/>
      <c r="E141" s="2127"/>
      <c r="F141" s="2127"/>
      <c r="G141" s="2127"/>
      <c r="H141" s="2127"/>
      <c r="J141" s="715"/>
      <c r="K141" s="715"/>
      <c r="L141" s="1179"/>
      <c r="M141" s="1199"/>
      <c r="N141" s="1213"/>
      <c r="O141" s="1199"/>
      <c r="AH141" s="1709"/>
      <c r="AI141" s="1492"/>
      <c r="AJ141" s="1492"/>
      <c r="AK141" s="1549"/>
      <c r="AL141" s="1549"/>
      <c r="AM141" s="1549"/>
      <c r="AN141" s="1549"/>
      <c r="AO141" s="1549"/>
      <c r="AP141" s="1549"/>
      <c r="AQ141" s="1549"/>
      <c r="AR141" s="1549"/>
      <c r="AS141" s="1549"/>
      <c r="AT141" s="1549"/>
      <c r="AU141" s="1549"/>
      <c r="AV141" s="1721"/>
      <c r="AW141" s="1733"/>
      <c r="AX141" s="1731"/>
      <c r="AY141" s="1181"/>
      <c r="AZ141" s="1709"/>
      <c r="BA141" s="1181"/>
    </row>
    <row r="142" spans="1:53" ht="34.5" customHeight="1" thickBot="1">
      <c r="A142" s="668"/>
      <c r="B142" s="2632" t="s">
        <v>1780</v>
      </c>
      <c r="C142" s="2633"/>
      <c r="D142" s="2633"/>
      <c r="E142" s="2633"/>
      <c r="F142" s="2634"/>
      <c r="G142" s="2635">
        <f>IF(TYPE(N138/$H$4)=16,0,(N138/$H$4))</f>
        <v>0</v>
      </c>
      <c r="H142" s="2636"/>
      <c r="J142" s="715"/>
      <c r="K142" s="715"/>
      <c r="L142" s="1202"/>
      <c r="AH142" s="1709"/>
      <c r="AI142" s="2573" t="s">
        <v>1784</v>
      </c>
      <c r="AJ142" s="1532" t="s">
        <v>1079</v>
      </c>
      <c r="AK142" s="1577">
        <f t="shared" ref="AK142:AK147" si="80">AK114-AK135</f>
        <v>0</v>
      </c>
      <c r="AL142" s="1578">
        <f t="shared" ref="AL142:AV142" si="81">AL114-AL135</f>
        <v>0</v>
      </c>
      <c r="AM142" s="1578">
        <f t="shared" si="81"/>
        <v>0</v>
      </c>
      <c r="AN142" s="1578">
        <f t="shared" si="81"/>
        <v>0</v>
      </c>
      <c r="AO142" s="1578">
        <f t="shared" si="81"/>
        <v>0</v>
      </c>
      <c r="AP142" s="1578">
        <f t="shared" si="81"/>
        <v>0</v>
      </c>
      <c r="AQ142" s="1578">
        <f t="shared" si="81"/>
        <v>0</v>
      </c>
      <c r="AR142" s="1578">
        <f t="shared" si="81"/>
        <v>0</v>
      </c>
      <c r="AS142" s="1578">
        <f t="shared" si="81"/>
        <v>0</v>
      </c>
      <c r="AT142" s="1578">
        <f t="shared" si="81"/>
        <v>0</v>
      </c>
      <c r="AU142" s="1578">
        <f t="shared" si="81"/>
        <v>0</v>
      </c>
      <c r="AV142" s="1717">
        <f t="shared" si="81"/>
        <v>0</v>
      </c>
      <c r="AW142" s="1733"/>
      <c r="AX142" s="1727">
        <f t="shared" ref="AX142:AX147" si="82">SUM(AK142:AV142)</f>
        <v>0</v>
      </c>
      <c r="AY142" s="1773" t="e">
        <f>AX142/($AX$74+$AX$75)</f>
        <v>#DIV/0!</v>
      </c>
      <c r="AZ142" s="1709"/>
      <c r="BA142" s="1181"/>
    </row>
    <row r="143" spans="1:53" ht="19.5" customHeight="1" thickBot="1">
      <c r="A143" s="668"/>
      <c r="L143" s="1179"/>
      <c r="M143" s="2610" t="s">
        <v>1288</v>
      </c>
      <c r="N143" s="2611"/>
      <c r="O143" s="2612" t="s">
        <v>166</v>
      </c>
      <c r="AH143" s="1709"/>
      <c r="AI143" s="2574"/>
      <c r="AJ143" s="1532" t="s">
        <v>1080</v>
      </c>
      <c r="AK143" s="1580">
        <f t="shared" si="80"/>
        <v>0</v>
      </c>
      <c r="AL143" s="1581">
        <f t="shared" ref="AL143:AV143" si="83">AL115-AL136</f>
        <v>0</v>
      </c>
      <c r="AM143" s="1581">
        <f t="shared" si="83"/>
        <v>0</v>
      </c>
      <c r="AN143" s="1581">
        <f t="shared" si="83"/>
        <v>0</v>
      </c>
      <c r="AO143" s="1581">
        <f t="shared" si="83"/>
        <v>0</v>
      </c>
      <c r="AP143" s="1581">
        <f t="shared" si="83"/>
        <v>0</v>
      </c>
      <c r="AQ143" s="1581">
        <f t="shared" si="83"/>
        <v>0</v>
      </c>
      <c r="AR143" s="1581">
        <f t="shared" si="83"/>
        <v>0</v>
      </c>
      <c r="AS143" s="1581">
        <f t="shared" si="83"/>
        <v>0</v>
      </c>
      <c r="AT143" s="1581">
        <f t="shared" si="83"/>
        <v>0</v>
      </c>
      <c r="AU143" s="1581">
        <f t="shared" si="83"/>
        <v>0</v>
      </c>
      <c r="AV143" s="1718">
        <f t="shared" si="83"/>
        <v>0</v>
      </c>
      <c r="AW143" s="1733"/>
      <c r="AX143" s="1728">
        <f t="shared" si="82"/>
        <v>0</v>
      </c>
      <c r="AY143" s="1773" t="e">
        <f>AX143/($AX$76+$AX$77)</f>
        <v>#DIV/0!</v>
      </c>
      <c r="AZ143" s="1709"/>
      <c r="BA143" s="1181"/>
    </row>
    <row r="144" spans="1:53" s="661" customFormat="1" ht="42" customHeight="1" thickBot="1">
      <c r="A144" s="686"/>
      <c r="B144" s="2359" t="s">
        <v>186</v>
      </c>
      <c r="C144" s="2359"/>
      <c r="D144" s="2359"/>
      <c r="E144" s="2359"/>
      <c r="F144" s="2359"/>
      <c r="G144" s="2359"/>
      <c r="H144" s="2359"/>
      <c r="I144" s="2359"/>
      <c r="L144" s="1184"/>
      <c r="M144" s="1631" t="s">
        <v>822</v>
      </c>
      <c r="N144" s="1632" t="s">
        <v>1619</v>
      </c>
      <c r="O144" s="2613"/>
      <c r="P144" s="1185"/>
      <c r="Q144" s="1185"/>
      <c r="R144" s="1185"/>
      <c r="S144" s="1185"/>
      <c r="T144" s="1185"/>
      <c r="U144" s="1185"/>
      <c r="V144" s="1185"/>
      <c r="W144" s="1185"/>
      <c r="X144" s="1185"/>
      <c r="Y144" s="1185"/>
      <c r="Z144" s="1185"/>
      <c r="AA144" s="1185"/>
      <c r="AB144" s="1185"/>
      <c r="AC144" s="1185"/>
      <c r="AD144" s="1185"/>
      <c r="AE144" s="1185"/>
      <c r="AF144" s="1185"/>
      <c r="AG144" s="1185"/>
      <c r="AH144" s="1767"/>
      <c r="AI144" s="2574"/>
      <c r="AJ144" s="1569" t="s">
        <v>1016</v>
      </c>
      <c r="AK144" s="1589">
        <f t="shared" si="80"/>
        <v>0</v>
      </c>
      <c r="AL144" s="1590">
        <f t="shared" ref="AL144:AV144" si="84">AL116-AL137</f>
        <v>0</v>
      </c>
      <c r="AM144" s="1590">
        <f t="shared" si="84"/>
        <v>0</v>
      </c>
      <c r="AN144" s="1590">
        <f t="shared" si="84"/>
        <v>0</v>
      </c>
      <c r="AO144" s="1590">
        <f t="shared" si="84"/>
        <v>0</v>
      </c>
      <c r="AP144" s="1590">
        <f t="shared" si="84"/>
        <v>0</v>
      </c>
      <c r="AQ144" s="1590">
        <f t="shared" si="84"/>
        <v>0</v>
      </c>
      <c r="AR144" s="1590">
        <f t="shared" si="84"/>
        <v>0</v>
      </c>
      <c r="AS144" s="1590">
        <f t="shared" si="84"/>
        <v>0</v>
      </c>
      <c r="AT144" s="1590">
        <f t="shared" si="84"/>
        <v>0</v>
      </c>
      <c r="AU144" s="1590">
        <f t="shared" si="84"/>
        <v>0</v>
      </c>
      <c r="AV144" s="1722">
        <f t="shared" si="84"/>
        <v>0</v>
      </c>
      <c r="AW144" s="1734"/>
      <c r="AX144" s="1729">
        <f t="shared" si="82"/>
        <v>0</v>
      </c>
      <c r="AY144" s="1615">
        <f>SUM(AX142:AX143)</f>
        <v>0</v>
      </c>
      <c r="AZ144" s="1767"/>
      <c r="BA144" s="1185"/>
    </row>
    <row r="145" spans="1:53" ht="30" customHeight="1">
      <c r="A145" s="668"/>
      <c r="B145" s="2359" t="s">
        <v>408</v>
      </c>
      <c r="C145" s="2359"/>
      <c r="D145" s="2359"/>
      <c r="E145" s="2359"/>
      <c r="F145" s="2359"/>
      <c r="G145" s="2361">
        <f>SUM(G147:H150)</f>
        <v>0</v>
      </c>
      <c r="H145" s="2361"/>
      <c r="I145" s="699" t="s">
        <v>1133</v>
      </c>
      <c r="L145" s="1179"/>
      <c r="M145" s="1241">
        <v>0</v>
      </c>
      <c r="N145" s="1242">
        <v>1</v>
      </c>
      <c r="O145" s="1243"/>
      <c r="AH145" s="1709"/>
      <c r="AI145" s="2574"/>
      <c r="AJ145" s="1569" t="s">
        <v>731</v>
      </c>
      <c r="AK145" s="1583">
        <f t="shared" si="80"/>
        <v>0</v>
      </c>
      <c r="AL145" s="1584">
        <f t="shared" ref="AL145:AV145" si="85">AL117-AL138</f>
        <v>0</v>
      </c>
      <c r="AM145" s="1584">
        <f t="shared" si="85"/>
        <v>0</v>
      </c>
      <c r="AN145" s="1584">
        <f t="shared" si="85"/>
        <v>0</v>
      </c>
      <c r="AO145" s="1584">
        <f t="shared" si="85"/>
        <v>0</v>
      </c>
      <c r="AP145" s="1584">
        <f t="shared" si="85"/>
        <v>0</v>
      </c>
      <c r="AQ145" s="1584">
        <f t="shared" si="85"/>
        <v>0</v>
      </c>
      <c r="AR145" s="1584">
        <f t="shared" si="85"/>
        <v>0</v>
      </c>
      <c r="AS145" s="1584">
        <f t="shared" si="85"/>
        <v>0</v>
      </c>
      <c r="AT145" s="1584">
        <f t="shared" si="85"/>
        <v>0</v>
      </c>
      <c r="AU145" s="1584">
        <f t="shared" si="85"/>
        <v>0</v>
      </c>
      <c r="AV145" s="1719">
        <f t="shared" si="85"/>
        <v>0</v>
      </c>
      <c r="AW145" s="1733"/>
      <c r="AX145" s="1729">
        <f t="shared" si="82"/>
        <v>0</v>
      </c>
      <c r="AY145" s="1770"/>
      <c r="AZ145" s="1709"/>
      <c r="BA145" s="1181"/>
    </row>
    <row r="146" spans="1:53" ht="106.5" customHeight="1" thickBot="1">
      <c r="A146" s="668"/>
      <c r="B146" s="2618"/>
      <c r="C146" s="2618"/>
      <c r="D146" s="2618"/>
      <c r="E146" s="2618"/>
      <c r="F146" s="2618"/>
      <c r="G146" s="2618"/>
      <c r="H146" s="2618"/>
      <c r="I146" s="2618"/>
      <c r="M146" s="1633">
        <v>0.24</v>
      </c>
      <c r="N146" s="1634">
        <v>0.32</v>
      </c>
      <c r="O146" s="1244">
        <v>5</v>
      </c>
      <c r="AH146" s="1709"/>
      <c r="AI146" s="2574"/>
      <c r="AJ146" s="1569" t="s">
        <v>1081</v>
      </c>
      <c r="AK146" s="1583">
        <f t="shared" si="80"/>
        <v>0</v>
      </c>
      <c r="AL146" s="1584">
        <f t="shared" ref="AL146:AV146" si="86">AL118-AL139</f>
        <v>0</v>
      </c>
      <c r="AM146" s="1584">
        <f t="shared" si="86"/>
        <v>0</v>
      </c>
      <c r="AN146" s="1584">
        <f t="shared" si="86"/>
        <v>0</v>
      </c>
      <c r="AO146" s="1584">
        <f t="shared" si="86"/>
        <v>0</v>
      </c>
      <c r="AP146" s="1584">
        <f t="shared" si="86"/>
        <v>0</v>
      </c>
      <c r="AQ146" s="1584">
        <f t="shared" si="86"/>
        <v>0</v>
      </c>
      <c r="AR146" s="1584">
        <f t="shared" si="86"/>
        <v>0</v>
      </c>
      <c r="AS146" s="1584">
        <f t="shared" si="86"/>
        <v>0</v>
      </c>
      <c r="AT146" s="1584">
        <f t="shared" si="86"/>
        <v>0</v>
      </c>
      <c r="AU146" s="1584">
        <f t="shared" si="86"/>
        <v>0</v>
      </c>
      <c r="AV146" s="1719">
        <f t="shared" si="86"/>
        <v>0</v>
      </c>
      <c r="AW146" s="1733"/>
      <c r="AX146" s="1729">
        <f t="shared" si="82"/>
        <v>0</v>
      </c>
      <c r="AY146" s="1770"/>
      <c r="AZ146" s="1709"/>
      <c r="BA146" s="1181"/>
    </row>
    <row r="147" spans="1:53" ht="23.25" customHeight="1" thickBot="1">
      <c r="A147" s="668"/>
      <c r="B147" s="2357" t="s">
        <v>187</v>
      </c>
      <c r="C147" s="2357"/>
      <c r="D147" s="2357"/>
      <c r="E147" s="2357"/>
      <c r="F147" s="2357"/>
      <c r="G147" s="2360">
        <f>G87</f>
        <v>0</v>
      </c>
      <c r="H147" s="2360"/>
      <c r="I147" s="699" t="s">
        <v>1133</v>
      </c>
      <c r="M147" s="1633">
        <v>0.36</v>
      </c>
      <c r="N147" s="1634">
        <v>0.44</v>
      </c>
      <c r="O147" s="1244">
        <v>4</v>
      </c>
      <c r="S147" s="1215"/>
      <c r="T147" s="1215"/>
      <c r="U147" s="1215"/>
      <c r="V147" s="1215"/>
      <c r="W147" s="1215"/>
      <c r="X147" s="1215"/>
      <c r="Y147" s="1215"/>
      <c r="Z147" s="1215"/>
      <c r="AH147" s="1709"/>
      <c r="AI147" s="2575"/>
      <c r="AJ147" s="1569" t="s">
        <v>109</v>
      </c>
      <c r="AK147" s="1586">
        <f t="shared" si="80"/>
        <v>0</v>
      </c>
      <c r="AL147" s="1587">
        <f t="shared" ref="AL147:AV147" si="87">AL119-AL140</f>
        <v>0</v>
      </c>
      <c r="AM147" s="1587">
        <f t="shared" si="87"/>
        <v>0</v>
      </c>
      <c r="AN147" s="1587">
        <f t="shared" si="87"/>
        <v>0</v>
      </c>
      <c r="AO147" s="1587">
        <f t="shared" si="87"/>
        <v>0</v>
      </c>
      <c r="AP147" s="1587">
        <f t="shared" si="87"/>
        <v>0</v>
      </c>
      <c r="AQ147" s="1587">
        <f t="shared" si="87"/>
        <v>0</v>
      </c>
      <c r="AR147" s="1587">
        <f t="shared" si="87"/>
        <v>0</v>
      </c>
      <c r="AS147" s="1587">
        <f t="shared" si="87"/>
        <v>0</v>
      </c>
      <c r="AT147" s="1587">
        <f t="shared" si="87"/>
        <v>0</v>
      </c>
      <c r="AU147" s="1587">
        <f t="shared" si="87"/>
        <v>0</v>
      </c>
      <c r="AV147" s="1720">
        <f t="shared" si="87"/>
        <v>0</v>
      </c>
      <c r="AW147" s="1733"/>
      <c r="AX147" s="1730">
        <f t="shared" si="82"/>
        <v>0</v>
      </c>
      <c r="AY147" s="1614">
        <f>SUM(AX144:AX147)</f>
        <v>0</v>
      </c>
      <c r="AZ147" s="1709"/>
      <c r="BA147" s="1181"/>
    </row>
    <row r="148" spans="1:53" ht="27.75" customHeight="1">
      <c r="A148" s="668"/>
      <c r="B148" s="2357" t="s">
        <v>188</v>
      </c>
      <c r="C148" s="2357"/>
      <c r="D148" s="2357"/>
      <c r="E148" s="2357"/>
      <c r="F148" s="2357"/>
      <c r="G148" s="2360">
        <f>G104</f>
        <v>0</v>
      </c>
      <c r="H148" s="2360"/>
      <c r="I148" s="699" t="s">
        <v>1133</v>
      </c>
      <c r="M148" s="1633">
        <v>0.47</v>
      </c>
      <c r="N148" s="1634">
        <v>0.56000000000000005</v>
      </c>
      <c r="O148" s="1244">
        <v>3</v>
      </c>
      <c r="S148" s="1215"/>
      <c r="T148" s="1215"/>
      <c r="U148" s="1215"/>
      <c r="V148" s="1215"/>
      <c r="W148" s="1215"/>
      <c r="X148" s="1215"/>
      <c r="Y148" s="1215"/>
      <c r="Z148" s="1215"/>
      <c r="AH148" s="1709"/>
      <c r="AI148" s="2619" t="s">
        <v>1785</v>
      </c>
      <c r="AJ148" s="1532" t="s">
        <v>1079</v>
      </c>
      <c r="AK148" s="1524" t="e">
        <f>(AK142/SUM(AK$142:AK$147))</f>
        <v>#DIV/0!</v>
      </c>
      <c r="AL148" s="1525" t="e">
        <f t="shared" ref="AL148:AV148" si="88">(AL142/SUM(AL$142:AL$147))</f>
        <v>#DIV/0!</v>
      </c>
      <c r="AM148" s="1525" t="e">
        <f t="shared" si="88"/>
        <v>#DIV/0!</v>
      </c>
      <c r="AN148" s="1525" t="e">
        <f t="shared" si="88"/>
        <v>#DIV/0!</v>
      </c>
      <c r="AO148" s="1525" t="e">
        <f t="shared" si="88"/>
        <v>#DIV/0!</v>
      </c>
      <c r="AP148" s="1525" t="e">
        <f t="shared" si="88"/>
        <v>#DIV/0!</v>
      </c>
      <c r="AQ148" s="1525" t="e">
        <f t="shared" si="88"/>
        <v>#DIV/0!</v>
      </c>
      <c r="AR148" s="1525" t="e">
        <f t="shared" si="88"/>
        <v>#DIV/0!</v>
      </c>
      <c r="AS148" s="1525" t="e">
        <f t="shared" si="88"/>
        <v>#DIV/0!</v>
      </c>
      <c r="AT148" s="1525" t="e">
        <f t="shared" si="88"/>
        <v>#DIV/0!</v>
      </c>
      <c r="AU148" s="1525" t="e">
        <f t="shared" si="88"/>
        <v>#DIV/0!</v>
      </c>
      <c r="AV148" s="1723" t="e">
        <f t="shared" si="88"/>
        <v>#DIV/0!</v>
      </c>
      <c r="AW148" s="1733"/>
      <c r="AX148" s="2568"/>
      <c r="AY148" s="1709"/>
      <c r="AZ148" s="1709"/>
      <c r="BA148" s="1181"/>
    </row>
    <row r="149" spans="1:53" ht="30" customHeight="1">
      <c r="A149" s="668"/>
      <c r="B149" s="2357" t="s">
        <v>189</v>
      </c>
      <c r="C149" s="2357"/>
      <c r="D149" s="2357"/>
      <c r="E149" s="2357"/>
      <c r="F149" s="2357"/>
      <c r="G149" s="2360">
        <f>G123</f>
        <v>0</v>
      </c>
      <c r="H149" s="2360"/>
      <c r="I149" s="699" t="s">
        <v>1133</v>
      </c>
      <c r="M149" s="1633">
        <v>0.59</v>
      </c>
      <c r="N149" s="1635">
        <v>0.69</v>
      </c>
      <c r="O149" s="1244">
        <v>2</v>
      </c>
      <c r="S149" s="1215"/>
      <c r="T149" s="1215"/>
      <c r="U149" s="1215"/>
      <c r="V149" s="1215"/>
      <c r="W149" s="1215"/>
      <c r="X149" s="1215"/>
      <c r="Y149" s="1215"/>
      <c r="Z149" s="1215"/>
      <c r="AH149" s="1709"/>
      <c r="AI149" s="2620"/>
      <c r="AJ149" s="1532" t="s">
        <v>1080</v>
      </c>
      <c r="AK149" s="1527" t="e">
        <f t="shared" ref="AK149:AV153" si="89">(AK143/SUM(AK$142:AK$147))</f>
        <v>#DIV/0!</v>
      </c>
      <c r="AL149" s="1496" t="e">
        <f t="shared" si="89"/>
        <v>#DIV/0!</v>
      </c>
      <c r="AM149" s="1496" t="e">
        <f t="shared" si="89"/>
        <v>#DIV/0!</v>
      </c>
      <c r="AN149" s="1496" t="e">
        <f t="shared" si="89"/>
        <v>#DIV/0!</v>
      </c>
      <c r="AO149" s="1496" t="e">
        <f t="shared" si="89"/>
        <v>#DIV/0!</v>
      </c>
      <c r="AP149" s="1496" t="e">
        <f t="shared" si="89"/>
        <v>#DIV/0!</v>
      </c>
      <c r="AQ149" s="1496" t="e">
        <f t="shared" si="89"/>
        <v>#DIV/0!</v>
      </c>
      <c r="AR149" s="1496" t="e">
        <f t="shared" si="89"/>
        <v>#DIV/0!</v>
      </c>
      <c r="AS149" s="1496" t="e">
        <f t="shared" si="89"/>
        <v>#DIV/0!</v>
      </c>
      <c r="AT149" s="1496" t="e">
        <f t="shared" si="89"/>
        <v>#DIV/0!</v>
      </c>
      <c r="AU149" s="1496" t="e">
        <f t="shared" si="89"/>
        <v>#DIV/0!</v>
      </c>
      <c r="AV149" s="1724" t="e">
        <f t="shared" si="89"/>
        <v>#DIV/0!</v>
      </c>
      <c r="AW149" s="1733"/>
      <c r="AX149" s="2569"/>
      <c r="AY149" s="1709"/>
      <c r="AZ149" s="1709"/>
      <c r="BA149" s="1181"/>
    </row>
    <row r="150" spans="1:53" ht="24.75" customHeight="1" thickBot="1">
      <c r="A150" s="668"/>
      <c r="B150" s="2357" t="s">
        <v>1781</v>
      </c>
      <c r="C150" s="2357"/>
      <c r="D150" s="2357"/>
      <c r="E150" s="2357"/>
      <c r="F150" s="2357"/>
      <c r="G150" s="2360">
        <f>G142</f>
        <v>0</v>
      </c>
      <c r="H150" s="2360"/>
      <c r="I150" s="699" t="s">
        <v>1133</v>
      </c>
      <c r="M150" s="1636">
        <v>0.71</v>
      </c>
      <c r="N150" s="1637">
        <v>0.83</v>
      </c>
      <c r="O150" s="1245">
        <v>1</v>
      </c>
      <c r="S150" s="1215"/>
      <c r="T150" s="1215"/>
      <c r="U150" s="1215"/>
      <c r="V150" s="1215"/>
      <c r="W150" s="1215"/>
      <c r="X150" s="1215"/>
      <c r="Y150" s="1215"/>
      <c r="Z150" s="1215"/>
      <c r="AH150" s="1709"/>
      <c r="AI150" s="2620"/>
      <c r="AJ150" s="1569" t="s">
        <v>1016</v>
      </c>
      <c r="AK150" s="1527" t="e">
        <f t="shared" si="89"/>
        <v>#DIV/0!</v>
      </c>
      <c r="AL150" s="1496" t="e">
        <f t="shared" si="89"/>
        <v>#DIV/0!</v>
      </c>
      <c r="AM150" s="1496" t="e">
        <f t="shared" si="89"/>
        <v>#DIV/0!</v>
      </c>
      <c r="AN150" s="1496" t="e">
        <f t="shared" si="89"/>
        <v>#DIV/0!</v>
      </c>
      <c r="AO150" s="1496" t="e">
        <f t="shared" si="89"/>
        <v>#DIV/0!</v>
      </c>
      <c r="AP150" s="1496" t="e">
        <f t="shared" si="89"/>
        <v>#DIV/0!</v>
      </c>
      <c r="AQ150" s="1496" t="e">
        <f t="shared" si="89"/>
        <v>#DIV/0!</v>
      </c>
      <c r="AR150" s="1496" t="e">
        <f t="shared" si="89"/>
        <v>#DIV/0!</v>
      </c>
      <c r="AS150" s="1496" t="e">
        <f t="shared" si="89"/>
        <v>#DIV/0!</v>
      </c>
      <c r="AT150" s="1496" t="e">
        <f t="shared" si="89"/>
        <v>#DIV/0!</v>
      </c>
      <c r="AU150" s="1496" t="e">
        <f t="shared" si="89"/>
        <v>#DIV/0!</v>
      </c>
      <c r="AV150" s="1724" t="e">
        <f t="shared" si="89"/>
        <v>#DIV/0!</v>
      </c>
      <c r="AW150" s="1733"/>
      <c r="AX150" s="2569"/>
      <c r="AY150" s="1709"/>
      <c r="AZ150" s="1709"/>
      <c r="BA150" s="1181"/>
    </row>
    <row r="151" spans="1:53" ht="24.75" customHeight="1" thickBot="1">
      <c r="A151" s="668"/>
      <c r="B151" s="2128"/>
      <c r="C151" s="2129"/>
      <c r="D151" s="2129"/>
      <c r="E151" s="2129"/>
      <c r="F151" s="2130"/>
      <c r="J151" s="716"/>
      <c r="K151" s="716"/>
      <c r="M151" s="1183"/>
      <c r="N151" s="1183"/>
      <c r="O151" s="1183"/>
      <c r="P151" s="1183"/>
      <c r="Q151" s="1201"/>
      <c r="R151" s="1201"/>
      <c r="S151" s="1201"/>
      <c r="T151" s="1215"/>
      <c r="U151" s="1215"/>
      <c r="V151" s="1215"/>
      <c r="W151" s="1215"/>
      <c r="X151" s="1215"/>
      <c r="Y151" s="1215"/>
      <c r="Z151" s="1215"/>
      <c r="AH151" s="1709"/>
      <c r="AI151" s="2620"/>
      <c r="AJ151" s="1569" t="s">
        <v>731</v>
      </c>
      <c r="AK151" s="1527" t="e">
        <f t="shared" si="89"/>
        <v>#DIV/0!</v>
      </c>
      <c r="AL151" s="1496" t="e">
        <f t="shared" si="89"/>
        <v>#DIV/0!</v>
      </c>
      <c r="AM151" s="1496" t="e">
        <f t="shared" si="89"/>
        <v>#DIV/0!</v>
      </c>
      <c r="AN151" s="1496" t="e">
        <f t="shared" si="89"/>
        <v>#DIV/0!</v>
      </c>
      <c r="AO151" s="1496" t="e">
        <f t="shared" si="89"/>
        <v>#DIV/0!</v>
      </c>
      <c r="AP151" s="1496" t="e">
        <f t="shared" si="89"/>
        <v>#DIV/0!</v>
      </c>
      <c r="AQ151" s="1496" t="e">
        <f t="shared" si="89"/>
        <v>#DIV/0!</v>
      </c>
      <c r="AR151" s="1496" t="e">
        <f t="shared" si="89"/>
        <v>#DIV/0!</v>
      </c>
      <c r="AS151" s="1496" t="e">
        <f t="shared" si="89"/>
        <v>#DIV/0!</v>
      </c>
      <c r="AT151" s="1496" t="e">
        <f t="shared" si="89"/>
        <v>#DIV/0!</v>
      </c>
      <c r="AU151" s="1496" t="e">
        <f t="shared" si="89"/>
        <v>#DIV/0!</v>
      </c>
      <c r="AV151" s="1724" t="e">
        <f t="shared" si="89"/>
        <v>#DIV/0!</v>
      </c>
      <c r="AW151" s="1733"/>
      <c r="AX151" s="2569"/>
      <c r="AY151" s="1709"/>
      <c r="AZ151" s="1709"/>
      <c r="BA151" s="1181"/>
    </row>
    <row r="152" spans="1:53" ht="24.75" customHeight="1">
      <c r="A152" s="668"/>
      <c r="B152" s="2461" t="s">
        <v>411</v>
      </c>
      <c r="C152" s="2461"/>
      <c r="D152" s="2461"/>
      <c r="E152" s="2461"/>
      <c r="F152" s="2461"/>
      <c r="G152" s="2461"/>
      <c r="H152" s="2461"/>
      <c r="I152" s="2461"/>
      <c r="M152" s="1642" t="s">
        <v>735</v>
      </c>
      <c r="N152" s="2607" t="s">
        <v>1198</v>
      </c>
      <c r="O152" s="2608"/>
      <c r="P152" s="2609"/>
      <c r="Q152" s="1643" t="s">
        <v>166</v>
      </c>
      <c r="R152" s="1644" t="s">
        <v>821</v>
      </c>
      <c r="S152" s="1645" t="s">
        <v>1616</v>
      </c>
      <c r="T152" s="1215"/>
      <c r="U152" s="1215"/>
      <c r="V152" s="1215"/>
      <c r="W152" s="1215"/>
      <c r="X152" s="1215"/>
      <c r="Y152" s="1215"/>
      <c r="Z152" s="1215"/>
      <c r="AH152" s="1709"/>
      <c r="AI152" s="2620"/>
      <c r="AJ152" s="1569" t="s">
        <v>1081</v>
      </c>
      <c r="AK152" s="1527" t="e">
        <f t="shared" si="89"/>
        <v>#DIV/0!</v>
      </c>
      <c r="AL152" s="1496" t="e">
        <f t="shared" si="89"/>
        <v>#DIV/0!</v>
      </c>
      <c r="AM152" s="1496" t="e">
        <f t="shared" si="89"/>
        <v>#DIV/0!</v>
      </c>
      <c r="AN152" s="1496" t="e">
        <f t="shared" si="89"/>
        <v>#DIV/0!</v>
      </c>
      <c r="AO152" s="1496" t="e">
        <f t="shared" si="89"/>
        <v>#DIV/0!</v>
      </c>
      <c r="AP152" s="1496" t="e">
        <f t="shared" si="89"/>
        <v>#DIV/0!</v>
      </c>
      <c r="AQ152" s="1496" t="e">
        <f t="shared" si="89"/>
        <v>#DIV/0!</v>
      </c>
      <c r="AR152" s="1496" t="e">
        <f t="shared" si="89"/>
        <v>#DIV/0!</v>
      </c>
      <c r="AS152" s="1496" t="e">
        <f t="shared" si="89"/>
        <v>#DIV/0!</v>
      </c>
      <c r="AT152" s="1496" t="e">
        <f t="shared" si="89"/>
        <v>#DIV/0!</v>
      </c>
      <c r="AU152" s="1496" t="e">
        <f t="shared" si="89"/>
        <v>#DIV/0!</v>
      </c>
      <c r="AV152" s="1724" t="e">
        <f t="shared" si="89"/>
        <v>#DIV/0!</v>
      </c>
      <c r="AW152" s="1733"/>
      <c r="AX152" s="2569"/>
      <c r="AY152" s="1709"/>
      <c r="AZ152" s="1709"/>
      <c r="BA152" s="1181"/>
    </row>
    <row r="153" spans="1:53" ht="30.75" customHeight="1" thickBot="1">
      <c r="A153" s="668"/>
      <c r="B153" s="2618" t="s">
        <v>275</v>
      </c>
      <c r="C153" s="2618"/>
      <c r="D153" s="2618"/>
      <c r="E153" s="2618"/>
      <c r="F153" s="2618"/>
      <c r="G153" s="2618"/>
      <c r="H153" s="2618"/>
      <c r="I153" s="2618"/>
      <c r="M153" s="1646"/>
      <c r="N153" s="1647" t="s">
        <v>822</v>
      </c>
      <c r="O153" s="1648" t="s">
        <v>1617</v>
      </c>
      <c r="P153" s="1649"/>
      <c r="Q153" s="1650"/>
      <c r="R153" s="1651"/>
      <c r="S153" s="1652"/>
      <c r="T153" s="1215"/>
      <c r="U153" s="1215"/>
      <c r="V153" s="1215"/>
      <c r="W153" s="1215"/>
      <c r="X153" s="1215"/>
      <c r="Y153" s="1215"/>
      <c r="Z153" s="1215"/>
      <c r="AH153" s="1709"/>
      <c r="AI153" s="2620"/>
      <c r="AJ153" s="1569" t="s">
        <v>109</v>
      </c>
      <c r="AK153" s="1529" t="e">
        <f t="shared" si="89"/>
        <v>#DIV/0!</v>
      </c>
      <c r="AL153" s="1530" t="e">
        <f t="shared" si="89"/>
        <v>#DIV/0!</v>
      </c>
      <c r="AM153" s="1530" t="e">
        <f t="shared" si="89"/>
        <v>#DIV/0!</v>
      </c>
      <c r="AN153" s="1530" t="e">
        <f t="shared" si="89"/>
        <v>#DIV/0!</v>
      </c>
      <c r="AO153" s="1530" t="e">
        <f t="shared" si="89"/>
        <v>#DIV/0!</v>
      </c>
      <c r="AP153" s="1530" t="e">
        <f t="shared" si="89"/>
        <v>#DIV/0!</v>
      </c>
      <c r="AQ153" s="1530" t="e">
        <f t="shared" si="89"/>
        <v>#DIV/0!</v>
      </c>
      <c r="AR153" s="1530" t="e">
        <f t="shared" si="89"/>
        <v>#DIV/0!</v>
      </c>
      <c r="AS153" s="1530" t="e">
        <f t="shared" si="89"/>
        <v>#DIV/0!</v>
      </c>
      <c r="AT153" s="1530" t="e">
        <f t="shared" si="89"/>
        <v>#DIV/0!</v>
      </c>
      <c r="AU153" s="1530" t="e">
        <f t="shared" si="89"/>
        <v>#DIV/0!</v>
      </c>
      <c r="AV153" s="1725" t="e">
        <f t="shared" si="89"/>
        <v>#DIV/0!</v>
      </c>
      <c r="AW153" s="1735"/>
      <c r="AX153" s="2570"/>
      <c r="AY153" s="1709"/>
      <c r="AZ153" s="1709"/>
      <c r="BA153" s="1181"/>
    </row>
    <row r="154" spans="1:53" ht="33" customHeight="1" thickBot="1">
      <c r="B154" s="2359" t="s">
        <v>929</v>
      </c>
      <c r="C154" s="2359"/>
      <c r="D154" s="2359"/>
      <c r="E154" s="2359"/>
      <c r="F154" s="2359"/>
      <c r="G154" s="2360">
        <f>G145+G155</f>
        <v>0</v>
      </c>
      <c r="H154" s="2410"/>
      <c r="I154" s="699" t="s">
        <v>1133</v>
      </c>
      <c r="M154" s="1251"/>
      <c r="N154" s="1252"/>
      <c r="O154" s="1253"/>
      <c r="P154" s="1254"/>
      <c r="Q154" s="1248"/>
      <c r="R154" s="1255"/>
      <c r="S154" s="1640"/>
      <c r="T154" s="1215"/>
      <c r="U154" s="1215"/>
      <c r="V154" s="1215"/>
      <c r="W154" s="1215"/>
      <c r="X154" s="1215"/>
      <c r="Y154" s="1215"/>
      <c r="Z154" s="1215"/>
      <c r="AH154" s="1709"/>
      <c r="AI154" s="2621" t="s">
        <v>1086</v>
      </c>
      <c r="AJ154" s="2622"/>
      <c r="AK154" s="2623"/>
      <c r="AL154" s="2623"/>
      <c r="AM154" s="2623"/>
      <c r="AN154" s="2623"/>
      <c r="AO154" s="2623"/>
      <c r="AP154" s="2623"/>
      <c r="AQ154" s="2623"/>
      <c r="AR154" s="2623"/>
      <c r="AS154" s="2623"/>
      <c r="AT154" s="2623"/>
      <c r="AU154" s="2623"/>
      <c r="AV154" s="2623"/>
      <c r="AW154" s="2623"/>
      <c r="AX154" s="2624"/>
      <c r="AY154" s="1769"/>
      <c r="AZ154" s="1709"/>
      <c r="BA154" s="1181"/>
    </row>
    <row r="155" spans="1:53" ht="29.25" customHeight="1" thickBot="1">
      <c r="B155" s="2359" t="s">
        <v>412</v>
      </c>
      <c r="C155" s="2359"/>
      <c r="D155" s="2359"/>
      <c r="E155" s="2359"/>
      <c r="F155" s="2359"/>
      <c r="G155" s="2360">
        <f>IF(TYPE(((T116+U116+V116+Y116)/AX72)/$H$4)=16,0,((T116+U116+V116+Y116)/AX72)/$H$4)</f>
        <v>0</v>
      </c>
      <c r="H155" s="2360"/>
      <c r="I155" s="699" t="s">
        <v>1133</v>
      </c>
      <c r="M155" s="1257">
        <v>0.9</v>
      </c>
      <c r="N155" s="1653">
        <f>1.5/15</f>
        <v>0.1</v>
      </c>
      <c r="O155" s="1653">
        <f>2.1/15</f>
        <v>0.14000000000000001</v>
      </c>
      <c r="P155" s="1254"/>
      <c r="Q155" s="1258">
        <v>4</v>
      </c>
      <c r="R155" s="1255">
        <f t="shared" ref="R155:S158" si="90">IF($G$164&lt;N155,1,0)</f>
        <v>1</v>
      </c>
      <c r="S155" s="1640">
        <f t="shared" si="90"/>
        <v>1</v>
      </c>
      <c r="T155" s="1215"/>
      <c r="U155" s="1215"/>
      <c r="V155" s="1215"/>
      <c r="W155" s="1215"/>
      <c r="X155" s="1215"/>
      <c r="Y155" s="1215"/>
      <c r="Z155" s="1215"/>
      <c r="AH155" s="1709"/>
      <c r="AI155" s="2573" t="s">
        <v>1457</v>
      </c>
      <c r="AJ155" s="1532" t="s">
        <v>1079</v>
      </c>
      <c r="AK155" s="1533">
        <f>IF($M$73,AK148,0)</f>
        <v>0</v>
      </c>
      <c r="AL155" s="1534">
        <f t="shared" ref="AL155:AV155" si="91">IF($M$73,AL148,0)</f>
        <v>0</v>
      </c>
      <c r="AM155" s="1534">
        <f t="shared" si="91"/>
        <v>0</v>
      </c>
      <c r="AN155" s="1534">
        <f t="shared" si="91"/>
        <v>0</v>
      </c>
      <c r="AO155" s="1534">
        <f t="shared" si="91"/>
        <v>0</v>
      </c>
      <c r="AP155" s="1534">
        <f t="shared" si="91"/>
        <v>0</v>
      </c>
      <c r="AQ155" s="1534">
        <f t="shared" si="91"/>
        <v>0</v>
      </c>
      <c r="AR155" s="1534">
        <f t="shared" si="91"/>
        <v>0</v>
      </c>
      <c r="AS155" s="1534">
        <f t="shared" si="91"/>
        <v>0</v>
      </c>
      <c r="AT155" s="1534">
        <f t="shared" si="91"/>
        <v>0</v>
      </c>
      <c r="AU155" s="1534">
        <f t="shared" si="91"/>
        <v>0</v>
      </c>
      <c r="AV155" s="1535">
        <f t="shared" si="91"/>
        <v>0</v>
      </c>
      <c r="AW155" s="1740"/>
      <c r="AX155" s="2629"/>
      <c r="AY155" s="1770"/>
      <c r="AZ155" s="1709"/>
      <c r="BA155" s="1181"/>
    </row>
    <row r="156" spans="1:53" ht="31.5" customHeight="1">
      <c r="B156" s="2359" t="s">
        <v>612</v>
      </c>
      <c r="C156" s="2359"/>
      <c r="D156" s="2359"/>
      <c r="E156" s="2359"/>
      <c r="F156" s="2359"/>
      <c r="G156" s="2360">
        <f>G145</f>
        <v>0</v>
      </c>
      <c r="H156" s="2360"/>
      <c r="I156" s="699" t="s">
        <v>1133</v>
      </c>
      <c r="M156" s="1257">
        <v>0.7</v>
      </c>
      <c r="N156" s="1653">
        <f>4.5/15</f>
        <v>0.3</v>
      </c>
      <c r="O156" s="1653">
        <f>6.3/15</f>
        <v>0.42</v>
      </c>
      <c r="P156" s="1254"/>
      <c r="Q156" s="1258">
        <v>3</v>
      </c>
      <c r="R156" s="1255">
        <f t="shared" si="90"/>
        <v>1</v>
      </c>
      <c r="S156" s="1640">
        <f t="shared" si="90"/>
        <v>1</v>
      </c>
      <c r="T156" s="1215"/>
      <c r="U156" s="1215"/>
      <c r="V156" s="1215"/>
      <c r="W156" s="1215"/>
      <c r="X156" s="1215"/>
      <c r="Y156" s="1215"/>
      <c r="AH156" s="1709"/>
      <c r="AI156" s="2574"/>
      <c r="AJ156" s="1532" t="s">
        <v>1080</v>
      </c>
      <c r="AK156" s="1536">
        <f>IF($M$74,AK149,0)</f>
        <v>0</v>
      </c>
      <c r="AL156" s="1493">
        <f t="shared" ref="AL156:AV156" si="92">IF($M$74,AL149,0)</f>
        <v>0</v>
      </c>
      <c r="AM156" s="1493">
        <f t="shared" si="92"/>
        <v>0</v>
      </c>
      <c r="AN156" s="1493">
        <f t="shared" si="92"/>
        <v>0</v>
      </c>
      <c r="AO156" s="1493">
        <f t="shared" si="92"/>
        <v>0</v>
      </c>
      <c r="AP156" s="1493">
        <f t="shared" si="92"/>
        <v>0</v>
      </c>
      <c r="AQ156" s="1493">
        <f t="shared" si="92"/>
        <v>0</v>
      </c>
      <c r="AR156" s="1493">
        <f t="shared" si="92"/>
        <v>0</v>
      </c>
      <c r="AS156" s="1493">
        <f t="shared" si="92"/>
        <v>0</v>
      </c>
      <c r="AT156" s="1493">
        <f t="shared" si="92"/>
        <v>0</v>
      </c>
      <c r="AU156" s="1493">
        <f t="shared" si="92"/>
        <v>0</v>
      </c>
      <c r="AV156" s="1537">
        <f t="shared" si="92"/>
        <v>0</v>
      </c>
      <c r="AW156" s="1712"/>
      <c r="AX156" s="2630"/>
      <c r="AY156" s="1770"/>
      <c r="AZ156" s="1709"/>
      <c r="BA156" s="1181"/>
    </row>
    <row r="157" spans="1:53" ht="17.100000000000001" customHeight="1">
      <c r="B157" s="668"/>
      <c r="C157" s="668"/>
      <c r="D157" s="668"/>
      <c r="E157" s="668"/>
      <c r="F157" s="668"/>
      <c r="G157" s="668"/>
      <c r="H157" s="668"/>
      <c r="I157" s="668"/>
      <c r="M157" s="1257">
        <v>0.5</v>
      </c>
      <c r="N157" s="1653">
        <f>7.5/15</f>
        <v>0.5</v>
      </c>
      <c r="O157" s="1653">
        <f>10.5/15</f>
        <v>0.7</v>
      </c>
      <c r="P157" s="1254"/>
      <c r="Q157" s="1258">
        <v>2</v>
      </c>
      <c r="R157" s="1255">
        <f t="shared" si="90"/>
        <v>1</v>
      </c>
      <c r="S157" s="1640">
        <f t="shared" si="90"/>
        <v>1</v>
      </c>
      <c r="T157" s="1215"/>
      <c r="U157" s="1215"/>
      <c r="V157" s="1215"/>
      <c r="W157" s="1215"/>
      <c r="X157" s="1215"/>
      <c r="Y157" s="1215"/>
      <c r="AH157" s="1709"/>
      <c r="AI157" s="2574"/>
      <c r="AJ157" s="1569" t="s">
        <v>1016</v>
      </c>
      <c r="AK157" s="1536">
        <f>IF($L$74,AK150,0)</f>
        <v>0</v>
      </c>
      <c r="AL157" s="1493">
        <f t="shared" ref="AL157:AV157" si="93">IF($L$74,AL150,0)</f>
        <v>0</v>
      </c>
      <c r="AM157" s="1493">
        <f t="shared" si="93"/>
        <v>0</v>
      </c>
      <c r="AN157" s="1493">
        <f t="shared" si="93"/>
        <v>0</v>
      </c>
      <c r="AO157" s="1493">
        <f t="shared" si="93"/>
        <v>0</v>
      </c>
      <c r="AP157" s="1493">
        <f t="shared" si="93"/>
        <v>0</v>
      </c>
      <c r="AQ157" s="1493">
        <f t="shared" si="93"/>
        <v>0</v>
      </c>
      <c r="AR157" s="1493">
        <f t="shared" si="93"/>
        <v>0</v>
      </c>
      <c r="AS157" s="1493">
        <f t="shared" si="93"/>
        <v>0</v>
      </c>
      <c r="AT157" s="1493">
        <f t="shared" si="93"/>
        <v>0</v>
      </c>
      <c r="AU157" s="1493">
        <f t="shared" si="93"/>
        <v>0</v>
      </c>
      <c r="AV157" s="1537">
        <f t="shared" si="93"/>
        <v>0</v>
      </c>
      <c r="AW157" s="1710"/>
      <c r="AX157" s="2630"/>
      <c r="AY157" s="1770"/>
      <c r="AZ157" s="1709"/>
      <c r="BA157" s="1181"/>
    </row>
    <row r="158" spans="1:53" ht="17.100000000000001" customHeight="1">
      <c r="A158" s="668"/>
      <c r="M158" s="1257">
        <v>0.3</v>
      </c>
      <c r="N158" s="1653">
        <f>10.5/15</f>
        <v>0.7</v>
      </c>
      <c r="O158" s="1653">
        <f>14.7/15</f>
        <v>0.98</v>
      </c>
      <c r="P158" s="1254"/>
      <c r="Q158" s="1258">
        <v>1</v>
      </c>
      <c r="R158" s="1255">
        <f t="shared" si="90"/>
        <v>1</v>
      </c>
      <c r="S158" s="1640">
        <f t="shared" si="90"/>
        <v>1</v>
      </c>
      <c r="T158" s="1215"/>
      <c r="U158" s="1215"/>
      <c r="V158" s="1215"/>
      <c r="W158" s="1215"/>
      <c r="X158" s="1215"/>
      <c r="Y158" s="1215"/>
      <c r="AH158" s="1709"/>
      <c r="AI158" s="2574"/>
      <c r="AJ158" s="1569" t="s">
        <v>731</v>
      </c>
      <c r="AK158" s="1536">
        <f>IF($L$73,AK151,0)</f>
        <v>0</v>
      </c>
      <c r="AL158" s="1493">
        <f t="shared" ref="AL158:AV158" si="94">IF($L$73,AL151,0)</f>
        <v>0</v>
      </c>
      <c r="AM158" s="1493">
        <f t="shared" si="94"/>
        <v>0</v>
      </c>
      <c r="AN158" s="1493">
        <f t="shared" si="94"/>
        <v>0</v>
      </c>
      <c r="AO158" s="1493">
        <f t="shared" si="94"/>
        <v>0</v>
      </c>
      <c r="AP158" s="1493">
        <f t="shared" si="94"/>
        <v>0</v>
      </c>
      <c r="AQ158" s="1493">
        <f t="shared" si="94"/>
        <v>0</v>
      </c>
      <c r="AR158" s="1493">
        <f t="shared" si="94"/>
        <v>0</v>
      </c>
      <c r="AS158" s="1493">
        <f t="shared" si="94"/>
        <v>0</v>
      </c>
      <c r="AT158" s="1493">
        <f t="shared" si="94"/>
        <v>0</v>
      </c>
      <c r="AU158" s="1493">
        <f t="shared" si="94"/>
        <v>0</v>
      </c>
      <c r="AV158" s="1537">
        <f t="shared" si="94"/>
        <v>0</v>
      </c>
      <c r="AW158" s="1710"/>
      <c r="AX158" s="2630"/>
      <c r="AY158" s="1770"/>
      <c r="AZ158" s="1709"/>
      <c r="BA158" s="1181"/>
    </row>
    <row r="159" spans="1:53" ht="17.100000000000001" customHeight="1" thickBot="1">
      <c r="A159" s="668"/>
      <c r="B159" s="2413" t="s">
        <v>1025</v>
      </c>
      <c r="C159" s="2413"/>
      <c r="D159" s="2413"/>
      <c r="E159" s="2413"/>
      <c r="F159" s="2413"/>
      <c r="G159" s="2413"/>
      <c r="H159" s="2413"/>
      <c r="I159" s="2413"/>
      <c r="J159" s="716"/>
      <c r="K159" s="716"/>
      <c r="M159" s="1259">
        <v>0</v>
      </c>
      <c r="N159" s="1654">
        <f>15/15</f>
        <v>1</v>
      </c>
      <c r="O159" s="1654">
        <f>21/15</f>
        <v>1.4</v>
      </c>
      <c r="P159" s="1260"/>
      <c r="Q159" s="1639"/>
      <c r="R159" s="1261"/>
      <c r="S159" s="1641"/>
      <c r="T159" s="1215"/>
      <c r="U159" s="1215"/>
      <c r="V159" s="1215"/>
      <c r="W159" s="1215"/>
      <c r="X159" s="1215"/>
      <c r="Y159" s="1215"/>
      <c r="AH159" s="1709"/>
      <c r="AI159" s="2574"/>
      <c r="AJ159" s="1569" t="s">
        <v>1081</v>
      </c>
      <c r="AK159" s="1536">
        <f>IF($L$75,AK152,0)</f>
        <v>0</v>
      </c>
      <c r="AL159" s="1493">
        <f t="shared" ref="AL159:AV159" si="95">IF($L$75,AL152,0)</f>
        <v>0</v>
      </c>
      <c r="AM159" s="1493">
        <f t="shared" si="95"/>
        <v>0</v>
      </c>
      <c r="AN159" s="1493">
        <f t="shared" si="95"/>
        <v>0</v>
      </c>
      <c r="AO159" s="1493">
        <f t="shared" si="95"/>
        <v>0</v>
      </c>
      <c r="AP159" s="1493">
        <f t="shared" si="95"/>
        <v>0</v>
      </c>
      <c r="AQ159" s="1493">
        <f t="shared" si="95"/>
        <v>0</v>
      </c>
      <c r="AR159" s="1493">
        <f t="shared" si="95"/>
        <v>0</v>
      </c>
      <c r="AS159" s="1493">
        <f t="shared" si="95"/>
        <v>0</v>
      </c>
      <c r="AT159" s="1493">
        <f t="shared" si="95"/>
        <v>0</v>
      </c>
      <c r="AU159" s="1493">
        <f t="shared" si="95"/>
        <v>0</v>
      </c>
      <c r="AV159" s="1537">
        <f t="shared" si="95"/>
        <v>0</v>
      </c>
      <c r="AW159" s="1710"/>
      <c r="AX159" s="2630"/>
      <c r="AY159" s="1770"/>
      <c r="AZ159" s="1709"/>
      <c r="BA159" s="1181"/>
    </row>
    <row r="160" spans="1:53" ht="28.5" customHeight="1" thickBot="1">
      <c r="A160" s="668"/>
      <c r="B160" s="2615" t="s">
        <v>1025</v>
      </c>
      <c r="C160" s="2616"/>
      <c r="D160" s="2616"/>
      <c r="E160" s="2616"/>
      <c r="F160" s="2616"/>
      <c r="G160" s="2616"/>
      <c r="H160" s="2616"/>
      <c r="I160" s="2617"/>
      <c r="M160" s="1263"/>
      <c r="N160" s="1263"/>
      <c r="O160" s="1263"/>
      <c r="P160" s="1263"/>
      <c r="Q160" s="1264"/>
      <c r="R160" s="1638">
        <f>SUM(R154:R159)</f>
        <v>4</v>
      </c>
      <c r="S160" s="1639">
        <f>SUM(S154:S159)</f>
        <v>4</v>
      </c>
      <c r="T160" s="1215"/>
      <c r="U160" s="1215"/>
      <c r="V160" s="1215"/>
      <c r="W160" s="1215"/>
      <c r="X160" s="1215"/>
      <c r="Y160" s="1215"/>
      <c r="Z160" s="1215"/>
      <c r="AH160" s="1709"/>
      <c r="AI160" s="2575"/>
      <c r="AJ160" s="1569" t="s">
        <v>109</v>
      </c>
      <c r="AK160" s="1538">
        <f>IF($M$75,AK153,0)</f>
        <v>0</v>
      </c>
      <c r="AL160" s="1539">
        <f t="shared" ref="AL160:AV160" si="96">IF($M$75,AL153,0)</f>
        <v>0</v>
      </c>
      <c r="AM160" s="1539">
        <f t="shared" si="96"/>
        <v>0</v>
      </c>
      <c r="AN160" s="1539">
        <f t="shared" si="96"/>
        <v>0</v>
      </c>
      <c r="AO160" s="1539">
        <f t="shared" si="96"/>
        <v>0</v>
      </c>
      <c r="AP160" s="1539">
        <f t="shared" si="96"/>
        <v>0</v>
      </c>
      <c r="AQ160" s="1539">
        <f t="shared" si="96"/>
        <v>0</v>
      </c>
      <c r="AR160" s="1539">
        <f t="shared" si="96"/>
        <v>0</v>
      </c>
      <c r="AS160" s="1539">
        <f t="shared" si="96"/>
        <v>0</v>
      </c>
      <c r="AT160" s="1539">
        <f t="shared" si="96"/>
        <v>0</v>
      </c>
      <c r="AU160" s="1539">
        <f t="shared" si="96"/>
        <v>0</v>
      </c>
      <c r="AV160" s="1540">
        <f t="shared" si="96"/>
        <v>0</v>
      </c>
      <c r="AW160" s="1710"/>
      <c r="AX160" s="2631"/>
      <c r="AY160" s="1770"/>
      <c r="AZ160" s="1709"/>
      <c r="BA160" s="1181"/>
    </row>
    <row r="161" spans="1:53" ht="40.5" customHeight="1">
      <c r="A161" s="668"/>
      <c r="B161" s="2419" t="s">
        <v>413</v>
      </c>
      <c r="C161" s="2420"/>
      <c r="D161" s="2420"/>
      <c r="E161" s="2420"/>
      <c r="F161" s="2421"/>
      <c r="G161" s="2417">
        <f>G52</f>
        <v>0</v>
      </c>
      <c r="H161" s="2418"/>
      <c r="I161" s="699" t="s">
        <v>1133</v>
      </c>
      <c r="P161" s="1215"/>
      <c r="Q161" s="1215"/>
      <c r="R161" s="1215"/>
      <c r="S161" s="1215"/>
      <c r="T161" s="1215"/>
      <c r="U161" s="1215"/>
      <c r="V161" s="1215"/>
      <c r="W161" s="1215"/>
      <c r="X161" s="1215"/>
      <c r="Z161" s="1215"/>
      <c r="AH161" s="1709"/>
      <c r="AI161" s="2573" t="s">
        <v>1472</v>
      </c>
      <c r="AJ161" s="1532" t="s">
        <v>1079</v>
      </c>
      <c r="AK161" s="1577">
        <f>(SUM(AK$142:AK$147)*AK155)</f>
        <v>0</v>
      </c>
      <c r="AL161" s="1578">
        <f t="shared" ref="AL161:AV161" si="97">(SUM(AL$142:AL$147)*AL155)</f>
        <v>0</v>
      </c>
      <c r="AM161" s="1578">
        <f t="shared" si="97"/>
        <v>0</v>
      </c>
      <c r="AN161" s="1578">
        <f t="shared" si="97"/>
        <v>0</v>
      </c>
      <c r="AO161" s="1578">
        <f t="shared" si="97"/>
        <v>0</v>
      </c>
      <c r="AP161" s="1578">
        <f t="shared" si="97"/>
        <v>0</v>
      </c>
      <c r="AQ161" s="1578">
        <f t="shared" si="97"/>
        <v>0</v>
      </c>
      <c r="AR161" s="1578">
        <f t="shared" si="97"/>
        <v>0</v>
      </c>
      <c r="AS161" s="1578">
        <f t="shared" si="97"/>
        <v>0</v>
      </c>
      <c r="AT161" s="1578">
        <f t="shared" si="97"/>
        <v>0</v>
      </c>
      <c r="AU161" s="1578">
        <f t="shared" si="97"/>
        <v>0</v>
      </c>
      <c r="AV161" s="1579">
        <f t="shared" si="97"/>
        <v>0</v>
      </c>
      <c r="AW161" s="1710"/>
      <c r="AX161" s="1550">
        <f>SUM(AK161:AV161)</f>
        <v>0</v>
      </c>
      <c r="AY161" s="1773" t="e">
        <f>AX161/($AX$74+$AX$75)</f>
        <v>#DIV/0!</v>
      </c>
      <c r="AZ161" s="1709"/>
      <c r="BA161" s="1181"/>
    </row>
    <row r="162" spans="1:53" ht="27" customHeight="1" thickBot="1">
      <c r="A162" s="668"/>
      <c r="B162" s="2419" t="s">
        <v>1695</v>
      </c>
      <c r="C162" s="2420"/>
      <c r="D162" s="2420"/>
      <c r="E162" s="2420"/>
      <c r="F162" s="2421"/>
      <c r="G162" s="2417">
        <f>G156</f>
        <v>0</v>
      </c>
      <c r="H162" s="2418"/>
      <c r="I162" s="699" t="s">
        <v>1133</v>
      </c>
      <c r="Q162" s="1215"/>
      <c r="R162" s="1215"/>
      <c r="S162" s="1215"/>
      <c r="T162" s="1215"/>
      <c r="U162" s="1215"/>
      <c r="V162" s="1215"/>
      <c r="W162" s="1215"/>
      <c r="X162" s="1215"/>
      <c r="Z162" s="1215"/>
      <c r="AH162" s="1709"/>
      <c r="AI162" s="2574"/>
      <c r="AJ162" s="1532" t="s">
        <v>1080</v>
      </c>
      <c r="AK162" s="1580">
        <f t="shared" ref="AK162:AV166" si="98">(SUM(AK$142:AK$147)*AK156)</f>
        <v>0</v>
      </c>
      <c r="AL162" s="1581">
        <f t="shared" si="98"/>
        <v>0</v>
      </c>
      <c r="AM162" s="1581">
        <f t="shared" si="98"/>
        <v>0</v>
      </c>
      <c r="AN162" s="1581">
        <f t="shared" si="98"/>
        <v>0</v>
      </c>
      <c r="AO162" s="1581">
        <f t="shared" si="98"/>
        <v>0</v>
      </c>
      <c r="AP162" s="1581">
        <f t="shared" si="98"/>
        <v>0</v>
      </c>
      <c r="AQ162" s="1581">
        <f t="shared" si="98"/>
        <v>0</v>
      </c>
      <c r="AR162" s="1581">
        <f t="shared" si="98"/>
        <v>0</v>
      </c>
      <c r="AS162" s="1581">
        <f t="shared" si="98"/>
        <v>0</v>
      </c>
      <c r="AT162" s="1581">
        <f t="shared" si="98"/>
        <v>0</v>
      </c>
      <c r="AU162" s="1581">
        <f t="shared" si="98"/>
        <v>0</v>
      </c>
      <c r="AV162" s="1582">
        <f t="shared" si="98"/>
        <v>0</v>
      </c>
      <c r="AW162" s="1710"/>
      <c r="AX162" s="1551">
        <f t="shared" ref="AX162:AX167" si="99">SUM(AK162:AV162)</f>
        <v>0</v>
      </c>
      <c r="AY162" s="1773" t="e">
        <f>AX162/($AX$76+$AX$77)</f>
        <v>#DIV/0!</v>
      </c>
      <c r="AZ162" s="1709"/>
      <c r="BA162" s="1181"/>
    </row>
    <row r="163" spans="1:53" ht="19.5" customHeight="1" thickBot="1">
      <c r="A163" s="668"/>
      <c r="B163" s="2419" t="s">
        <v>1778</v>
      </c>
      <c r="C163" s="2420"/>
      <c r="D163" s="2420"/>
      <c r="E163" s="2420"/>
      <c r="F163" s="2421"/>
      <c r="G163" s="2417">
        <f>G142</f>
        <v>0</v>
      </c>
      <c r="H163" s="2418"/>
      <c r="I163" s="699" t="s">
        <v>1794</v>
      </c>
      <c r="Q163" s="1215"/>
      <c r="R163" s="1215"/>
      <c r="S163" s="1215"/>
      <c r="T163" s="1215"/>
      <c r="U163" s="1215"/>
      <c r="V163" s="1215"/>
      <c r="W163" s="1215"/>
      <c r="X163" s="1215"/>
      <c r="Z163" s="1215"/>
      <c r="AH163" s="1709"/>
      <c r="AI163" s="2574"/>
      <c r="AJ163" s="1569" t="s">
        <v>1016</v>
      </c>
      <c r="AK163" s="1583">
        <f t="shared" si="98"/>
        <v>0</v>
      </c>
      <c r="AL163" s="1584">
        <f t="shared" si="98"/>
        <v>0</v>
      </c>
      <c r="AM163" s="1584">
        <f t="shared" si="98"/>
        <v>0</v>
      </c>
      <c r="AN163" s="1584">
        <f t="shared" si="98"/>
        <v>0</v>
      </c>
      <c r="AO163" s="1584">
        <f t="shared" si="98"/>
        <v>0</v>
      </c>
      <c r="AP163" s="1584">
        <f t="shared" si="98"/>
        <v>0</v>
      </c>
      <c r="AQ163" s="1584">
        <f t="shared" si="98"/>
        <v>0</v>
      </c>
      <c r="AR163" s="1584">
        <f t="shared" si="98"/>
        <v>0</v>
      </c>
      <c r="AS163" s="1584">
        <f t="shared" si="98"/>
        <v>0</v>
      </c>
      <c r="AT163" s="1584">
        <f t="shared" si="98"/>
        <v>0</v>
      </c>
      <c r="AU163" s="1584">
        <f t="shared" si="98"/>
        <v>0</v>
      </c>
      <c r="AV163" s="1585">
        <f t="shared" si="98"/>
        <v>0</v>
      </c>
      <c r="AW163" s="1710"/>
      <c r="AX163" s="1570">
        <f t="shared" si="99"/>
        <v>0</v>
      </c>
      <c r="AY163" s="1615">
        <f>SUM(AX161:AX162)</f>
        <v>0</v>
      </c>
      <c r="AZ163" s="1709"/>
      <c r="BA163" s="1181"/>
    </row>
    <row r="164" spans="1:53" ht="26.25" customHeight="1">
      <c r="A164" s="668"/>
      <c r="B164" s="2662" t="s">
        <v>414</v>
      </c>
      <c r="C164" s="2663"/>
      <c r="D164" s="2663"/>
      <c r="E164" s="2663"/>
      <c r="F164" s="2664"/>
      <c r="G164" s="2411">
        <f>ROUND(G161-G162-G163,2)</f>
        <v>0</v>
      </c>
      <c r="H164" s="2412"/>
      <c r="I164" s="699" t="s">
        <v>1133</v>
      </c>
      <c r="Q164" s="1215"/>
      <c r="R164" s="1215"/>
      <c r="S164" s="1215"/>
      <c r="T164" s="1215"/>
      <c r="U164" s="1215"/>
      <c r="V164" s="1215"/>
      <c r="W164" s="1215"/>
      <c r="X164" s="1215"/>
      <c r="Z164" s="1215"/>
      <c r="AH164" s="1709"/>
      <c r="AI164" s="2574"/>
      <c r="AJ164" s="1569" t="s">
        <v>731</v>
      </c>
      <c r="AK164" s="1583">
        <f t="shared" si="98"/>
        <v>0</v>
      </c>
      <c r="AL164" s="1584">
        <f t="shared" si="98"/>
        <v>0</v>
      </c>
      <c r="AM164" s="1584">
        <f t="shared" si="98"/>
        <v>0</v>
      </c>
      <c r="AN164" s="1584">
        <f t="shared" si="98"/>
        <v>0</v>
      </c>
      <c r="AO164" s="1584">
        <f t="shared" si="98"/>
        <v>0</v>
      </c>
      <c r="AP164" s="1584">
        <f t="shared" si="98"/>
        <v>0</v>
      </c>
      <c r="AQ164" s="1584">
        <f t="shared" si="98"/>
        <v>0</v>
      </c>
      <c r="AR164" s="1584">
        <f t="shared" si="98"/>
        <v>0</v>
      </c>
      <c r="AS164" s="1584">
        <f t="shared" si="98"/>
        <v>0</v>
      </c>
      <c r="AT164" s="1584">
        <f t="shared" si="98"/>
        <v>0</v>
      </c>
      <c r="AU164" s="1584">
        <f t="shared" si="98"/>
        <v>0</v>
      </c>
      <c r="AV164" s="1585">
        <f t="shared" si="98"/>
        <v>0</v>
      </c>
      <c r="AW164" s="1710"/>
      <c r="AX164" s="1570">
        <f t="shared" si="99"/>
        <v>0</v>
      </c>
      <c r="AY164" s="1770"/>
      <c r="AZ164" s="1709"/>
      <c r="BA164" s="1181"/>
    </row>
    <row r="165" spans="1:53" ht="25.5" customHeight="1" thickBot="1">
      <c r="A165" s="668"/>
      <c r="B165" s="2662" t="s">
        <v>1409</v>
      </c>
      <c r="C165" s="2663"/>
      <c r="D165" s="2663"/>
      <c r="E165" s="2663"/>
      <c r="F165" s="2664"/>
      <c r="G165" s="2665">
        <f>IF(OR(G18=0,G40=0),0,IF(TYPE(128/H4)=16,0,IF(G164&gt;B176,0,IF(AND(G164&gt;B175,G164&lt;=B176),E176,IF(AND(G164&gt;B174,G164&lt;=B175),E175,IF(AND(G164&gt;B173,G164&lt;=B174),E174,IF(AND(G164&gt;B172,G164&lt;=B173),E173,E172)))))))</f>
        <v>0</v>
      </c>
      <c r="H165" s="2666"/>
      <c r="I165" s="701"/>
      <c r="J165" s="716"/>
      <c r="K165" s="716"/>
      <c r="Q165" s="1215"/>
      <c r="R165" s="1215"/>
      <c r="S165" s="1215"/>
      <c r="T165" s="1215"/>
      <c r="U165" s="1215"/>
      <c r="V165" s="1215"/>
      <c r="W165" s="1215"/>
      <c r="X165" s="1215"/>
      <c r="AH165" s="1709"/>
      <c r="AI165" s="2574"/>
      <c r="AJ165" s="1569" t="s">
        <v>1081</v>
      </c>
      <c r="AK165" s="1583">
        <f t="shared" si="98"/>
        <v>0</v>
      </c>
      <c r="AL165" s="1584">
        <f t="shared" si="98"/>
        <v>0</v>
      </c>
      <c r="AM165" s="1584">
        <f t="shared" si="98"/>
        <v>0</v>
      </c>
      <c r="AN165" s="1584">
        <f t="shared" si="98"/>
        <v>0</v>
      </c>
      <c r="AO165" s="1584">
        <f t="shared" si="98"/>
        <v>0</v>
      </c>
      <c r="AP165" s="1584">
        <f t="shared" si="98"/>
        <v>0</v>
      </c>
      <c r="AQ165" s="1584">
        <f t="shared" si="98"/>
        <v>0</v>
      </c>
      <c r="AR165" s="1584">
        <f t="shared" si="98"/>
        <v>0</v>
      </c>
      <c r="AS165" s="1584">
        <f t="shared" si="98"/>
        <v>0</v>
      </c>
      <c r="AT165" s="1584">
        <f t="shared" si="98"/>
        <v>0</v>
      </c>
      <c r="AU165" s="1584">
        <f t="shared" si="98"/>
        <v>0</v>
      </c>
      <c r="AV165" s="1585">
        <f t="shared" si="98"/>
        <v>0</v>
      </c>
      <c r="AW165" s="1710"/>
      <c r="AX165" s="1570">
        <f t="shared" si="99"/>
        <v>0</v>
      </c>
      <c r="AY165" s="1770"/>
      <c r="AZ165" s="1709"/>
      <c r="BA165" s="1181"/>
    </row>
    <row r="166" spans="1:53" ht="17.100000000000001" customHeight="1" thickBot="1">
      <c r="A166" s="668"/>
      <c r="I166" s="668"/>
      <c r="J166" s="716"/>
      <c r="K166" s="716"/>
      <c r="Q166" s="1215"/>
      <c r="AH166" s="1709"/>
      <c r="AI166" s="2575"/>
      <c r="AJ166" s="1569" t="s">
        <v>109</v>
      </c>
      <c r="AK166" s="1663">
        <f t="shared" si="98"/>
        <v>0</v>
      </c>
      <c r="AL166" s="1664">
        <f t="shared" si="98"/>
        <v>0</v>
      </c>
      <c r="AM166" s="1664">
        <f t="shared" si="98"/>
        <v>0</v>
      </c>
      <c r="AN166" s="1664">
        <f t="shared" si="98"/>
        <v>0</v>
      </c>
      <c r="AO166" s="1664">
        <f t="shared" si="98"/>
        <v>0</v>
      </c>
      <c r="AP166" s="1664">
        <f t="shared" si="98"/>
        <v>0</v>
      </c>
      <c r="AQ166" s="1664">
        <f t="shared" si="98"/>
        <v>0</v>
      </c>
      <c r="AR166" s="1664">
        <f t="shared" si="98"/>
        <v>0</v>
      </c>
      <c r="AS166" s="1664">
        <f t="shared" si="98"/>
        <v>0</v>
      </c>
      <c r="AT166" s="1664">
        <f t="shared" si="98"/>
        <v>0</v>
      </c>
      <c r="AU166" s="1664">
        <f t="shared" si="98"/>
        <v>0</v>
      </c>
      <c r="AV166" s="1665">
        <f t="shared" si="98"/>
        <v>0</v>
      </c>
      <c r="AW166" s="1710"/>
      <c r="AX166" s="1571">
        <f t="shared" si="99"/>
        <v>0</v>
      </c>
      <c r="AY166" s="1614">
        <f>SUM(AX163:AX166)</f>
        <v>0</v>
      </c>
      <c r="AZ166" s="1709"/>
      <c r="BA166" s="1181"/>
    </row>
    <row r="167" spans="1:53" ht="27" customHeight="1" thickBot="1">
      <c r="A167" s="668"/>
      <c r="I167" s="668"/>
      <c r="J167" s="716"/>
      <c r="K167" s="716"/>
      <c r="L167" s="1179"/>
      <c r="AH167" s="1709"/>
      <c r="AI167" s="1658" t="s">
        <v>400</v>
      </c>
      <c r="AJ167" s="1670"/>
      <c r="AK167" s="1667">
        <f>SUM(AK161:AK166)</f>
        <v>0</v>
      </c>
      <c r="AL167" s="1668">
        <f t="shared" ref="AL167:AV167" si="100">SUM(AL161:AL166)</f>
        <v>0</v>
      </c>
      <c r="AM167" s="1668">
        <f t="shared" si="100"/>
        <v>0</v>
      </c>
      <c r="AN167" s="1668">
        <f t="shared" si="100"/>
        <v>0</v>
      </c>
      <c r="AO167" s="1668">
        <f t="shared" si="100"/>
        <v>0</v>
      </c>
      <c r="AP167" s="1668">
        <f t="shared" si="100"/>
        <v>0</v>
      </c>
      <c r="AQ167" s="1668">
        <f t="shared" si="100"/>
        <v>0</v>
      </c>
      <c r="AR167" s="1668">
        <f t="shared" si="100"/>
        <v>0</v>
      </c>
      <c r="AS167" s="1668">
        <f t="shared" si="100"/>
        <v>0</v>
      </c>
      <c r="AT167" s="1668">
        <f t="shared" si="100"/>
        <v>0</v>
      </c>
      <c r="AU167" s="1668">
        <f t="shared" si="100"/>
        <v>0</v>
      </c>
      <c r="AV167" s="1669">
        <f t="shared" si="100"/>
        <v>0</v>
      </c>
      <c r="AW167" s="1710"/>
      <c r="AX167" s="1673">
        <f t="shared" si="99"/>
        <v>0</v>
      </c>
      <c r="AY167" s="1709"/>
      <c r="AZ167" s="1709"/>
      <c r="BA167" s="1181"/>
    </row>
    <row r="168" spans="1:53" ht="27" customHeight="1" thickBot="1">
      <c r="A168" s="668"/>
      <c r="B168" s="673"/>
      <c r="C168" s="673"/>
      <c r="D168" s="682"/>
      <c r="E168" s="682"/>
      <c r="F168" s="682"/>
      <c r="G168" s="682"/>
      <c r="H168" s="719"/>
      <c r="I168" s="717"/>
      <c r="J168" s="706"/>
      <c r="K168" s="706"/>
      <c r="AH168" s="1709"/>
      <c r="AI168" s="1658" t="s">
        <v>1471</v>
      </c>
      <c r="AJ168" s="1675"/>
      <c r="AK168" s="1678">
        <f>Q84*1000</f>
        <v>0</v>
      </c>
      <c r="AL168" s="1666">
        <f t="shared" ref="AL168:AV168" si="101">R84*1000</f>
        <v>0</v>
      </c>
      <c r="AM168" s="1666">
        <f t="shared" si="101"/>
        <v>0</v>
      </c>
      <c r="AN168" s="1666">
        <f t="shared" si="101"/>
        <v>0</v>
      </c>
      <c r="AO168" s="1666">
        <f t="shared" si="101"/>
        <v>0</v>
      </c>
      <c r="AP168" s="1666">
        <f t="shared" si="101"/>
        <v>0</v>
      </c>
      <c r="AQ168" s="1666">
        <f t="shared" si="101"/>
        <v>0</v>
      </c>
      <c r="AR168" s="1666">
        <f t="shared" si="101"/>
        <v>0</v>
      </c>
      <c r="AS168" s="1666">
        <f t="shared" si="101"/>
        <v>0</v>
      </c>
      <c r="AT168" s="1666">
        <f t="shared" si="101"/>
        <v>0</v>
      </c>
      <c r="AU168" s="1666">
        <f t="shared" si="101"/>
        <v>0</v>
      </c>
      <c r="AV168" s="1679">
        <f t="shared" si="101"/>
        <v>0</v>
      </c>
      <c r="AW168" s="1711"/>
      <c r="AX168" s="1676">
        <f>SUM(AK168:AV168)</f>
        <v>0</v>
      </c>
      <c r="AY168" s="1709"/>
      <c r="AZ168" s="1709"/>
      <c r="BA168" s="1181"/>
    </row>
    <row r="169" spans="1:53" ht="27" customHeight="1" thickBot="1">
      <c r="A169" s="668"/>
      <c r="J169" s="715"/>
      <c r="K169" s="715"/>
      <c r="AH169" s="1709"/>
      <c r="AI169" s="1674" t="s">
        <v>401</v>
      </c>
      <c r="AJ169" s="1670"/>
      <c r="AK169" s="1680" t="e">
        <f>AK168/AK167</f>
        <v>#DIV/0!</v>
      </c>
      <c r="AL169" s="1681" t="e">
        <f t="shared" ref="AL169:AX169" si="102">AL168/AL167</f>
        <v>#DIV/0!</v>
      </c>
      <c r="AM169" s="1681" t="e">
        <f t="shared" si="102"/>
        <v>#DIV/0!</v>
      </c>
      <c r="AN169" s="1681" t="e">
        <f t="shared" si="102"/>
        <v>#DIV/0!</v>
      </c>
      <c r="AO169" s="1681" t="e">
        <f t="shared" si="102"/>
        <v>#DIV/0!</v>
      </c>
      <c r="AP169" s="1681" t="e">
        <f t="shared" si="102"/>
        <v>#DIV/0!</v>
      </c>
      <c r="AQ169" s="1681" t="e">
        <f t="shared" si="102"/>
        <v>#DIV/0!</v>
      </c>
      <c r="AR169" s="1681" t="e">
        <f t="shared" si="102"/>
        <v>#DIV/0!</v>
      </c>
      <c r="AS169" s="1681" t="e">
        <f t="shared" si="102"/>
        <v>#DIV/0!</v>
      </c>
      <c r="AT169" s="1681" t="e">
        <f t="shared" si="102"/>
        <v>#DIV/0!</v>
      </c>
      <c r="AU169" s="1681" t="e">
        <f t="shared" si="102"/>
        <v>#DIV/0!</v>
      </c>
      <c r="AV169" s="1682" t="e">
        <f t="shared" si="102"/>
        <v>#DIV/0!</v>
      </c>
      <c r="AW169" s="1710"/>
      <c r="AX169" s="1683" t="e">
        <f t="shared" si="102"/>
        <v>#DIV/0!</v>
      </c>
      <c r="AY169" s="1709"/>
      <c r="AZ169" s="1709"/>
      <c r="BA169" s="1181"/>
    </row>
    <row r="170" spans="1:53" ht="48" customHeight="1" thickBot="1">
      <c r="A170" s="668"/>
      <c r="B170" s="2667" t="s">
        <v>1199</v>
      </c>
      <c r="C170" s="2668"/>
      <c r="D170" s="2668"/>
      <c r="E170" s="2668"/>
      <c r="F170" s="2668"/>
      <c r="G170" s="2668"/>
      <c r="H170" s="2669"/>
      <c r="J170" s="715"/>
      <c r="K170" s="715"/>
      <c r="AH170" s="1709"/>
      <c r="AI170" s="2573" t="s">
        <v>1473</v>
      </c>
      <c r="AJ170" s="1677" t="s">
        <v>1079</v>
      </c>
      <c r="AK170" s="1577" t="e">
        <f>(AK155/(SUM(AK$155:AK$160)))*AK$168</f>
        <v>#DIV/0!</v>
      </c>
      <c r="AL170" s="1578" t="e">
        <f t="shared" ref="AL170:AV170" si="103">(AL155/(SUM(AL$155:AL$160)))*AL$168</f>
        <v>#DIV/0!</v>
      </c>
      <c r="AM170" s="1578" t="e">
        <f t="shared" si="103"/>
        <v>#DIV/0!</v>
      </c>
      <c r="AN170" s="1578" t="e">
        <f t="shared" si="103"/>
        <v>#DIV/0!</v>
      </c>
      <c r="AO170" s="1578" t="e">
        <f t="shared" si="103"/>
        <v>#DIV/0!</v>
      </c>
      <c r="AP170" s="1578" t="e">
        <f t="shared" si="103"/>
        <v>#DIV/0!</v>
      </c>
      <c r="AQ170" s="1578" t="e">
        <f t="shared" si="103"/>
        <v>#DIV/0!</v>
      </c>
      <c r="AR170" s="1578" t="e">
        <f t="shared" si="103"/>
        <v>#DIV/0!</v>
      </c>
      <c r="AS170" s="1578" t="e">
        <f t="shared" si="103"/>
        <v>#DIV/0!</v>
      </c>
      <c r="AT170" s="1578" t="e">
        <f t="shared" si="103"/>
        <v>#DIV/0!</v>
      </c>
      <c r="AU170" s="1578" t="e">
        <f t="shared" si="103"/>
        <v>#DIV/0!</v>
      </c>
      <c r="AV170" s="1579" t="e">
        <f t="shared" si="103"/>
        <v>#DIV/0!</v>
      </c>
      <c r="AW170" s="1712"/>
      <c r="AX170" s="1691" t="e">
        <f t="shared" ref="AX170:AX175" si="104">SUM(AK170:AV170)</f>
        <v>#DIV/0!</v>
      </c>
      <c r="AY170" s="1709"/>
      <c r="AZ170" s="1709"/>
      <c r="BA170" s="1181"/>
    </row>
    <row r="171" spans="1:53" ht="17.100000000000001" customHeight="1">
      <c r="A171" s="668"/>
      <c r="B171" s="2115" t="s">
        <v>1228</v>
      </c>
      <c r="C171" s="2116"/>
      <c r="D171" s="2117"/>
      <c r="E171" s="2115" t="s">
        <v>644</v>
      </c>
      <c r="F171" s="2116"/>
      <c r="G171" s="2116"/>
      <c r="H171" s="2117"/>
      <c r="J171" s="715"/>
      <c r="K171" s="715"/>
      <c r="L171" s="1271"/>
      <c r="M171" s="1271"/>
      <c r="N171" s="1271"/>
      <c r="O171" s="1199"/>
      <c r="P171" s="1200"/>
      <c r="AH171" s="1709"/>
      <c r="AI171" s="2574"/>
      <c r="AJ171" s="1532" t="s">
        <v>1080</v>
      </c>
      <c r="AK171" s="1684" t="e">
        <f t="shared" ref="AK171:AV175" si="105">(AK156/(SUM(AK$155:AK$160)))*AK$168</f>
        <v>#DIV/0!</v>
      </c>
      <c r="AL171" s="1661" t="e">
        <f t="shared" si="105"/>
        <v>#DIV/0!</v>
      </c>
      <c r="AM171" s="1661" t="e">
        <f t="shared" si="105"/>
        <v>#DIV/0!</v>
      </c>
      <c r="AN171" s="1661" t="e">
        <f t="shared" si="105"/>
        <v>#DIV/0!</v>
      </c>
      <c r="AO171" s="1661" t="e">
        <f t="shared" si="105"/>
        <v>#DIV/0!</v>
      </c>
      <c r="AP171" s="1661" t="e">
        <f t="shared" si="105"/>
        <v>#DIV/0!</v>
      </c>
      <c r="AQ171" s="1661" t="e">
        <f t="shared" si="105"/>
        <v>#DIV/0!</v>
      </c>
      <c r="AR171" s="1661" t="e">
        <f t="shared" si="105"/>
        <v>#DIV/0!</v>
      </c>
      <c r="AS171" s="1661" t="e">
        <f t="shared" si="105"/>
        <v>#DIV/0!</v>
      </c>
      <c r="AT171" s="1661" t="e">
        <f t="shared" si="105"/>
        <v>#DIV/0!</v>
      </c>
      <c r="AU171" s="1661" t="e">
        <f t="shared" si="105"/>
        <v>#DIV/0!</v>
      </c>
      <c r="AV171" s="1685" t="e">
        <f t="shared" si="105"/>
        <v>#DIV/0!</v>
      </c>
      <c r="AW171" s="1710"/>
      <c r="AX171" s="1692" t="e">
        <f t="shared" si="104"/>
        <v>#DIV/0!</v>
      </c>
      <c r="AY171" s="1709"/>
      <c r="AZ171" s="1709"/>
      <c r="BA171" s="1181"/>
    </row>
    <row r="172" spans="1:53" ht="17.100000000000001" customHeight="1">
      <c r="A172" s="668"/>
      <c r="B172" s="2414">
        <f>HLOOKUP(G48,M145:N150,2)</f>
        <v>0.24</v>
      </c>
      <c r="C172" s="2415"/>
      <c r="D172" s="2416"/>
      <c r="E172" s="2414">
        <v>5</v>
      </c>
      <c r="F172" s="2415"/>
      <c r="G172" s="2415"/>
      <c r="H172" s="2416"/>
      <c r="J172" s="715"/>
      <c r="K172" s="715"/>
      <c r="L172" s="1199"/>
      <c r="M172" s="1271"/>
      <c r="N172" s="1271"/>
      <c r="O172" s="1199"/>
      <c r="P172" s="1200"/>
      <c r="AH172" s="1709"/>
      <c r="AI172" s="2574"/>
      <c r="AJ172" s="1569" t="s">
        <v>1016</v>
      </c>
      <c r="AK172" s="1686" t="e">
        <f t="shared" si="105"/>
        <v>#DIV/0!</v>
      </c>
      <c r="AL172" s="1662" t="e">
        <f t="shared" si="105"/>
        <v>#DIV/0!</v>
      </c>
      <c r="AM172" s="1662" t="e">
        <f t="shared" si="105"/>
        <v>#DIV/0!</v>
      </c>
      <c r="AN172" s="1662" t="e">
        <f t="shared" si="105"/>
        <v>#DIV/0!</v>
      </c>
      <c r="AO172" s="1662" t="e">
        <f t="shared" si="105"/>
        <v>#DIV/0!</v>
      </c>
      <c r="AP172" s="1662" t="e">
        <f t="shared" si="105"/>
        <v>#DIV/0!</v>
      </c>
      <c r="AQ172" s="1662" t="e">
        <f t="shared" si="105"/>
        <v>#DIV/0!</v>
      </c>
      <c r="AR172" s="1662" t="e">
        <f t="shared" si="105"/>
        <v>#DIV/0!</v>
      </c>
      <c r="AS172" s="1662" t="e">
        <f t="shared" si="105"/>
        <v>#DIV/0!</v>
      </c>
      <c r="AT172" s="1662" t="e">
        <f t="shared" si="105"/>
        <v>#DIV/0!</v>
      </c>
      <c r="AU172" s="1662" t="e">
        <f t="shared" si="105"/>
        <v>#DIV/0!</v>
      </c>
      <c r="AV172" s="1687" t="e">
        <f t="shared" si="105"/>
        <v>#DIV/0!</v>
      </c>
      <c r="AW172" s="1710"/>
      <c r="AX172" s="1693" t="e">
        <f t="shared" si="104"/>
        <v>#DIV/0!</v>
      </c>
      <c r="AY172" s="1709"/>
      <c r="AZ172" s="1709"/>
      <c r="BA172" s="1181"/>
    </row>
    <row r="173" spans="1:53" ht="17.100000000000001" customHeight="1">
      <c r="A173" s="668"/>
      <c r="B173" s="2414">
        <f>HLOOKUP(G48,M145:O150,3)</f>
        <v>0.36</v>
      </c>
      <c r="C173" s="2415"/>
      <c r="D173" s="2416"/>
      <c r="E173" s="2414">
        <v>4</v>
      </c>
      <c r="F173" s="2415"/>
      <c r="G173" s="2415"/>
      <c r="H173" s="2416"/>
      <c r="J173" s="715"/>
      <c r="K173" s="715"/>
      <c r="L173" s="1359"/>
      <c r="M173" s="1271"/>
      <c r="N173" s="1271"/>
      <c r="O173" s="1271"/>
      <c r="P173" s="1628"/>
      <c r="AH173" s="1709"/>
      <c r="AI173" s="2574"/>
      <c r="AJ173" s="1569" t="s">
        <v>731</v>
      </c>
      <c r="AK173" s="1686" t="e">
        <f t="shared" si="105"/>
        <v>#DIV/0!</v>
      </c>
      <c r="AL173" s="1662" t="e">
        <f t="shared" si="105"/>
        <v>#DIV/0!</v>
      </c>
      <c r="AM173" s="1662" t="e">
        <f t="shared" si="105"/>
        <v>#DIV/0!</v>
      </c>
      <c r="AN173" s="1662" t="e">
        <f t="shared" si="105"/>
        <v>#DIV/0!</v>
      </c>
      <c r="AO173" s="1662" t="e">
        <f t="shared" si="105"/>
        <v>#DIV/0!</v>
      </c>
      <c r="AP173" s="1662" t="e">
        <f t="shared" si="105"/>
        <v>#DIV/0!</v>
      </c>
      <c r="AQ173" s="1662" t="e">
        <f t="shared" si="105"/>
        <v>#DIV/0!</v>
      </c>
      <c r="AR173" s="1662" t="e">
        <f t="shared" si="105"/>
        <v>#DIV/0!</v>
      </c>
      <c r="AS173" s="1662" t="e">
        <f t="shared" si="105"/>
        <v>#DIV/0!</v>
      </c>
      <c r="AT173" s="1662" t="e">
        <f t="shared" si="105"/>
        <v>#DIV/0!</v>
      </c>
      <c r="AU173" s="1662" t="e">
        <f t="shared" si="105"/>
        <v>#DIV/0!</v>
      </c>
      <c r="AV173" s="1687" t="e">
        <f t="shared" si="105"/>
        <v>#DIV/0!</v>
      </c>
      <c r="AW173" s="1710"/>
      <c r="AX173" s="1693" t="e">
        <f t="shared" si="104"/>
        <v>#DIV/0!</v>
      </c>
      <c r="AY173" s="1709"/>
      <c r="AZ173" s="1709"/>
      <c r="BA173" s="1181"/>
    </row>
    <row r="174" spans="1:53" ht="17.100000000000001" customHeight="1">
      <c r="A174" s="668"/>
      <c r="B174" s="2670">
        <f>HLOOKUP(G48,M145:O150,4)</f>
        <v>0.47</v>
      </c>
      <c r="C174" s="2671"/>
      <c r="D174" s="2672"/>
      <c r="E174" s="2414">
        <v>3</v>
      </c>
      <c r="F174" s="2415"/>
      <c r="G174" s="2415"/>
      <c r="H174" s="2416"/>
      <c r="J174" s="716"/>
      <c r="K174" s="716"/>
      <c r="L174" s="1199"/>
      <c r="M174" s="1629"/>
      <c r="N174" s="1271"/>
      <c r="O174" s="1271"/>
      <c r="P174" s="1630"/>
      <c r="AH174" s="1709"/>
      <c r="AI174" s="2574"/>
      <c r="AJ174" s="1569" t="s">
        <v>1081</v>
      </c>
      <c r="AK174" s="1686" t="e">
        <f t="shared" si="105"/>
        <v>#DIV/0!</v>
      </c>
      <c r="AL174" s="1662" t="e">
        <f t="shared" si="105"/>
        <v>#DIV/0!</v>
      </c>
      <c r="AM174" s="1662" t="e">
        <f t="shared" si="105"/>
        <v>#DIV/0!</v>
      </c>
      <c r="AN174" s="1662" t="e">
        <f t="shared" si="105"/>
        <v>#DIV/0!</v>
      </c>
      <c r="AO174" s="1662" t="e">
        <f t="shared" si="105"/>
        <v>#DIV/0!</v>
      </c>
      <c r="AP174" s="1662" t="e">
        <f t="shared" si="105"/>
        <v>#DIV/0!</v>
      </c>
      <c r="AQ174" s="1662" t="e">
        <f t="shared" si="105"/>
        <v>#DIV/0!</v>
      </c>
      <c r="AR174" s="1662" t="e">
        <f t="shared" si="105"/>
        <v>#DIV/0!</v>
      </c>
      <c r="AS174" s="1662" t="e">
        <f t="shared" si="105"/>
        <v>#DIV/0!</v>
      </c>
      <c r="AT174" s="1662" t="e">
        <f t="shared" si="105"/>
        <v>#DIV/0!</v>
      </c>
      <c r="AU174" s="1662" t="e">
        <f t="shared" si="105"/>
        <v>#DIV/0!</v>
      </c>
      <c r="AV174" s="1687" t="e">
        <f t="shared" si="105"/>
        <v>#DIV/0!</v>
      </c>
      <c r="AW174" s="1710"/>
      <c r="AX174" s="1693" t="e">
        <f t="shared" si="104"/>
        <v>#DIV/0!</v>
      </c>
      <c r="AY174" s="1709"/>
      <c r="AZ174" s="1709"/>
      <c r="BA174" s="1181"/>
    </row>
    <row r="175" spans="1:53" ht="17.100000000000001" customHeight="1" thickBot="1">
      <c r="A175" s="668"/>
      <c r="B175" s="2670">
        <f>HLOOKUP(G48,M145:O150,5)</f>
        <v>0.59</v>
      </c>
      <c r="C175" s="2671"/>
      <c r="D175" s="2672"/>
      <c r="E175" s="2414">
        <v>2</v>
      </c>
      <c r="F175" s="2415"/>
      <c r="G175" s="2415"/>
      <c r="H175" s="2416"/>
      <c r="J175" s="668"/>
      <c r="K175" s="668"/>
      <c r="L175" s="1199"/>
      <c r="M175" s="1629"/>
      <c r="N175" s="1271"/>
      <c r="O175" s="1271"/>
      <c r="P175" s="1630"/>
      <c r="AH175" s="1709"/>
      <c r="AI175" s="2575"/>
      <c r="AJ175" s="1569" t="s">
        <v>109</v>
      </c>
      <c r="AK175" s="1688" t="e">
        <f t="shared" si="105"/>
        <v>#DIV/0!</v>
      </c>
      <c r="AL175" s="1689" t="e">
        <f t="shared" si="105"/>
        <v>#DIV/0!</v>
      </c>
      <c r="AM175" s="1689" t="e">
        <f t="shared" si="105"/>
        <v>#DIV/0!</v>
      </c>
      <c r="AN175" s="1689" t="e">
        <f t="shared" si="105"/>
        <v>#DIV/0!</v>
      </c>
      <c r="AO175" s="1689" t="e">
        <f t="shared" si="105"/>
        <v>#DIV/0!</v>
      </c>
      <c r="AP175" s="1689" t="e">
        <f t="shared" si="105"/>
        <v>#DIV/0!</v>
      </c>
      <c r="AQ175" s="1689" t="e">
        <f t="shared" si="105"/>
        <v>#DIV/0!</v>
      </c>
      <c r="AR175" s="1689" t="e">
        <f t="shared" si="105"/>
        <v>#DIV/0!</v>
      </c>
      <c r="AS175" s="1689" t="e">
        <f t="shared" si="105"/>
        <v>#DIV/0!</v>
      </c>
      <c r="AT175" s="1689" t="e">
        <f t="shared" si="105"/>
        <v>#DIV/0!</v>
      </c>
      <c r="AU175" s="1689" t="e">
        <f t="shared" si="105"/>
        <v>#DIV/0!</v>
      </c>
      <c r="AV175" s="1690" t="e">
        <f t="shared" si="105"/>
        <v>#DIV/0!</v>
      </c>
      <c r="AW175" s="1710"/>
      <c r="AX175" s="1694" t="e">
        <f t="shared" si="104"/>
        <v>#DIV/0!</v>
      </c>
      <c r="AY175" s="1709"/>
      <c r="AZ175" s="1709"/>
      <c r="BA175" s="1181"/>
    </row>
    <row r="176" spans="1:53" ht="17.100000000000001" customHeight="1" thickBot="1">
      <c r="A176" s="668"/>
      <c r="B176" s="2422">
        <f>HLOOKUP(G48,M145:O150,6)</f>
        <v>0.71</v>
      </c>
      <c r="C176" s="2423"/>
      <c r="D176" s="2424"/>
      <c r="E176" s="2422">
        <v>1</v>
      </c>
      <c r="F176" s="2423"/>
      <c r="G176" s="2423"/>
      <c r="H176" s="2424"/>
      <c r="J176" s="668"/>
      <c r="K176" s="668"/>
      <c r="L176" s="1199"/>
      <c r="M176" s="1629"/>
      <c r="N176" s="1271"/>
      <c r="O176" s="1271"/>
      <c r="P176" s="1630"/>
      <c r="AH176" s="1709"/>
      <c r="AI176" s="2573" t="s">
        <v>1474</v>
      </c>
      <c r="AJ176" s="1532" t="s">
        <v>1079</v>
      </c>
      <c r="AK176" s="1695">
        <f t="shared" ref="AK176:AK181" si="106">IF(AK161&gt;0,AK170/AK161,0)</f>
        <v>0</v>
      </c>
      <c r="AL176" s="1696">
        <f t="shared" ref="AL176:AV176" si="107">IF(AL161&gt;0,AL170/AL161,0)</f>
        <v>0</v>
      </c>
      <c r="AM176" s="1696">
        <f t="shared" si="107"/>
        <v>0</v>
      </c>
      <c r="AN176" s="1696">
        <f t="shared" si="107"/>
        <v>0</v>
      </c>
      <c r="AO176" s="1696">
        <f t="shared" si="107"/>
        <v>0</v>
      </c>
      <c r="AP176" s="1696">
        <f t="shared" si="107"/>
        <v>0</v>
      </c>
      <c r="AQ176" s="1696">
        <f t="shared" si="107"/>
        <v>0</v>
      </c>
      <c r="AR176" s="1696">
        <f t="shared" si="107"/>
        <v>0</v>
      </c>
      <c r="AS176" s="1696">
        <f t="shared" si="107"/>
        <v>0</v>
      </c>
      <c r="AT176" s="1696">
        <f t="shared" si="107"/>
        <v>0</v>
      </c>
      <c r="AU176" s="1696">
        <f t="shared" si="107"/>
        <v>0</v>
      </c>
      <c r="AV176" s="1697">
        <f t="shared" si="107"/>
        <v>0</v>
      </c>
      <c r="AW176" s="1710"/>
      <c r="AX176" s="1705">
        <f t="shared" ref="AX176:AX181" si="108">IF(AX161&gt;0,AX170/AX161,0)</f>
        <v>0</v>
      </c>
      <c r="AY176" s="1709"/>
      <c r="AZ176" s="1709"/>
      <c r="BA176" s="1181"/>
    </row>
    <row r="177" spans="1:53" ht="16.5" customHeight="1">
      <c r="A177" s="668"/>
      <c r="L177" s="1199"/>
      <c r="M177" s="1629"/>
      <c r="N177" s="1271"/>
      <c r="O177" s="1271"/>
      <c r="P177" s="1630"/>
      <c r="Q177" s="1236"/>
      <c r="AH177" s="1709"/>
      <c r="AI177" s="2574"/>
      <c r="AJ177" s="1532" t="s">
        <v>1080</v>
      </c>
      <c r="AK177" s="1698">
        <f t="shared" si="106"/>
        <v>0</v>
      </c>
      <c r="AL177" s="1671">
        <f t="shared" ref="AL177:AV177" si="109">IF(AL162&gt;0,AL171/AL162,0)</f>
        <v>0</v>
      </c>
      <c r="AM177" s="1671">
        <f t="shared" si="109"/>
        <v>0</v>
      </c>
      <c r="AN177" s="1671">
        <f t="shared" si="109"/>
        <v>0</v>
      </c>
      <c r="AO177" s="1671">
        <f t="shared" si="109"/>
        <v>0</v>
      </c>
      <c r="AP177" s="1671">
        <f t="shared" si="109"/>
        <v>0</v>
      </c>
      <c r="AQ177" s="1671">
        <f t="shared" si="109"/>
        <v>0</v>
      </c>
      <c r="AR177" s="1671">
        <f t="shared" si="109"/>
        <v>0</v>
      </c>
      <c r="AS177" s="1671">
        <f t="shared" si="109"/>
        <v>0</v>
      </c>
      <c r="AT177" s="1671">
        <f t="shared" si="109"/>
        <v>0</v>
      </c>
      <c r="AU177" s="1671">
        <f t="shared" si="109"/>
        <v>0</v>
      </c>
      <c r="AV177" s="1699">
        <f t="shared" si="109"/>
        <v>0</v>
      </c>
      <c r="AW177" s="1710"/>
      <c r="AX177" s="1706">
        <f t="shared" si="108"/>
        <v>0</v>
      </c>
      <c r="AY177" s="1709"/>
      <c r="AZ177" s="1709"/>
      <c r="BA177" s="1181"/>
    </row>
    <row r="178" spans="1:53" ht="16.5" customHeight="1">
      <c r="A178" s="668"/>
      <c r="L178" s="1199"/>
      <c r="M178" s="1629"/>
      <c r="N178" s="1271"/>
      <c r="O178" s="1271"/>
      <c r="P178" s="1630"/>
      <c r="AH178" s="1709"/>
      <c r="AI178" s="2574"/>
      <c r="AJ178" s="1569" t="s">
        <v>1016</v>
      </c>
      <c r="AK178" s="1700">
        <f t="shared" si="106"/>
        <v>0</v>
      </c>
      <c r="AL178" s="1672">
        <f t="shared" ref="AL178:AV178" si="110">IF(AL163&gt;0,AL172/AL163,0)</f>
        <v>0</v>
      </c>
      <c r="AM178" s="1672">
        <f t="shared" si="110"/>
        <v>0</v>
      </c>
      <c r="AN178" s="1672">
        <f t="shared" si="110"/>
        <v>0</v>
      </c>
      <c r="AO178" s="1672">
        <f t="shared" si="110"/>
        <v>0</v>
      </c>
      <c r="AP178" s="1672">
        <f t="shared" si="110"/>
        <v>0</v>
      </c>
      <c r="AQ178" s="1672">
        <f t="shared" si="110"/>
        <v>0</v>
      </c>
      <c r="AR178" s="1672">
        <f t="shared" si="110"/>
        <v>0</v>
      </c>
      <c r="AS178" s="1672">
        <f t="shared" si="110"/>
        <v>0</v>
      </c>
      <c r="AT178" s="1672">
        <f t="shared" si="110"/>
        <v>0</v>
      </c>
      <c r="AU178" s="1672">
        <f t="shared" si="110"/>
        <v>0</v>
      </c>
      <c r="AV178" s="1701">
        <f t="shared" si="110"/>
        <v>0</v>
      </c>
      <c r="AW178" s="1710"/>
      <c r="AX178" s="1707">
        <f t="shared" si="108"/>
        <v>0</v>
      </c>
      <c r="AY178" s="1709"/>
      <c r="AZ178" s="1709"/>
      <c r="BA178" s="1181"/>
    </row>
    <row r="179" spans="1:53" ht="16.5" customHeight="1">
      <c r="A179" s="668"/>
      <c r="L179" s="1199"/>
      <c r="M179" s="1629"/>
      <c r="N179" s="1271"/>
      <c r="O179" s="1271"/>
      <c r="P179" s="1630"/>
      <c r="AH179" s="1709"/>
      <c r="AI179" s="2574"/>
      <c r="AJ179" s="1569" t="s">
        <v>731</v>
      </c>
      <c r="AK179" s="1700">
        <f t="shared" si="106"/>
        <v>0</v>
      </c>
      <c r="AL179" s="1672">
        <f t="shared" ref="AL179:AV179" si="111">IF(AL164&gt;0,AL173/AL164,0)</f>
        <v>0</v>
      </c>
      <c r="AM179" s="1672">
        <f t="shared" si="111"/>
        <v>0</v>
      </c>
      <c r="AN179" s="1672">
        <f t="shared" si="111"/>
        <v>0</v>
      </c>
      <c r="AO179" s="1672">
        <f t="shared" si="111"/>
        <v>0</v>
      </c>
      <c r="AP179" s="1672">
        <f t="shared" si="111"/>
        <v>0</v>
      </c>
      <c r="AQ179" s="1672">
        <f t="shared" si="111"/>
        <v>0</v>
      </c>
      <c r="AR179" s="1672">
        <f t="shared" si="111"/>
        <v>0</v>
      </c>
      <c r="AS179" s="1672">
        <f t="shared" si="111"/>
        <v>0</v>
      </c>
      <c r="AT179" s="1672">
        <f t="shared" si="111"/>
        <v>0</v>
      </c>
      <c r="AU179" s="1672">
        <f t="shared" si="111"/>
        <v>0</v>
      </c>
      <c r="AV179" s="1701">
        <f t="shared" si="111"/>
        <v>0</v>
      </c>
      <c r="AW179" s="1710"/>
      <c r="AX179" s="1707">
        <f t="shared" si="108"/>
        <v>0</v>
      </c>
      <c r="AY179" s="1709"/>
      <c r="AZ179" s="1709"/>
      <c r="BA179" s="1181"/>
    </row>
    <row r="180" spans="1:53" ht="16.5" customHeight="1">
      <c r="J180" s="716"/>
      <c r="K180" s="668"/>
      <c r="L180" s="1271"/>
      <c r="M180" s="1271"/>
      <c r="N180" s="1271"/>
      <c r="O180" s="1199"/>
      <c r="P180" s="1200"/>
      <c r="AH180" s="1709"/>
      <c r="AI180" s="2574"/>
      <c r="AJ180" s="1569" t="s">
        <v>1081</v>
      </c>
      <c r="AK180" s="1700">
        <f t="shared" si="106"/>
        <v>0</v>
      </c>
      <c r="AL180" s="1672">
        <f t="shared" ref="AL180:AV180" si="112">IF(AL165&gt;0,AL174/AL165,0)</f>
        <v>0</v>
      </c>
      <c r="AM180" s="1672">
        <f t="shared" si="112"/>
        <v>0</v>
      </c>
      <c r="AN180" s="1672">
        <f t="shared" si="112"/>
        <v>0</v>
      </c>
      <c r="AO180" s="1672">
        <f t="shared" si="112"/>
        <v>0</v>
      </c>
      <c r="AP180" s="1672">
        <f t="shared" si="112"/>
        <v>0</v>
      </c>
      <c r="AQ180" s="1672">
        <f t="shared" si="112"/>
        <v>0</v>
      </c>
      <c r="AR180" s="1672">
        <f t="shared" si="112"/>
        <v>0</v>
      </c>
      <c r="AS180" s="1672">
        <f t="shared" si="112"/>
        <v>0</v>
      </c>
      <c r="AT180" s="1672">
        <f t="shared" si="112"/>
        <v>0</v>
      </c>
      <c r="AU180" s="1672">
        <f t="shared" si="112"/>
        <v>0</v>
      </c>
      <c r="AV180" s="1701">
        <f t="shared" si="112"/>
        <v>0</v>
      </c>
      <c r="AW180" s="1710"/>
      <c r="AX180" s="1707">
        <f t="shared" si="108"/>
        <v>0</v>
      </c>
      <c r="AY180" s="1709"/>
      <c r="AZ180" s="1709"/>
      <c r="BA180" s="1181"/>
    </row>
    <row r="181" spans="1:53" ht="16.5" customHeight="1" thickBot="1">
      <c r="J181" s="717"/>
      <c r="R181" s="1238"/>
      <c r="AH181" s="1709"/>
      <c r="AI181" s="2575"/>
      <c r="AJ181" s="1569" t="s">
        <v>109</v>
      </c>
      <c r="AK181" s="1702">
        <f t="shared" si="106"/>
        <v>0</v>
      </c>
      <c r="AL181" s="1703">
        <f t="shared" ref="AL181:AV181" si="113">IF(AL166&gt;0,AL175/AL166,0)</f>
        <v>0</v>
      </c>
      <c r="AM181" s="1703">
        <f t="shared" si="113"/>
        <v>0</v>
      </c>
      <c r="AN181" s="1703">
        <f t="shared" si="113"/>
        <v>0</v>
      </c>
      <c r="AO181" s="1703">
        <f t="shared" si="113"/>
        <v>0</v>
      </c>
      <c r="AP181" s="1703">
        <f t="shared" si="113"/>
        <v>0</v>
      </c>
      <c r="AQ181" s="1703">
        <f t="shared" si="113"/>
        <v>0</v>
      </c>
      <c r="AR181" s="1703">
        <f t="shared" si="113"/>
        <v>0</v>
      </c>
      <c r="AS181" s="1703">
        <f t="shared" si="113"/>
        <v>0</v>
      </c>
      <c r="AT181" s="1703">
        <f t="shared" si="113"/>
        <v>0</v>
      </c>
      <c r="AU181" s="1703">
        <f t="shared" si="113"/>
        <v>0</v>
      </c>
      <c r="AV181" s="1704">
        <f t="shared" si="113"/>
        <v>0</v>
      </c>
      <c r="AW181" s="1710"/>
      <c r="AX181" s="1708">
        <f t="shared" si="108"/>
        <v>0</v>
      </c>
      <c r="AY181" s="1709"/>
      <c r="AZ181" s="1709"/>
      <c r="BA181" s="1181"/>
    </row>
    <row r="182" spans="1:53" ht="16.5" customHeight="1">
      <c r="R182" s="1238"/>
      <c r="AH182" s="1709"/>
      <c r="AI182" s="2573" t="s">
        <v>1784</v>
      </c>
      <c r="AJ182" s="1532" t="s">
        <v>1079</v>
      </c>
      <c r="AK182" s="1577" t="e">
        <f t="shared" ref="AK182:AV182" si="114">AK142-AK170</f>
        <v>#DIV/0!</v>
      </c>
      <c r="AL182" s="1578" t="e">
        <f t="shared" si="114"/>
        <v>#DIV/0!</v>
      </c>
      <c r="AM182" s="1578" t="e">
        <f t="shared" si="114"/>
        <v>#DIV/0!</v>
      </c>
      <c r="AN182" s="1578" t="e">
        <f t="shared" si="114"/>
        <v>#DIV/0!</v>
      </c>
      <c r="AO182" s="1578" t="e">
        <f t="shared" si="114"/>
        <v>#DIV/0!</v>
      </c>
      <c r="AP182" s="1578" t="e">
        <f t="shared" si="114"/>
        <v>#DIV/0!</v>
      </c>
      <c r="AQ182" s="1578" t="e">
        <f t="shared" si="114"/>
        <v>#DIV/0!</v>
      </c>
      <c r="AR182" s="1578" t="e">
        <f t="shared" si="114"/>
        <v>#DIV/0!</v>
      </c>
      <c r="AS182" s="1578" t="e">
        <f t="shared" si="114"/>
        <v>#DIV/0!</v>
      </c>
      <c r="AT182" s="1578" t="e">
        <f t="shared" si="114"/>
        <v>#DIV/0!</v>
      </c>
      <c r="AU182" s="1578" t="e">
        <f t="shared" si="114"/>
        <v>#DIV/0!</v>
      </c>
      <c r="AV182" s="1579" t="e">
        <f t="shared" si="114"/>
        <v>#DIV/0!</v>
      </c>
      <c r="AW182" s="1710"/>
      <c r="AX182" s="1550" t="e">
        <f t="shared" ref="AX182:AX187" si="115">AX142-AX170</f>
        <v>#DIV/0!</v>
      </c>
      <c r="AY182" s="1709"/>
      <c r="AZ182" s="1709"/>
      <c r="BA182" s="1181"/>
    </row>
    <row r="183" spans="1:53" ht="16.5" customHeight="1">
      <c r="A183" s="668"/>
      <c r="K183" s="668"/>
      <c r="R183" s="1238"/>
      <c r="AH183" s="1709"/>
      <c r="AI183" s="2574"/>
      <c r="AJ183" s="1532" t="s">
        <v>1080</v>
      </c>
      <c r="AK183" s="1580" t="e">
        <f t="shared" ref="AK183:AV183" si="116">AK143-AK171</f>
        <v>#DIV/0!</v>
      </c>
      <c r="AL183" s="1581" t="e">
        <f t="shared" si="116"/>
        <v>#DIV/0!</v>
      </c>
      <c r="AM183" s="1581" t="e">
        <f t="shared" si="116"/>
        <v>#DIV/0!</v>
      </c>
      <c r="AN183" s="1581" t="e">
        <f t="shared" si="116"/>
        <v>#DIV/0!</v>
      </c>
      <c r="AO183" s="1581" t="e">
        <f t="shared" si="116"/>
        <v>#DIV/0!</v>
      </c>
      <c r="AP183" s="1581" t="e">
        <f t="shared" si="116"/>
        <v>#DIV/0!</v>
      </c>
      <c r="AQ183" s="1581" t="e">
        <f t="shared" si="116"/>
        <v>#DIV/0!</v>
      </c>
      <c r="AR183" s="1581" t="e">
        <f t="shared" si="116"/>
        <v>#DIV/0!</v>
      </c>
      <c r="AS183" s="1581" t="e">
        <f t="shared" si="116"/>
        <v>#DIV/0!</v>
      </c>
      <c r="AT183" s="1581" t="e">
        <f t="shared" si="116"/>
        <v>#DIV/0!</v>
      </c>
      <c r="AU183" s="1581" t="e">
        <f t="shared" si="116"/>
        <v>#DIV/0!</v>
      </c>
      <c r="AV183" s="1582" t="e">
        <f t="shared" si="116"/>
        <v>#DIV/0!</v>
      </c>
      <c r="AW183" s="1710"/>
      <c r="AX183" s="1551" t="e">
        <f t="shared" si="115"/>
        <v>#DIV/0!</v>
      </c>
      <c r="AY183" s="1709"/>
      <c r="AZ183" s="1709"/>
      <c r="BA183" s="1181"/>
    </row>
    <row r="184" spans="1:53" ht="16.5" customHeight="1">
      <c r="A184" s="668"/>
      <c r="J184" s="668"/>
      <c r="K184" s="668"/>
      <c r="R184" s="1238"/>
      <c r="AH184" s="1709"/>
      <c r="AI184" s="2574"/>
      <c r="AJ184" s="1569" t="s">
        <v>1016</v>
      </c>
      <c r="AK184" s="1583" t="e">
        <f t="shared" ref="AK184:AV184" si="117">AK144-AK172</f>
        <v>#DIV/0!</v>
      </c>
      <c r="AL184" s="1584" t="e">
        <f t="shared" si="117"/>
        <v>#DIV/0!</v>
      </c>
      <c r="AM184" s="1584" t="e">
        <f t="shared" si="117"/>
        <v>#DIV/0!</v>
      </c>
      <c r="AN184" s="1584" t="e">
        <f t="shared" si="117"/>
        <v>#DIV/0!</v>
      </c>
      <c r="AO184" s="1584" t="e">
        <f t="shared" si="117"/>
        <v>#DIV/0!</v>
      </c>
      <c r="AP184" s="1584" t="e">
        <f t="shared" si="117"/>
        <v>#DIV/0!</v>
      </c>
      <c r="AQ184" s="1584" t="e">
        <f t="shared" si="117"/>
        <v>#DIV/0!</v>
      </c>
      <c r="AR184" s="1584" t="e">
        <f t="shared" si="117"/>
        <v>#DIV/0!</v>
      </c>
      <c r="AS184" s="1584" t="e">
        <f t="shared" si="117"/>
        <v>#DIV/0!</v>
      </c>
      <c r="AT184" s="1584" t="e">
        <f t="shared" si="117"/>
        <v>#DIV/0!</v>
      </c>
      <c r="AU184" s="1584" t="e">
        <f t="shared" si="117"/>
        <v>#DIV/0!</v>
      </c>
      <c r="AV184" s="1585" t="e">
        <f t="shared" si="117"/>
        <v>#DIV/0!</v>
      </c>
      <c r="AW184" s="1710"/>
      <c r="AX184" s="1570" t="e">
        <f t="shared" si="115"/>
        <v>#DIV/0!</v>
      </c>
      <c r="AY184" s="1709"/>
      <c r="AZ184" s="1709"/>
      <c r="BA184" s="1181"/>
    </row>
    <row r="185" spans="1:53" ht="16.5" customHeight="1">
      <c r="J185" s="717"/>
      <c r="L185" s="1179"/>
      <c r="P185" s="1200"/>
      <c r="R185" s="1238"/>
      <c r="AH185" s="1709"/>
      <c r="AI185" s="2574"/>
      <c r="AJ185" s="1569" t="s">
        <v>731</v>
      </c>
      <c r="AK185" s="1583" t="e">
        <f t="shared" ref="AK185:AV185" si="118">AK145-AK173</f>
        <v>#DIV/0!</v>
      </c>
      <c r="AL185" s="1584" t="e">
        <f t="shared" si="118"/>
        <v>#DIV/0!</v>
      </c>
      <c r="AM185" s="1584" t="e">
        <f t="shared" si="118"/>
        <v>#DIV/0!</v>
      </c>
      <c r="AN185" s="1584" t="e">
        <f t="shared" si="118"/>
        <v>#DIV/0!</v>
      </c>
      <c r="AO185" s="1584" t="e">
        <f t="shared" si="118"/>
        <v>#DIV/0!</v>
      </c>
      <c r="AP185" s="1584" t="e">
        <f t="shared" si="118"/>
        <v>#DIV/0!</v>
      </c>
      <c r="AQ185" s="1584" t="e">
        <f t="shared" si="118"/>
        <v>#DIV/0!</v>
      </c>
      <c r="AR185" s="1584" t="e">
        <f t="shared" si="118"/>
        <v>#DIV/0!</v>
      </c>
      <c r="AS185" s="1584" t="e">
        <f t="shared" si="118"/>
        <v>#DIV/0!</v>
      </c>
      <c r="AT185" s="1584" t="e">
        <f t="shared" si="118"/>
        <v>#DIV/0!</v>
      </c>
      <c r="AU185" s="1584" t="e">
        <f t="shared" si="118"/>
        <v>#DIV/0!</v>
      </c>
      <c r="AV185" s="1585" t="e">
        <f t="shared" si="118"/>
        <v>#DIV/0!</v>
      </c>
      <c r="AW185" s="1710"/>
      <c r="AX185" s="1570" t="e">
        <f t="shared" si="115"/>
        <v>#DIV/0!</v>
      </c>
      <c r="AY185" s="1709"/>
      <c r="AZ185" s="1709"/>
      <c r="BA185" s="1181"/>
    </row>
    <row r="186" spans="1:53" ht="16.5" customHeight="1">
      <c r="I186" s="668"/>
      <c r="J186" s="668"/>
      <c r="P186" s="1239"/>
      <c r="AH186" s="1709"/>
      <c r="AI186" s="2574"/>
      <c r="AJ186" s="1569" t="s">
        <v>1081</v>
      </c>
      <c r="AK186" s="1583" t="e">
        <f t="shared" ref="AK186:AV186" si="119">AK146-AK174</f>
        <v>#DIV/0!</v>
      </c>
      <c r="AL186" s="1584" t="e">
        <f t="shared" si="119"/>
        <v>#DIV/0!</v>
      </c>
      <c r="AM186" s="1584" t="e">
        <f t="shared" si="119"/>
        <v>#DIV/0!</v>
      </c>
      <c r="AN186" s="1584" t="e">
        <f t="shared" si="119"/>
        <v>#DIV/0!</v>
      </c>
      <c r="AO186" s="1584" t="e">
        <f t="shared" si="119"/>
        <v>#DIV/0!</v>
      </c>
      <c r="AP186" s="1584" t="e">
        <f t="shared" si="119"/>
        <v>#DIV/0!</v>
      </c>
      <c r="AQ186" s="1584" t="e">
        <f t="shared" si="119"/>
        <v>#DIV/0!</v>
      </c>
      <c r="AR186" s="1584" t="e">
        <f t="shared" si="119"/>
        <v>#DIV/0!</v>
      </c>
      <c r="AS186" s="1584" t="e">
        <f t="shared" si="119"/>
        <v>#DIV/0!</v>
      </c>
      <c r="AT186" s="1584" t="e">
        <f t="shared" si="119"/>
        <v>#DIV/0!</v>
      </c>
      <c r="AU186" s="1584" t="e">
        <f t="shared" si="119"/>
        <v>#DIV/0!</v>
      </c>
      <c r="AV186" s="1585" t="e">
        <f t="shared" si="119"/>
        <v>#DIV/0!</v>
      </c>
      <c r="AW186" s="1710"/>
      <c r="AX186" s="1570" t="e">
        <f t="shared" si="115"/>
        <v>#DIV/0!</v>
      </c>
      <c r="AY186" s="1709"/>
      <c r="AZ186" s="1709"/>
      <c r="BA186" s="1181"/>
    </row>
    <row r="187" spans="1:53" ht="16.5" customHeight="1" thickBot="1">
      <c r="B187" s="668"/>
      <c r="C187" s="668"/>
      <c r="D187" s="668"/>
      <c r="E187" s="668"/>
      <c r="F187" s="668"/>
      <c r="G187" s="668"/>
      <c r="H187" s="668"/>
      <c r="P187" s="1240"/>
      <c r="AH187" s="1709"/>
      <c r="AI187" s="2575"/>
      <c r="AJ187" s="1569" t="s">
        <v>109</v>
      </c>
      <c r="AK187" s="1586" t="e">
        <f t="shared" ref="AK187:AV187" si="120">AK147-AK175</f>
        <v>#DIV/0!</v>
      </c>
      <c r="AL187" s="1587" t="e">
        <f t="shared" si="120"/>
        <v>#DIV/0!</v>
      </c>
      <c r="AM187" s="1587" t="e">
        <f t="shared" si="120"/>
        <v>#DIV/0!</v>
      </c>
      <c r="AN187" s="1587" t="e">
        <f t="shared" si="120"/>
        <v>#DIV/0!</v>
      </c>
      <c r="AO187" s="1587" t="e">
        <f t="shared" si="120"/>
        <v>#DIV/0!</v>
      </c>
      <c r="AP187" s="1587" t="e">
        <f t="shared" si="120"/>
        <v>#DIV/0!</v>
      </c>
      <c r="AQ187" s="1587" t="e">
        <f t="shared" si="120"/>
        <v>#DIV/0!</v>
      </c>
      <c r="AR187" s="1587" t="e">
        <f t="shared" si="120"/>
        <v>#DIV/0!</v>
      </c>
      <c r="AS187" s="1587" t="e">
        <f t="shared" si="120"/>
        <v>#DIV/0!</v>
      </c>
      <c r="AT187" s="1587" t="e">
        <f t="shared" si="120"/>
        <v>#DIV/0!</v>
      </c>
      <c r="AU187" s="1587" t="e">
        <f t="shared" si="120"/>
        <v>#DIV/0!</v>
      </c>
      <c r="AV187" s="1588" t="e">
        <f t="shared" si="120"/>
        <v>#DIV/0!</v>
      </c>
      <c r="AW187" s="1710"/>
      <c r="AX187" s="1571" t="e">
        <f t="shared" si="115"/>
        <v>#DIV/0!</v>
      </c>
      <c r="AY187" s="1709"/>
      <c r="AZ187" s="1709"/>
      <c r="BA187" s="1181"/>
    </row>
    <row r="188" spans="1:53" ht="16.5" customHeight="1" thickBot="1">
      <c r="P188" s="1240"/>
      <c r="R188" s="1470"/>
      <c r="S188" s="1470"/>
      <c r="T188" s="1470"/>
      <c r="AH188" s="1709"/>
      <c r="AI188" s="2619" t="s">
        <v>1785</v>
      </c>
      <c r="AJ188" s="1532" t="s">
        <v>1079</v>
      </c>
      <c r="AK188" s="1524" t="e">
        <f>(AK182/SUM(AK$182:AK$187))</f>
        <v>#DIV/0!</v>
      </c>
      <c r="AL188" s="1524" t="e">
        <f t="shared" ref="AL188:AV188" si="121">(AL182/SUM(AL$182:AL$187))</f>
        <v>#DIV/0!</v>
      </c>
      <c r="AM188" s="1524" t="e">
        <f t="shared" si="121"/>
        <v>#DIV/0!</v>
      </c>
      <c r="AN188" s="1524" t="e">
        <f t="shared" si="121"/>
        <v>#DIV/0!</v>
      </c>
      <c r="AO188" s="1524" t="e">
        <f t="shared" si="121"/>
        <v>#DIV/0!</v>
      </c>
      <c r="AP188" s="1524" t="e">
        <f t="shared" si="121"/>
        <v>#DIV/0!</v>
      </c>
      <c r="AQ188" s="1524" t="e">
        <f t="shared" si="121"/>
        <v>#DIV/0!</v>
      </c>
      <c r="AR188" s="1524" t="e">
        <f t="shared" si="121"/>
        <v>#DIV/0!</v>
      </c>
      <c r="AS188" s="1524" t="e">
        <f t="shared" si="121"/>
        <v>#DIV/0!</v>
      </c>
      <c r="AT188" s="1524" t="e">
        <f t="shared" si="121"/>
        <v>#DIV/0!</v>
      </c>
      <c r="AU188" s="1524" t="e">
        <f t="shared" si="121"/>
        <v>#DIV/0!</v>
      </c>
      <c r="AV188" s="1524" t="e">
        <f t="shared" si="121"/>
        <v>#DIV/0!</v>
      </c>
      <c r="AW188" s="1709"/>
      <c r="AX188" s="1709"/>
      <c r="AY188" s="1709"/>
      <c r="AZ188" s="1709"/>
      <c r="BA188" s="1181"/>
    </row>
    <row r="189" spans="1:53" ht="26.25" thickBot="1">
      <c r="T189" s="1201"/>
      <c r="AI189" s="2620"/>
      <c r="AJ189" s="1532" t="s">
        <v>1080</v>
      </c>
      <c r="AK189" s="1524" t="e">
        <f t="shared" ref="AK189:AV193" si="122">(AK183/SUM(AK$182:AK$187))</f>
        <v>#DIV/0!</v>
      </c>
      <c r="AL189" s="1524" t="e">
        <f t="shared" si="122"/>
        <v>#DIV/0!</v>
      </c>
      <c r="AM189" s="1524" t="e">
        <f t="shared" si="122"/>
        <v>#DIV/0!</v>
      </c>
      <c r="AN189" s="1524" t="e">
        <f t="shared" si="122"/>
        <v>#DIV/0!</v>
      </c>
      <c r="AO189" s="1524" t="e">
        <f t="shared" si="122"/>
        <v>#DIV/0!</v>
      </c>
      <c r="AP189" s="1524" t="e">
        <f t="shared" si="122"/>
        <v>#DIV/0!</v>
      </c>
      <c r="AQ189" s="1524" t="e">
        <f t="shared" si="122"/>
        <v>#DIV/0!</v>
      </c>
      <c r="AR189" s="1524" t="e">
        <f t="shared" si="122"/>
        <v>#DIV/0!</v>
      </c>
      <c r="AS189" s="1524" t="e">
        <f t="shared" si="122"/>
        <v>#DIV/0!</v>
      </c>
      <c r="AT189" s="1524" t="e">
        <f t="shared" si="122"/>
        <v>#DIV/0!</v>
      </c>
      <c r="AU189" s="1524" t="e">
        <f t="shared" si="122"/>
        <v>#DIV/0!</v>
      </c>
      <c r="AV189" s="1524" t="e">
        <f t="shared" si="122"/>
        <v>#DIV/0!</v>
      </c>
    </row>
    <row r="190" spans="1:53" ht="13.5" thickBot="1">
      <c r="T190" s="1201"/>
      <c r="AI190" s="2620"/>
      <c r="AJ190" s="1569" t="s">
        <v>1016</v>
      </c>
      <c r="AK190" s="1524" t="e">
        <f t="shared" si="122"/>
        <v>#DIV/0!</v>
      </c>
      <c r="AL190" s="1524" t="e">
        <f t="shared" si="122"/>
        <v>#DIV/0!</v>
      </c>
      <c r="AM190" s="1524" t="e">
        <f t="shared" si="122"/>
        <v>#DIV/0!</v>
      </c>
      <c r="AN190" s="1524" t="e">
        <f t="shared" si="122"/>
        <v>#DIV/0!</v>
      </c>
      <c r="AO190" s="1524" t="e">
        <f t="shared" si="122"/>
        <v>#DIV/0!</v>
      </c>
      <c r="AP190" s="1524" t="e">
        <f t="shared" si="122"/>
        <v>#DIV/0!</v>
      </c>
      <c r="AQ190" s="1524" t="e">
        <f t="shared" si="122"/>
        <v>#DIV/0!</v>
      </c>
      <c r="AR190" s="1524" t="e">
        <f t="shared" si="122"/>
        <v>#DIV/0!</v>
      </c>
      <c r="AS190" s="1524" t="e">
        <f t="shared" si="122"/>
        <v>#DIV/0!</v>
      </c>
      <c r="AT190" s="1524" t="e">
        <f t="shared" si="122"/>
        <v>#DIV/0!</v>
      </c>
      <c r="AU190" s="1524" t="e">
        <f t="shared" si="122"/>
        <v>#DIV/0!</v>
      </c>
      <c r="AV190" s="1524" t="e">
        <f t="shared" si="122"/>
        <v>#DIV/0!</v>
      </c>
    </row>
    <row r="191" spans="1:53" ht="13.5" thickBot="1">
      <c r="T191" s="1201"/>
      <c r="AI191" s="2620"/>
      <c r="AJ191" s="1569" t="s">
        <v>731</v>
      </c>
      <c r="AK191" s="1524" t="e">
        <f t="shared" si="122"/>
        <v>#DIV/0!</v>
      </c>
      <c r="AL191" s="1524" t="e">
        <f t="shared" si="122"/>
        <v>#DIV/0!</v>
      </c>
      <c r="AM191" s="1524" t="e">
        <f t="shared" si="122"/>
        <v>#DIV/0!</v>
      </c>
      <c r="AN191" s="1524" t="e">
        <f t="shared" si="122"/>
        <v>#DIV/0!</v>
      </c>
      <c r="AO191" s="1524" t="e">
        <f t="shared" si="122"/>
        <v>#DIV/0!</v>
      </c>
      <c r="AP191" s="1524" t="e">
        <f t="shared" si="122"/>
        <v>#DIV/0!</v>
      </c>
      <c r="AQ191" s="1524" t="e">
        <f t="shared" si="122"/>
        <v>#DIV/0!</v>
      </c>
      <c r="AR191" s="1524" t="e">
        <f t="shared" si="122"/>
        <v>#DIV/0!</v>
      </c>
      <c r="AS191" s="1524" t="e">
        <f t="shared" si="122"/>
        <v>#DIV/0!</v>
      </c>
      <c r="AT191" s="1524" t="e">
        <f t="shared" si="122"/>
        <v>#DIV/0!</v>
      </c>
      <c r="AU191" s="1524" t="e">
        <f t="shared" si="122"/>
        <v>#DIV/0!</v>
      </c>
      <c r="AV191" s="1524" t="e">
        <f t="shared" si="122"/>
        <v>#DIV/0!</v>
      </c>
    </row>
    <row r="192" spans="1:53" ht="13.5" thickBot="1">
      <c r="T192" s="1201"/>
      <c r="AI192" s="2620"/>
      <c r="AJ192" s="1569" t="s">
        <v>1081</v>
      </c>
      <c r="AK192" s="1524" t="e">
        <f t="shared" si="122"/>
        <v>#DIV/0!</v>
      </c>
      <c r="AL192" s="1524" t="e">
        <f t="shared" si="122"/>
        <v>#DIV/0!</v>
      </c>
      <c r="AM192" s="1524" t="e">
        <f t="shared" si="122"/>
        <v>#DIV/0!</v>
      </c>
      <c r="AN192" s="1524" t="e">
        <f t="shared" si="122"/>
        <v>#DIV/0!</v>
      </c>
      <c r="AO192" s="1524" t="e">
        <f t="shared" si="122"/>
        <v>#DIV/0!</v>
      </c>
      <c r="AP192" s="1524" t="e">
        <f t="shared" si="122"/>
        <v>#DIV/0!</v>
      </c>
      <c r="AQ192" s="1524" t="e">
        <f t="shared" si="122"/>
        <v>#DIV/0!</v>
      </c>
      <c r="AR192" s="1524" t="e">
        <f t="shared" si="122"/>
        <v>#DIV/0!</v>
      </c>
      <c r="AS192" s="1524" t="e">
        <f t="shared" si="122"/>
        <v>#DIV/0!</v>
      </c>
      <c r="AT192" s="1524" t="e">
        <f t="shared" si="122"/>
        <v>#DIV/0!</v>
      </c>
      <c r="AU192" s="1524" t="e">
        <f t="shared" si="122"/>
        <v>#DIV/0!</v>
      </c>
      <c r="AV192" s="1524" t="e">
        <f t="shared" si="122"/>
        <v>#DIV/0!</v>
      </c>
    </row>
    <row r="193" spans="12:51">
      <c r="T193" s="1201"/>
      <c r="AI193" s="2620"/>
      <c r="AJ193" s="1569" t="s">
        <v>109</v>
      </c>
      <c r="AK193" s="1524" t="e">
        <f t="shared" si="122"/>
        <v>#DIV/0!</v>
      </c>
      <c r="AL193" s="1524" t="e">
        <f t="shared" si="122"/>
        <v>#DIV/0!</v>
      </c>
      <c r="AM193" s="1524" t="e">
        <f t="shared" si="122"/>
        <v>#DIV/0!</v>
      </c>
      <c r="AN193" s="1524" t="e">
        <f t="shared" si="122"/>
        <v>#DIV/0!</v>
      </c>
      <c r="AO193" s="1524" t="e">
        <f t="shared" si="122"/>
        <v>#DIV/0!</v>
      </c>
      <c r="AP193" s="1524" t="e">
        <f t="shared" si="122"/>
        <v>#DIV/0!</v>
      </c>
      <c r="AQ193" s="1524" t="e">
        <f t="shared" si="122"/>
        <v>#DIV/0!</v>
      </c>
      <c r="AR193" s="1524" t="e">
        <f t="shared" si="122"/>
        <v>#DIV/0!</v>
      </c>
      <c r="AS193" s="1524" t="e">
        <f t="shared" si="122"/>
        <v>#DIV/0!</v>
      </c>
      <c r="AT193" s="1524" t="e">
        <f t="shared" si="122"/>
        <v>#DIV/0!</v>
      </c>
      <c r="AU193" s="1524" t="e">
        <f t="shared" si="122"/>
        <v>#DIV/0!</v>
      </c>
      <c r="AV193" s="1524" t="e">
        <f t="shared" si="122"/>
        <v>#DIV/0!</v>
      </c>
    </row>
    <row r="194" spans="12:51" ht="13.5" thickBot="1">
      <c r="T194" s="1247"/>
      <c r="AI194" s="2647" t="s">
        <v>1786</v>
      </c>
      <c r="AJ194" s="2648"/>
      <c r="AK194" s="2649"/>
      <c r="AL194" s="2649"/>
      <c r="AM194" s="2649"/>
      <c r="AN194" s="2649"/>
      <c r="AO194" s="2649"/>
      <c r="AP194" s="2649"/>
      <c r="AQ194" s="2649"/>
      <c r="AR194" s="2649"/>
      <c r="AS194" s="2649"/>
      <c r="AT194" s="2649"/>
      <c r="AU194" s="2649"/>
      <c r="AV194" s="2649"/>
      <c r="AW194" s="2649"/>
      <c r="AX194" s="2650"/>
      <c r="AY194" s="1770"/>
    </row>
    <row r="195" spans="12:51" ht="13.5" thickBot="1">
      <c r="S195" s="1247"/>
      <c r="T195" s="1247"/>
      <c r="AI195" s="2627" t="s">
        <v>1787</v>
      </c>
      <c r="AJ195" s="2628"/>
      <c r="AK195" s="1591">
        <f>C134*1000</f>
        <v>20000</v>
      </c>
      <c r="AL195" s="1591">
        <f t="shared" ref="AL195:AP195" si="123">D134*1000</f>
        <v>456000</v>
      </c>
      <c r="AM195" s="1591">
        <f t="shared" si="123"/>
        <v>450000</v>
      </c>
      <c r="AN195" s="1591">
        <f t="shared" si="123"/>
        <v>400000</v>
      </c>
      <c r="AO195" s="1591">
        <f t="shared" si="123"/>
        <v>300000</v>
      </c>
      <c r="AP195" s="1591">
        <f t="shared" si="123"/>
        <v>250000</v>
      </c>
      <c r="AQ195" s="1591">
        <f>C136*1000</f>
        <v>200000</v>
      </c>
      <c r="AR195" s="1591">
        <f t="shared" ref="AR195:AV195" si="124">D136*1000</f>
        <v>140000</v>
      </c>
      <c r="AS195" s="1591">
        <f t="shared" si="124"/>
        <v>160000</v>
      </c>
      <c r="AT195" s="1591">
        <f t="shared" si="124"/>
        <v>200000</v>
      </c>
      <c r="AU195" s="1591">
        <f t="shared" si="124"/>
        <v>180000</v>
      </c>
      <c r="AV195" s="1591">
        <f t="shared" si="124"/>
        <v>100000</v>
      </c>
      <c r="AW195" s="1732"/>
      <c r="AX195" s="1726">
        <f>SUM(AK195:AV195)</f>
        <v>2856000</v>
      </c>
      <c r="AY195" s="1770"/>
    </row>
    <row r="196" spans="12:51" ht="25.5" customHeight="1">
      <c r="S196" s="1249"/>
      <c r="T196" s="1200"/>
      <c r="AI196" s="2573" t="s">
        <v>1457</v>
      </c>
      <c r="AJ196" s="1532" t="s">
        <v>1079</v>
      </c>
      <c r="AK196" s="1533">
        <f>IF($M$128,AK187,0)</f>
        <v>0</v>
      </c>
      <c r="AL196" s="1533">
        <f t="shared" ref="AL196:AV196" si="125">IF($M$128,AL187,0)</f>
        <v>0</v>
      </c>
      <c r="AM196" s="1533">
        <f t="shared" si="125"/>
        <v>0</v>
      </c>
      <c r="AN196" s="1533">
        <f t="shared" si="125"/>
        <v>0</v>
      </c>
      <c r="AO196" s="1533">
        <f t="shared" si="125"/>
        <v>0</v>
      </c>
      <c r="AP196" s="1533">
        <f t="shared" si="125"/>
        <v>0</v>
      </c>
      <c r="AQ196" s="1533">
        <f t="shared" si="125"/>
        <v>0</v>
      </c>
      <c r="AR196" s="1533">
        <f t="shared" si="125"/>
        <v>0</v>
      </c>
      <c r="AS196" s="1533">
        <f t="shared" si="125"/>
        <v>0</v>
      </c>
      <c r="AT196" s="1533">
        <f t="shared" si="125"/>
        <v>0</v>
      </c>
      <c r="AU196" s="1533">
        <f t="shared" si="125"/>
        <v>0</v>
      </c>
      <c r="AV196" s="1533">
        <f t="shared" si="125"/>
        <v>0</v>
      </c>
      <c r="AW196" s="1733"/>
      <c r="AX196" s="2568"/>
      <c r="AY196" s="1770"/>
    </row>
    <row r="197" spans="12:51" ht="25.5">
      <c r="S197" s="1250"/>
      <c r="T197" s="1200"/>
      <c r="AI197" s="2574"/>
      <c r="AJ197" s="1532" t="s">
        <v>1080</v>
      </c>
      <c r="AK197" s="1536">
        <f>IF($M$129,AK188,0)</f>
        <v>0</v>
      </c>
      <c r="AL197" s="1536">
        <f t="shared" ref="AL197:AV197" si="126">IF($M$129,AL188,0)</f>
        <v>0</v>
      </c>
      <c r="AM197" s="1536">
        <f t="shared" si="126"/>
        <v>0</v>
      </c>
      <c r="AN197" s="1536">
        <f t="shared" si="126"/>
        <v>0</v>
      </c>
      <c r="AO197" s="1536">
        <f t="shared" si="126"/>
        <v>0</v>
      </c>
      <c r="AP197" s="1536">
        <f t="shared" si="126"/>
        <v>0</v>
      </c>
      <c r="AQ197" s="1536">
        <f t="shared" si="126"/>
        <v>0</v>
      </c>
      <c r="AR197" s="1536">
        <f t="shared" si="126"/>
        <v>0</v>
      </c>
      <c r="AS197" s="1536">
        <f t="shared" si="126"/>
        <v>0</v>
      </c>
      <c r="AT197" s="1536">
        <f t="shared" si="126"/>
        <v>0</v>
      </c>
      <c r="AU197" s="1536">
        <f t="shared" si="126"/>
        <v>0</v>
      </c>
      <c r="AV197" s="1536">
        <f t="shared" si="126"/>
        <v>0</v>
      </c>
      <c r="AW197" s="1733"/>
      <c r="AX197" s="2569"/>
      <c r="AY197" s="1770"/>
    </row>
    <row r="198" spans="12:51">
      <c r="S198" s="1256"/>
      <c r="T198" s="1200"/>
      <c r="AI198" s="2574"/>
      <c r="AJ198" s="1569" t="s">
        <v>1016</v>
      </c>
      <c r="AK198" s="1536">
        <f>IF($L$129,AK190,0)</f>
        <v>0</v>
      </c>
      <c r="AL198" s="1536">
        <f t="shared" ref="AL198:AV198" si="127">IF($L$129,AL190,0)</f>
        <v>0</v>
      </c>
      <c r="AM198" s="1536">
        <f t="shared" si="127"/>
        <v>0</v>
      </c>
      <c r="AN198" s="1536">
        <f t="shared" si="127"/>
        <v>0</v>
      </c>
      <c r="AO198" s="1536">
        <f t="shared" si="127"/>
        <v>0</v>
      </c>
      <c r="AP198" s="1536">
        <f t="shared" si="127"/>
        <v>0</v>
      </c>
      <c r="AQ198" s="1536">
        <f t="shared" si="127"/>
        <v>0</v>
      </c>
      <c r="AR198" s="1536">
        <f t="shared" si="127"/>
        <v>0</v>
      </c>
      <c r="AS198" s="1536">
        <f t="shared" si="127"/>
        <v>0</v>
      </c>
      <c r="AT198" s="1536">
        <f t="shared" si="127"/>
        <v>0</v>
      </c>
      <c r="AU198" s="1536">
        <f t="shared" si="127"/>
        <v>0</v>
      </c>
      <c r="AV198" s="1536">
        <f t="shared" si="127"/>
        <v>0</v>
      </c>
      <c r="AW198" s="1733"/>
      <c r="AX198" s="2569"/>
      <c r="AY198" s="1770"/>
    </row>
    <row r="199" spans="12:51">
      <c r="S199" s="1256"/>
      <c r="T199" s="1200"/>
      <c r="AI199" s="2574"/>
      <c r="AJ199" s="1569" t="s">
        <v>731</v>
      </c>
      <c r="AK199" s="1536">
        <f>IF($L$128,AK191,0)</f>
        <v>0</v>
      </c>
      <c r="AL199" s="1536">
        <f t="shared" ref="AL199:AV199" si="128">IF($L$128,AL191,0)</f>
        <v>0</v>
      </c>
      <c r="AM199" s="1536">
        <f t="shared" si="128"/>
        <v>0</v>
      </c>
      <c r="AN199" s="1536">
        <f t="shared" si="128"/>
        <v>0</v>
      </c>
      <c r="AO199" s="1536">
        <f t="shared" si="128"/>
        <v>0</v>
      </c>
      <c r="AP199" s="1536">
        <f t="shared" si="128"/>
        <v>0</v>
      </c>
      <c r="AQ199" s="1536">
        <f t="shared" si="128"/>
        <v>0</v>
      </c>
      <c r="AR199" s="1536">
        <f t="shared" si="128"/>
        <v>0</v>
      </c>
      <c r="AS199" s="1536">
        <f t="shared" si="128"/>
        <v>0</v>
      </c>
      <c r="AT199" s="1536">
        <f t="shared" si="128"/>
        <v>0</v>
      </c>
      <c r="AU199" s="1536">
        <f t="shared" si="128"/>
        <v>0</v>
      </c>
      <c r="AV199" s="1536">
        <f t="shared" si="128"/>
        <v>0</v>
      </c>
      <c r="AW199" s="1733"/>
      <c r="AX199" s="2569"/>
      <c r="AY199" s="1774"/>
    </row>
    <row r="200" spans="12:51">
      <c r="S200" s="1256"/>
      <c r="T200" s="1200"/>
      <c r="AI200" s="2574"/>
      <c r="AJ200" s="1569" t="s">
        <v>1081</v>
      </c>
      <c r="AK200" s="1536">
        <f>IF($L$130,AK192,0)</f>
        <v>0</v>
      </c>
      <c r="AL200" s="1536">
        <f t="shared" ref="AL200:AV200" si="129">IF($L$130,AL192,0)</f>
        <v>0</v>
      </c>
      <c r="AM200" s="1536">
        <f t="shared" si="129"/>
        <v>0</v>
      </c>
      <c r="AN200" s="1536">
        <f t="shared" si="129"/>
        <v>0</v>
      </c>
      <c r="AO200" s="1536">
        <f t="shared" si="129"/>
        <v>0</v>
      </c>
      <c r="AP200" s="1536">
        <f t="shared" si="129"/>
        <v>0</v>
      </c>
      <c r="AQ200" s="1536">
        <f t="shared" si="129"/>
        <v>0</v>
      </c>
      <c r="AR200" s="1536">
        <f t="shared" si="129"/>
        <v>0</v>
      </c>
      <c r="AS200" s="1536">
        <f t="shared" si="129"/>
        <v>0</v>
      </c>
      <c r="AT200" s="1536">
        <f t="shared" si="129"/>
        <v>0</v>
      </c>
      <c r="AU200" s="1536">
        <f t="shared" si="129"/>
        <v>0</v>
      </c>
      <c r="AV200" s="1536">
        <f t="shared" si="129"/>
        <v>0</v>
      </c>
      <c r="AW200" s="1733"/>
      <c r="AX200" s="2569"/>
      <c r="AY200" s="1770"/>
    </row>
    <row r="201" spans="12:51" ht="13.5" thickBot="1">
      <c r="S201" s="1256"/>
      <c r="T201" s="1200"/>
      <c r="AI201" s="2575"/>
      <c r="AJ201" s="1569" t="s">
        <v>109</v>
      </c>
      <c r="AK201" s="1538">
        <f>IF($M$130,AK193,0)</f>
        <v>0</v>
      </c>
      <c r="AL201" s="1538">
        <f t="shared" ref="AL201:AV201" si="130">IF($M$130,AL193,0)</f>
        <v>0</v>
      </c>
      <c r="AM201" s="1538">
        <f t="shared" si="130"/>
        <v>0</v>
      </c>
      <c r="AN201" s="1538">
        <f t="shared" si="130"/>
        <v>0</v>
      </c>
      <c r="AO201" s="1538">
        <f t="shared" si="130"/>
        <v>0</v>
      </c>
      <c r="AP201" s="1538">
        <f t="shared" si="130"/>
        <v>0</v>
      </c>
      <c r="AQ201" s="1538">
        <f t="shared" si="130"/>
        <v>0</v>
      </c>
      <c r="AR201" s="1538">
        <f t="shared" si="130"/>
        <v>0</v>
      </c>
      <c r="AS201" s="1538">
        <f t="shared" si="130"/>
        <v>0</v>
      </c>
      <c r="AT201" s="1538">
        <f t="shared" si="130"/>
        <v>0</v>
      </c>
      <c r="AU201" s="1538">
        <f t="shared" si="130"/>
        <v>0</v>
      </c>
      <c r="AV201" s="1538">
        <f t="shared" si="130"/>
        <v>0</v>
      </c>
      <c r="AW201" s="1733"/>
      <c r="AX201" s="2570"/>
      <c r="AY201" s="1770"/>
    </row>
    <row r="202" spans="12:51" ht="13.5" thickBot="1">
      <c r="S202" s="1256"/>
      <c r="T202" s="1200"/>
      <c r="AI202" s="2651" t="s">
        <v>1789</v>
      </c>
      <c r="AJ202" s="1532" t="s">
        <v>1079</v>
      </c>
      <c r="AK202" s="1577">
        <f>IF(SUM(AK$196:AK$201)=0,0,IF(AK$195*(AK196/(SUM(AK$196:AK$201)))&lt;AK182,AK$195*(AK196/(SUM(AK$196:AK$201))),AK182))</f>
        <v>0</v>
      </c>
      <c r="AL202" s="1577">
        <f t="shared" ref="AL202:AV202" si="131">IF(SUM(AL$196:AL$201)=0,0,IF(AL$195*(AL196/(SUM(AL$196:AL$201)))&lt;AL182,AL$195*(AL196/(SUM(AL$196:AL$201))),AL182))</f>
        <v>0</v>
      </c>
      <c r="AM202" s="1577">
        <f t="shared" si="131"/>
        <v>0</v>
      </c>
      <c r="AN202" s="1577">
        <f t="shared" si="131"/>
        <v>0</v>
      </c>
      <c r="AO202" s="1577">
        <f t="shared" si="131"/>
        <v>0</v>
      </c>
      <c r="AP202" s="1577">
        <f t="shared" si="131"/>
        <v>0</v>
      </c>
      <c r="AQ202" s="1577">
        <f t="shared" si="131"/>
        <v>0</v>
      </c>
      <c r="AR202" s="1577">
        <f t="shared" si="131"/>
        <v>0</v>
      </c>
      <c r="AS202" s="1577">
        <f t="shared" si="131"/>
        <v>0</v>
      </c>
      <c r="AT202" s="1577">
        <f t="shared" si="131"/>
        <v>0</v>
      </c>
      <c r="AU202" s="1577">
        <f t="shared" si="131"/>
        <v>0</v>
      </c>
      <c r="AV202" s="1577">
        <f t="shared" si="131"/>
        <v>0</v>
      </c>
      <c r="AW202" s="1733"/>
      <c r="AX202" s="1727">
        <f t="shared" ref="AX202:AX207" si="132">SUM(AK202:AV202)</f>
        <v>0</v>
      </c>
      <c r="AY202" s="1773" t="e">
        <f>AX202/($AX$74+$AX$75)</f>
        <v>#DIV/0!</v>
      </c>
    </row>
    <row r="203" spans="12:51" ht="26.25" thickBot="1">
      <c r="S203" s="1262"/>
      <c r="T203" s="1200"/>
      <c r="AI203" s="2651"/>
      <c r="AJ203" s="1532" t="s">
        <v>1080</v>
      </c>
      <c r="AK203" s="1577">
        <f t="shared" ref="AK203:AV207" si="133">IF(SUM(AK$196:AK$201)=0,0,IF(AK$195*(AK197/(SUM(AK$196:AK$201)))&lt;AK183,AK$195*(AK197/(SUM(AK$196:AK$201))),AK183))</f>
        <v>0</v>
      </c>
      <c r="AL203" s="1577">
        <f t="shared" si="133"/>
        <v>0</v>
      </c>
      <c r="AM203" s="1577">
        <f t="shared" si="133"/>
        <v>0</v>
      </c>
      <c r="AN203" s="1577">
        <f t="shared" si="133"/>
        <v>0</v>
      </c>
      <c r="AO203" s="1577">
        <f t="shared" si="133"/>
        <v>0</v>
      </c>
      <c r="AP203" s="1577">
        <f t="shared" si="133"/>
        <v>0</v>
      </c>
      <c r="AQ203" s="1577">
        <f t="shared" si="133"/>
        <v>0</v>
      </c>
      <c r="AR203" s="1577">
        <f t="shared" si="133"/>
        <v>0</v>
      </c>
      <c r="AS203" s="1577">
        <f t="shared" si="133"/>
        <v>0</v>
      </c>
      <c r="AT203" s="1577">
        <f t="shared" si="133"/>
        <v>0</v>
      </c>
      <c r="AU203" s="1577">
        <f t="shared" si="133"/>
        <v>0</v>
      </c>
      <c r="AV203" s="1577">
        <f t="shared" si="133"/>
        <v>0</v>
      </c>
      <c r="AW203" s="1733"/>
      <c r="AX203" s="1728">
        <f t="shared" si="132"/>
        <v>0</v>
      </c>
      <c r="AY203" s="1773" t="e">
        <f>AX203/($AX$76+$AX$77)</f>
        <v>#DIV/0!</v>
      </c>
    </row>
    <row r="204" spans="12:51" ht="13.5" thickBot="1">
      <c r="S204" s="1249"/>
      <c r="T204" s="1200"/>
      <c r="AI204" s="2651"/>
      <c r="AJ204" s="1569" t="s">
        <v>1016</v>
      </c>
      <c r="AK204" s="2131">
        <f t="shared" si="133"/>
        <v>0</v>
      </c>
      <c r="AL204" s="2131">
        <f t="shared" si="133"/>
        <v>0</v>
      </c>
      <c r="AM204" s="2131">
        <f t="shared" si="133"/>
        <v>0</v>
      </c>
      <c r="AN204" s="2131">
        <f t="shared" si="133"/>
        <v>0</v>
      </c>
      <c r="AO204" s="2131">
        <f t="shared" si="133"/>
        <v>0</v>
      </c>
      <c r="AP204" s="2131">
        <f t="shared" si="133"/>
        <v>0</v>
      </c>
      <c r="AQ204" s="2131">
        <f t="shared" si="133"/>
        <v>0</v>
      </c>
      <c r="AR204" s="2131">
        <f t="shared" si="133"/>
        <v>0</v>
      </c>
      <c r="AS204" s="2131">
        <f t="shared" si="133"/>
        <v>0</v>
      </c>
      <c r="AT204" s="2131">
        <f t="shared" si="133"/>
        <v>0</v>
      </c>
      <c r="AU204" s="2131">
        <f t="shared" si="133"/>
        <v>0</v>
      </c>
      <c r="AV204" s="2131">
        <f t="shared" si="133"/>
        <v>0</v>
      </c>
      <c r="AW204" s="1733"/>
      <c r="AX204" s="1729">
        <f t="shared" si="132"/>
        <v>0</v>
      </c>
      <c r="AY204" s="1576">
        <f>SUM(AX202:AX203)</f>
        <v>0</v>
      </c>
    </row>
    <row r="205" spans="12:51" ht="13.5" thickBot="1">
      <c r="L205" s="1263"/>
      <c r="M205" s="1263"/>
      <c r="N205" s="1263"/>
      <c r="O205" s="1263"/>
      <c r="P205" s="1264"/>
      <c r="Q205" s="1249"/>
      <c r="R205" s="1249"/>
      <c r="S205" s="1249"/>
      <c r="T205" s="1200"/>
      <c r="AI205" s="2651"/>
      <c r="AJ205" s="1569" t="s">
        <v>731</v>
      </c>
      <c r="AK205" s="2131">
        <f t="shared" si="133"/>
        <v>0</v>
      </c>
      <c r="AL205" s="2131">
        <f t="shared" si="133"/>
        <v>0</v>
      </c>
      <c r="AM205" s="2131">
        <f t="shared" si="133"/>
        <v>0</v>
      </c>
      <c r="AN205" s="2131">
        <f t="shared" si="133"/>
        <v>0</v>
      </c>
      <c r="AO205" s="2131">
        <f t="shared" si="133"/>
        <v>0</v>
      </c>
      <c r="AP205" s="2131">
        <f t="shared" si="133"/>
        <v>0</v>
      </c>
      <c r="AQ205" s="2131">
        <f t="shared" si="133"/>
        <v>0</v>
      </c>
      <c r="AR205" s="2131">
        <f t="shared" si="133"/>
        <v>0</v>
      </c>
      <c r="AS205" s="2131">
        <f t="shared" si="133"/>
        <v>0</v>
      </c>
      <c r="AT205" s="2131">
        <f t="shared" si="133"/>
        <v>0</v>
      </c>
      <c r="AU205" s="2131">
        <f t="shared" si="133"/>
        <v>0</v>
      </c>
      <c r="AV205" s="2131">
        <f t="shared" si="133"/>
        <v>0</v>
      </c>
      <c r="AW205" s="1733"/>
      <c r="AX205" s="1729">
        <f t="shared" si="132"/>
        <v>0</v>
      </c>
      <c r="AY205" s="1709"/>
    </row>
    <row r="206" spans="12:51" ht="13.5" thickBot="1">
      <c r="L206" s="1263"/>
      <c r="M206" s="1263"/>
      <c r="N206" s="1263"/>
      <c r="O206" s="1263"/>
      <c r="P206" s="1264"/>
      <c r="Q206" s="1249"/>
      <c r="R206" s="1249"/>
      <c r="S206" s="1249"/>
      <c r="T206" s="1200"/>
      <c r="AI206" s="2651"/>
      <c r="AJ206" s="1569" t="s">
        <v>1081</v>
      </c>
      <c r="AK206" s="2131">
        <f t="shared" si="133"/>
        <v>0</v>
      </c>
      <c r="AL206" s="2131">
        <f t="shared" si="133"/>
        <v>0</v>
      </c>
      <c r="AM206" s="2131">
        <f t="shared" si="133"/>
        <v>0</v>
      </c>
      <c r="AN206" s="2131">
        <f t="shared" si="133"/>
        <v>0</v>
      </c>
      <c r="AO206" s="2131">
        <f t="shared" si="133"/>
        <v>0</v>
      </c>
      <c r="AP206" s="2131">
        <f t="shared" si="133"/>
        <v>0</v>
      </c>
      <c r="AQ206" s="2131">
        <f t="shared" si="133"/>
        <v>0</v>
      </c>
      <c r="AR206" s="2131">
        <f t="shared" si="133"/>
        <v>0</v>
      </c>
      <c r="AS206" s="2131">
        <f t="shared" si="133"/>
        <v>0</v>
      </c>
      <c r="AT206" s="2131">
        <f t="shared" si="133"/>
        <v>0</v>
      </c>
      <c r="AU206" s="2131">
        <f t="shared" si="133"/>
        <v>0</v>
      </c>
      <c r="AV206" s="2131">
        <f t="shared" si="133"/>
        <v>0</v>
      </c>
      <c r="AW206" s="1733"/>
      <c r="AX206" s="1729">
        <f t="shared" si="132"/>
        <v>0</v>
      </c>
      <c r="AY206" s="1768"/>
    </row>
    <row r="207" spans="12:51" ht="13.5" thickBot="1">
      <c r="L207" s="1183"/>
      <c r="M207" s="1183"/>
      <c r="N207" s="1183"/>
      <c r="O207" s="1183"/>
      <c r="P207" s="1201"/>
      <c r="Q207" s="1201"/>
      <c r="R207" s="1201"/>
      <c r="S207" s="1201"/>
      <c r="T207" s="1201"/>
      <c r="AI207" s="2651"/>
      <c r="AJ207" s="1569" t="s">
        <v>109</v>
      </c>
      <c r="AK207" s="2131">
        <f t="shared" si="133"/>
        <v>0</v>
      </c>
      <c r="AL207" s="2131">
        <f t="shared" si="133"/>
        <v>0</v>
      </c>
      <c r="AM207" s="2131">
        <f t="shared" si="133"/>
        <v>0</v>
      </c>
      <c r="AN207" s="2131">
        <f t="shared" si="133"/>
        <v>0</v>
      </c>
      <c r="AO207" s="2131">
        <f t="shared" si="133"/>
        <v>0</v>
      </c>
      <c r="AP207" s="2131">
        <f t="shared" si="133"/>
        <v>0</v>
      </c>
      <c r="AQ207" s="2131">
        <f t="shared" si="133"/>
        <v>0</v>
      </c>
      <c r="AR207" s="2131">
        <f t="shared" si="133"/>
        <v>0</v>
      </c>
      <c r="AS207" s="2131">
        <f t="shared" si="133"/>
        <v>0</v>
      </c>
      <c r="AT207" s="2131">
        <f t="shared" si="133"/>
        <v>0</v>
      </c>
      <c r="AU207" s="2131">
        <f t="shared" si="133"/>
        <v>0</v>
      </c>
      <c r="AV207" s="2131">
        <f t="shared" si="133"/>
        <v>0</v>
      </c>
      <c r="AW207" s="1733"/>
      <c r="AX207" s="1730">
        <f t="shared" si="132"/>
        <v>0</v>
      </c>
      <c r="AY207" s="1614">
        <f>SUM(AX204:AX207)</f>
        <v>0</v>
      </c>
    </row>
    <row r="208" spans="12:51" ht="12.75" customHeight="1" thickBot="1">
      <c r="L208" s="1265"/>
      <c r="M208" s="1183"/>
      <c r="N208" s="1183"/>
      <c r="O208" s="1183"/>
      <c r="P208" s="1201"/>
      <c r="Q208" s="1201"/>
      <c r="R208" s="1201"/>
      <c r="S208" s="1201"/>
      <c r="T208" s="1201"/>
      <c r="AI208" s="1492"/>
      <c r="AJ208" s="1492"/>
      <c r="AK208" s="1549"/>
      <c r="AL208" s="1549"/>
      <c r="AM208" s="1549"/>
      <c r="AN208" s="1549"/>
      <c r="AO208" s="1549"/>
      <c r="AP208" s="1549"/>
      <c r="AQ208" s="1549"/>
      <c r="AR208" s="1549"/>
      <c r="AS208" s="1549"/>
      <c r="AT208" s="1549"/>
      <c r="AU208" s="1549"/>
      <c r="AV208" s="1721"/>
      <c r="AW208" s="1733"/>
      <c r="AX208" s="1731"/>
      <c r="AY208" s="1181"/>
    </row>
    <row r="209" spans="5:51" ht="25.5" customHeight="1">
      <c r="Q209" s="1201"/>
      <c r="R209" s="1201"/>
      <c r="S209" s="1201"/>
      <c r="T209" s="1201"/>
      <c r="AI209" s="2573" t="s">
        <v>1788</v>
      </c>
      <c r="AJ209" s="1532" t="s">
        <v>1079</v>
      </c>
      <c r="AK209" s="1577">
        <f t="shared" ref="AK209:AV214" si="134">AK181-AK202</f>
        <v>0</v>
      </c>
      <c r="AL209" s="1578">
        <f t="shared" si="134"/>
        <v>0</v>
      </c>
      <c r="AM209" s="1578">
        <f t="shared" si="134"/>
        <v>0</v>
      </c>
      <c r="AN209" s="1578">
        <f t="shared" si="134"/>
        <v>0</v>
      </c>
      <c r="AO209" s="1578">
        <f t="shared" si="134"/>
        <v>0</v>
      </c>
      <c r="AP209" s="1578">
        <f t="shared" si="134"/>
        <v>0</v>
      </c>
      <c r="AQ209" s="1578">
        <f t="shared" si="134"/>
        <v>0</v>
      </c>
      <c r="AR209" s="1578">
        <f t="shared" si="134"/>
        <v>0</v>
      </c>
      <c r="AS209" s="1578">
        <f t="shared" si="134"/>
        <v>0</v>
      </c>
      <c r="AT209" s="1578">
        <f t="shared" si="134"/>
        <v>0</v>
      </c>
      <c r="AU209" s="1578">
        <f t="shared" si="134"/>
        <v>0</v>
      </c>
      <c r="AV209" s="1717">
        <f t="shared" si="134"/>
        <v>0</v>
      </c>
      <c r="AW209" s="1733"/>
      <c r="AX209" s="1727">
        <f t="shared" ref="AX209:AX214" si="135">SUM(AK209:AV209)</f>
        <v>0</v>
      </c>
      <c r="AY209" s="1773" t="e">
        <f>AX209/($AX$74+$AX$75)</f>
        <v>#DIV/0!</v>
      </c>
    </row>
    <row r="210" spans="5:51" ht="26.25" thickBot="1">
      <c r="Q210" s="1201"/>
      <c r="R210" s="1201"/>
      <c r="S210" s="1201"/>
      <c r="T210" s="1201"/>
      <c r="AI210" s="2574"/>
      <c r="AJ210" s="1532" t="s">
        <v>1080</v>
      </c>
      <c r="AK210" s="1580" t="e">
        <f t="shared" si="134"/>
        <v>#DIV/0!</v>
      </c>
      <c r="AL210" s="1581" t="e">
        <f t="shared" si="134"/>
        <v>#DIV/0!</v>
      </c>
      <c r="AM210" s="1581" t="e">
        <f t="shared" si="134"/>
        <v>#DIV/0!</v>
      </c>
      <c r="AN210" s="1581" t="e">
        <f t="shared" si="134"/>
        <v>#DIV/0!</v>
      </c>
      <c r="AO210" s="1581" t="e">
        <f t="shared" si="134"/>
        <v>#DIV/0!</v>
      </c>
      <c r="AP210" s="1581" t="e">
        <f t="shared" si="134"/>
        <v>#DIV/0!</v>
      </c>
      <c r="AQ210" s="1581" t="e">
        <f t="shared" si="134"/>
        <v>#DIV/0!</v>
      </c>
      <c r="AR210" s="1581" t="e">
        <f t="shared" si="134"/>
        <v>#DIV/0!</v>
      </c>
      <c r="AS210" s="1581" t="e">
        <f t="shared" si="134"/>
        <v>#DIV/0!</v>
      </c>
      <c r="AT210" s="1581" t="e">
        <f t="shared" si="134"/>
        <v>#DIV/0!</v>
      </c>
      <c r="AU210" s="1581" t="e">
        <f t="shared" si="134"/>
        <v>#DIV/0!</v>
      </c>
      <c r="AV210" s="1718" t="e">
        <f t="shared" si="134"/>
        <v>#DIV/0!</v>
      </c>
      <c r="AW210" s="1733"/>
      <c r="AX210" s="1728" t="e">
        <f t="shared" si="135"/>
        <v>#DIV/0!</v>
      </c>
      <c r="AY210" s="1773" t="e">
        <f>AX210/($AX$76+$AX$77)</f>
        <v>#DIV/0!</v>
      </c>
    </row>
    <row r="211" spans="5:51" ht="13.5" thickBot="1">
      <c r="Q211" s="1201"/>
      <c r="R211" s="1201"/>
      <c r="S211" s="1201"/>
      <c r="T211" s="1201"/>
      <c r="AI211" s="2574"/>
      <c r="AJ211" s="1569" t="s">
        <v>1016</v>
      </c>
      <c r="AK211" s="1589" t="e">
        <f t="shared" si="134"/>
        <v>#DIV/0!</v>
      </c>
      <c r="AL211" s="1590" t="e">
        <f t="shared" si="134"/>
        <v>#DIV/0!</v>
      </c>
      <c r="AM211" s="1590" t="e">
        <f t="shared" si="134"/>
        <v>#DIV/0!</v>
      </c>
      <c r="AN211" s="1590" t="e">
        <f t="shared" si="134"/>
        <v>#DIV/0!</v>
      </c>
      <c r="AO211" s="1590" t="e">
        <f t="shared" si="134"/>
        <v>#DIV/0!</v>
      </c>
      <c r="AP211" s="1590" t="e">
        <f t="shared" si="134"/>
        <v>#DIV/0!</v>
      </c>
      <c r="AQ211" s="1590" t="e">
        <f t="shared" si="134"/>
        <v>#DIV/0!</v>
      </c>
      <c r="AR211" s="1590" t="e">
        <f t="shared" si="134"/>
        <v>#DIV/0!</v>
      </c>
      <c r="AS211" s="1590" t="e">
        <f t="shared" si="134"/>
        <v>#DIV/0!</v>
      </c>
      <c r="AT211" s="1590" t="e">
        <f t="shared" si="134"/>
        <v>#DIV/0!</v>
      </c>
      <c r="AU211" s="1590" t="e">
        <f t="shared" si="134"/>
        <v>#DIV/0!</v>
      </c>
      <c r="AV211" s="1722" t="e">
        <f t="shared" si="134"/>
        <v>#DIV/0!</v>
      </c>
      <c r="AW211" s="1734"/>
      <c r="AX211" s="1729" t="e">
        <f t="shared" si="135"/>
        <v>#DIV/0!</v>
      </c>
      <c r="AY211" s="1615" t="e">
        <f>SUM(AX209:AX210)</f>
        <v>#DIV/0!</v>
      </c>
    </row>
    <row r="212" spans="5:51">
      <c r="Q212" s="1201"/>
      <c r="R212" s="1201"/>
      <c r="S212" s="1201"/>
      <c r="T212" s="1201"/>
      <c r="AI212" s="2574"/>
      <c r="AJ212" s="1569" t="s">
        <v>731</v>
      </c>
      <c r="AK212" s="1583" t="e">
        <f t="shared" si="134"/>
        <v>#DIV/0!</v>
      </c>
      <c r="AL212" s="1584" t="e">
        <f t="shared" si="134"/>
        <v>#DIV/0!</v>
      </c>
      <c r="AM212" s="1584" t="e">
        <f t="shared" si="134"/>
        <v>#DIV/0!</v>
      </c>
      <c r="AN212" s="1584" t="e">
        <f t="shared" si="134"/>
        <v>#DIV/0!</v>
      </c>
      <c r="AO212" s="1584" t="e">
        <f t="shared" si="134"/>
        <v>#DIV/0!</v>
      </c>
      <c r="AP212" s="1584" t="e">
        <f t="shared" si="134"/>
        <v>#DIV/0!</v>
      </c>
      <c r="AQ212" s="1584" t="e">
        <f t="shared" si="134"/>
        <v>#DIV/0!</v>
      </c>
      <c r="AR212" s="1584" t="e">
        <f t="shared" si="134"/>
        <v>#DIV/0!</v>
      </c>
      <c r="AS212" s="1584" t="e">
        <f t="shared" si="134"/>
        <v>#DIV/0!</v>
      </c>
      <c r="AT212" s="1584" t="e">
        <f t="shared" si="134"/>
        <v>#DIV/0!</v>
      </c>
      <c r="AU212" s="1584" t="e">
        <f t="shared" si="134"/>
        <v>#DIV/0!</v>
      </c>
      <c r="AV212" s="1719" t="e">
        <f t="shared" si="134"/>
        <v>#DIV/0!</v>
      </c>
      <c r="AW212" s="1733"/>
      <c r="AX212" s="1729" t="e">
        <f t="shared" si="135"/>
        <v>#DIV/0!</v>
      </c>
      <c r="AY212" s="1770"/>
    </row>
    <row r="213" spans="5:51" ht="13.5" thickBot="1">
      <c r="Q213" s="1201"/>
      <c r="R213" s="1201"/>
      <c r="S213" s="1201"/>
      <c r="T213" s="1201"/>
      <c r="AI213" s="2574"/>
      <c r="AJ213" s="1569" t="s">
        <v>1081</v>
      </c>
      <c r="AK213" s="1583" t="e">
        <f t="shared" si="134"/>
        <v>#DIV/0!</v>
      </c>
      <c r="AL213" s="1584" t="e">
        <f t="shared" si="134"/>
        <v>#DIV/0!</v>
      </c>
      <c r="AM213" s="1584" t="e">
        <f t="shared" si="134"/>
        <v>#DIV/0!</v>
      </c>
      <c r="AN213" s="1584" t="e">
        <f t="shared" si="134"/>
        <v>#DIV/0!</v>
      </c>
      <c r="AO213" s="1584" t="e">
        <f t="shared" si="134"/>
        <v>#DIV/0!</v>
      </c>
      <c r="AP213" s="1584" t="e">
        <f t="shared" si="134"/>
        <v>#DIV/0!</v>
      </c>
      <c r="AQ213" s="1584" t="e">
        <f t="shared" si="134"/>
        <v>#DIV/0!</v>
      </c>
      <c r="AR213" s="1584" t="e">
        <f t="shared" si="134"/>
        <v>#DIV/0!</v>
      </c>
      <c r="AS213" s="1584" t="e">
        <f t="shared" si="134"/>
        <v>#DIV/0!</v>
      </c>
      <c r="AT213" s="1584" t="e">
        <f t="shared" si="134"/>
        <v>#DIV/0!</v>
      </c>
      <c r="AU213" s="1584" t="e">
        <f t="shared" si="134"/>
        <v>#DIV/0!</v>
      </c>
      <c r="AV213" s="1719" t="e">
        <f t="shared" si="134"/>
        <v>#DIV/0!</v>
      </c>
      <c r="AW213" s="1733"/>
      <c r="AX213" s="1729" t="e">
        <f t="shared" si="135"/>
        <v>#DIV/0!</v>
      </c>
      <c r="AY213" s="1770"/>
    </row>
    <row r="214" spans="5:51" ht="13.5" thickBot="1">
      <c r="Q214" s="1201"/>
      <c r="R214" s="1201"/>
      <c r="S214" s="1201"/>
      <c r="T214" s="1201"/>
      <c r="AI214" s="2575"/>
      <c r="AJ214" s="1569" t="s">
        <v>109</v>
      </c>
      <c r="AK214" s="1586" t="e">
        <f t="shared" si="134"/>
        <v>#DIV/0!</v>
      </c>
      <c r="AL214" s="1587" t="e">
        <f t="shared" si="134"/>
        <v>#DIV/0!</v>
      </c>
      <c r="AM214" s="1587" t="e">
        <f t="shared" si="134"/>
        <v>#DIV/0!</v>
      </c>
      <c r="AN214" s="1587" t="e">
        <f t="shared" si="134"/>
        <v>#DIV/0!</v>
      </c>
      <c r="AO214" s="1587" t="e">
        <f t="shared" si="134"/>
        <v>#DIV/0!</v>
      </c>
      <c r="AP214" s="1587" t="e">
        <f t="shared" si="134"/>
        <v>#DIV/0!</v>
      </c>
      <c r="AQ214" s="1587" t="e">
        <f t="shared" si="134"/>
        <v>#DIV/0!</v>
      </c>
      <c r="AR214" s="1587" t="e">
        <f t="shared" si="134"/>
        <v>#DIV/0!</v>
      </c>
      <c r="AS214" s="1587" t="e">
        <f t="shared" si="134"/>
        <v>#DIV/0!</v>
      </c>
      <c r="AT214" s="1587" t="e">
        <f t="shared" si="134"/>
        <v>#DIV/0!</v>
      </c>
      <c r="AU214" s="1587" t="e">
        <f t="shared" si="134"/>
        <v>#DIV/0!</v>
      </c>
      <c r="AV214" s="1720" t="e">
        <f t="shared" si="134"/>
        <v>#DIV/0!</v>
      </c>
      <c r="AW214" s="1733"/>
      <c r="AX214" s="1730" t="e">
        <f t="shared" si="135"/>
        <v>#DIV/0!</v>
      </c>
      <c r="AY214" s="1614" t="e">
        <f>SUM(AX211:AX214)</f>
        <v>#DIV/0!</v>
      </c>
    </row>
    <row r="215" spans="5:51">
      <c r="Q215" s="1201"/>
      <c r="R215" s="1201"/>
      <c r="S215" s="1201"/>
      <c r="T215" s="1201"/>
    </row>
    <row r="216" spans="5:51" s="697" customFormat="1">
      <c r="E216" s="695"/>
      <c r="F216" s="695"/>
      <c r="G216" s="695"/>
      <c r="H216" s="695"/>
      <c r="I216" s="695"/>
      <c r="J216" s="696"/>
      <c r="K216" s="696"/>
      <c r="L216" s="1279"/>
      <c r="M216" s="1279"/>
      <c r="N216" s="1279"/>
      <c r="O216" s="1279"/>
      <c r="P216" s="1279"/>
      <c r="Q216" s="1278"/>
      <c r="R216" s="1278"/>
      <c r="S216" s="1278"/>
      <c r="T216" s="1278"/>
      <c r="U216" s="1279"/>
      <c r="V216" s="1279"/>
      <c r="W216" s="1279"/>
      <c r="X216" s="1279"/>
      <c r="Y216" s="1279"/>
      <c r="Z216" s="1279"/>
      <c r="AA216" s="1279"/>
      <c r="AB216" s="1279"/>
      <c r="AC216" s="1279"/>
      <c r="AD216" s="1279"/>
      <c r="AE216" s="1279"/>
      <c r="AF216" s="1279"/>
      <c r="AG216" s="1279"/>
    </row>
    <row r="217" spans="5:51">
      <c r="Q217" s="1201"/>
      <c r="R217" s="1201"/>
      <c r="S217" s="1201"/>
      <c r="T217" s="1201"/>
    </row>
    <row r="218" spans="5:51">
      <c r="Q218" s="1201"/>
      <c r="R218" s="1201"/>
      <c r="S218" s="1201"/>
      <c r="T218" s="1201"/>
    </row>
    <row r="219" spans="5:51" ht="27" customHeight="1">
      <c r="Q219" s="1201"/>
      <c r="R219" s="1201"/>
      <c r="S219" s="1201"/>
      <c r="T219" s="1201"/>
    </row>
    <row r="220" spans="5:51" ht="30" customHeight="1">
      <c r="Q220" s="1201"/>
      <c r="R220" s="1201"/>
      <c r="S220" s="1201"/>
      <c r="T220" s="1201"/>
    </row>
    <row r="221" spans="5:51">
      <c r="L221" s="1179"/>
      <c r="M221" s="1183"/>
      <c r="N221" s="1183"/>
      <c r="O221" s="1183"/>
      <c r="P221" s="1201"/>
      <c r="Q221" s="1201"/>
      <c r="R221" s="1201"/>
      <c r="S221" s="1201"/>
      <c r="T221" s="1201"/>
    </row>
    <row r="222" spans="5:51">
      <c r="L222" s="1179"/>
      <c r="M222" s="1183"/>
      <c r="N222" s="1183"/>
      <c r="O222" s="1183"/>
      <c r="P222" s="1201"/>
      <c r="Q222" s="1201"/>
      <c r="R222" s="1201"/>
      <c r="S222" s="1201"/>
      <c r="T222" s="1201"/>
    </row>
    <row r="223" spans="5:51">
      <c r="L223" s="1179"/>
      <c r="M223" s="1183"/>
      <c r="N223" s="1183"/>
      <c r="O223" s="1183"/>
      <c r="P223" s="1201"/>
      <c r="Q223" s="1201"/>
      <c r="R223" s="1201"/>
      <c r="S223" s="1201"/>
      <c r="T223" s="1201"/>
    </row>
    <row r="224" spans="5:51">
      <c r="J224" s="683"/>
      <c r="K224" s="683"/>
      <c r="L224" s="1246"/>
      <c r="M224" s="1246"/>
      <c r="N224" s="1246"/>
      <c r="O224" s="1246"/>
      <c r="P224" s="1247"/>
      <c r="Q224" s="1247"/>
      <c r="R224" s="1201"/>
      <c r="S224" s="1201"/>
      <c r="T224" s="1201"/>
    </row>
    <row r="225" spans="10:20">
      <c r="J225" s="683"/>
      <c r="K225" s="683"/>
      <c r="L225" s="1284"/>
      <c r="M225" s="1246"/>
      <c r="N225" s="1246"/>
      <c r="O225" s="1246"/>
      <c r="P225" s="1247"/>
      <c r="Q225" s="1247"/>
      <c r="R225" s="1201"/>
      <c r="S225" s="1201"/>
      <c r="T225" s="1201"/>
    </row>
    <row r="226" spans="10:20">
      <c r="J226" s="683"/>
      <c r="K226" s="683"/>
      <c r="L226" s="2407"/>
      <c r="M226" s="2407"/>
      <c r="N226" s="1246"/>
      <c r="O226" s="1246"/>
      <c r="P226" s="1247"/>
      <c r="Q226" s="1247"/>
      <c r="R226" s="1201"/>
      <c r="S226" s="1201"/>
      <c r="T226" s="1201"/>
    </row>
    <row r="227" spans="10:20">
      <c r="J227" s="683"/>
      <c r="K227" s="683"/>
      <c r="L227" s="1285"/>
      <c r="M227" s="1213"/>
      <c r="N227" s="1199"/>
      <c r="O227" s="1246"/>
      <c r="P227" s="1247"/>
      <c r="Q227" s="1247"/>
      <c r="R227" s="1201"/>
      <c r="S227" s="1201"/>
      <c r="T227" s="1201"/>
    </row>
    <row r="228" spans="10:20">
      <c r="J228" s="683"/>
      <c r="K228" s="683"/>
      <c r="L228" s="1285"/>
      <c r="M228" s="1213"/>
      <c r="N228" s="1271"/>
      <c r="O228" s="1246"/>
      <c r="P228" s="1247"/>
      <c r="Q228" s="1247"/>
      <c r="R228" s="1201"/>
      <c r="S228" s="1201"/>
      <c r="T228" s="1201"/>
    </row>
    <row r="229" spans="10:20">
      <c r="J229" s="683"/>
      <c r="K229" s="683"/>
      <c r="L229" s="1285"/>
      <c r="M229" s="1213"/>
      <c r="N229" s="1271"/>
      <c r="O229" s="1246"/>
      <c r="P229" s="1247"/>
      <c r="Q229" s="1247"/>
      <c r="R229" s="1201"/>
      <c r="S229" s="1201"/>
      <c r="T229" s="1201"/>
    </row>
    <row r="230" spans="10:20">
      <c r="J230" s="683"/>
      <c r="K230" s="683"/>
      <c r="L230" s="1285"/>
      <c r="M230" s="1213"/>
      <c r="N230" s="1271"/>
      <c r="O230" s="1246"/>
      <c r="P230" s="1247"/>
      <c r="Q230" s="1247"/>
      <c r="R230" s="1201"/>
      <c r="S230" s="1201"/>
      <c r="T230" s="1201"/>
    </row>
    <row r="231" spans="10:20">
      <c r="J231" s="683"/>
      <c r="K231" s="683"/>
      <c r="L231" s="1285"/>
      <c r="M231" s="1214"/>
      <c r="N231" s="1273"/>
      <c r="O231" s="1246"/>
      <c r="P231" s="1247"/>
      <c r="Q231" s="1247"/>
      <c r="R231" s="1201"/>
      <c r="S231" s="1201"/>
      <c r="T231" s="1201"/>
    </row>
    <row r="232" spans="10:20">
      <c r="J232" s="683"/>
      <c r="K232" s="683"/>
      <c r="L232" s="1284"/>
      <c r="M232" s="1199"/>
      <c r="N232" s="1246"/>
      <c r="O232" s="1246"/>
      <c r="P232" s="1247"/>
      <c r="Q232" s="1247"/>
      <c r="R232" s="1201"/>
      <c r="S232" s="1201"/>
      <c r="T232" s="1201"/>
    </row>
    <row r="233" spans="10:20">
      <c r="J233" s="698"/>
      <c r="K233" s="698"/>
      <c r="L233" s="1286"/>
      <c r="M233" s="1287"/>
      <c r="N233" s="1287"/>
      <c r="O233" s="1288"/>
      <c r="P233" s="1289"/>
      <c r="Q233" s="1247"/>
      <c r="R233" s="1201"/>
      <c r="S233" s="1201"/>
      <c r="T233" s="1201"/>
    </row>
    <row r="234" spans="10:20">
      <c r="J234" s="683"/>
      <c r="K234" s="683"/>
      <c r="L234" s="1290"/>
      <c r="M234" s="2408"/>
      <c r="N234" s="2409"/>
      <c r="O234" s="2406"/>
      <c r="P234" s="2406"/>
      <c r="Q234" s="1247"/>
      <c r="R234" s="1201"/>
      <c r="S234" s="1201"/>
      <c r="T234" s="1201"/>
    </row>
    <row r="235" spans="10:20">
      <c r="J235" s="683"/>
      <c r="K235" s="683"/>
      <c r="L235" s="1290"/>
      <c r="M235" s="2408"/>
      <c r="N235" s="2409"/>
      <c r="O235" s="2406"/>
      <c r="P235" s="2406"/>
      <c r="Q235" s="1247"/>
      <c r="R235" s="1201"/>
      <c r="S235" s="1201"/>
      <c r="T235" s="1201"/>
    </row>
    <row r="236" spans="10:20">
      <c r="J236" s="683"/>
      <c r="K236" s="683"/>
      <c r="L236" s="1199"/>
      <c r="M236" s="1271"/>
      <c r="N236" s="1291"/>
      <c r="O236" s="1271"/>
      <c r="P236" s="1271"/>
      <c r="Q236" s="1247"/>
      <c r="R236" s="1201"/>
      <c r="S236" s="1201"/>
      <c r="T236" s="1201"/>
    </row>
    <row r="237" spans="10:20">
      <c r="J237" s="683"/>
      <c r="K237" s="683"/>
      <c r="L237" s="1199"/>
      <c r="M237" s="1271"/>
      <c r="N237" s="1292"/>
      <c r="O237" s="1293"/>
      <c r="P237" s="1293"/>
      <c r="Q237" s="1247"/>
      <c r="R237" s="1201"/>
      <c r="S237" s="1201"/>
      <c r="T237" s="1201"/>
    </row>
    <row r="238" spans="10:20">
      <c r="J238" s="683"/>
      <c r="K238" s="683"/>
      <c r="L238" s="1199"/>
      <c r="M238" s="1246"/>
      <c r="N238" s="1246"/>
      <c r="O238" s="1246"/>
      <c r="P238" s="1247"/>
      <c r="Q238" s="1247"/>
      <c r="R238" s="1201"/>
      <c r="S238" s="1201"/>
      <c r="T238" s="1201"/>
    </row>
    <row r="239" spans="10:20">
      <c r="L239" s="1179"/>
      <c r="M239" s="1183"/>
      <c r="N239" s="1183"/>
      <c r="O239" s="1183"/>
      <c r="P239" s="1201"/>
      <c r="Q239" s="1201"/>
      <c r="R239" s="1201"/>
      <c r="S239" s="1201"/>
      <c r="T239" s="1201"/>
    </row>
    <row r="240" spans="10:20">
      <c r="L240" s="1179"/>
      <c r="M240" s="1183"/>
      <c r="N240" s="1183"/>
      <c r="O240" s="1183"/>
      <c r="P240" s="1201"/>
      <c r="Q240" s="1201"/>
      <c r="R240" s="1201"/>
      <c r="S240" s="1201"/>
      <c r="T240" s="1201"/>
    </row>
    <row r="241" spans="12:20">
      <c r="L241" s="1179"/>
      <c r="M241" s="1183"/>
      <c r="N241" s="1183"/>
      <c r="O241" s="1183"/>
      <c r="P241" s="1201"/>
      <c r="Q241" s="1201"/>
      <c r="R241" s="1201"/>
      <c r="S241" s="1201"/>
      <c r="T241" s="1201"/>
    </row>
    <row r="242" spans="12:20">
      <c r="L242" s="1179"/>
      <c r="M242" s="1183"/>
      <c r="N242" s="1183"/>
      <c r="O242" s="1183"/>
      <c r="P242" s="1201"/>
      <c r="Q242" s="1201"/>
      <c r="R242" s="1201"/>
      <c r="S242" s="1201"/>
      <c r="T242" s="1201"/>
    </row>
    <row r="243" spans="12:20">
      <c r="L243" s="1179"/>
      <c r="M243" s="1183"/>
      <c r="N243" s="1183"/>
      <c r="O243" s="1183"/>
      <c r="P243" s="1201"/>
      <c r="Q243" s="1201"/>
      <c r="R243" s="1201"/>
      <c r="S243" s="1201"/>
      <c r="T243" s="1201"/>
    </row>
    <row r="244" spans="12:20">
      <c r="L244" s="1179"/>
      <c r="M244" s="1183"/>
      <c r="N244" s="1183"/>
      <c r="O244" s="1183"/>
      <c r="P244" s="1201"/>
      <c r="Q244" s="1201"/>
      <c r="R244" s="1201"/>
      <c r="S244" s="1201"/>
      <c r="T244" s="1201"/>
    </row>
    <row r="245" spans="12:20">
      <c r="L245" s="1179"/>
      <c r="M245" s="1183"/>
      <c r="N245" s="1183"/>
      <c r="O245" s="1183"/>
      <c r="P245" s="1201"/>
      <c r="Q245" s="1201"/>
      <c r="R245" s="1201"/>
      <c r="S245" s="1201"/>
      <c r="T245" s="1201"/>
    </row>
    <row r="246" spans="12:20">
      <c r="L246" s="1179"/>
      <c r="M246" s="1183"/>
      <c r="N246" s="1183"/>
      <c r="O246" s="1183"/>
      <c r="P246" s="1201"/>
      <c r="Q246" s="1201"/>
      <c r="R246" s="1201"/>
      <c r="S246" s="1201"/>
      <c r="T246" s="1201"/>
    </row>
    <row r="247" spans="12:20">
      <c r="L247" s="1179"/>
      <c r="M247" s="1183"/>
      <c r="N247" s="1183"/>
      <c r="O247" s="1183"/>
      <c r="P247" s="1201"/>
      <c r="Q247" s="1201"/>
      <c r="R247" s="1201"/>
      <c r="S247" s="1201"/>
      <c r="T247" s="1201"/>
    </row>
    <row r="248" spans="12:20">
      <c r="L248" s="1179"/>
      <c r="M248" s="1183"/>
      <c r="N248" s="1183"/>
      <c r="O248" s="1183"/>
      <c r="P248" s="1201"/>
      <c r="Q248" s="1201"/>
      <c r="R248" s="1201"/>
      <c r="S248" s="1201"/>
      <c r="T248" s="1201"/>
    </row>
    <row r="249" spans="12:20">
      <c r="L249" s="1179"/>
      <c r="M249" s="1183"/>
      <c r="N249" s="1183"/>
      <c r="O249" s="1183"/>
      <c r="P249" s="1201"/>
      <c r="Q249" s="1201"/>
      <c r="R249" s="1201"/>
      <c r="S249" s="1201"/>
      <c r="T249" s="1201"/>
    </row>
    <row r="250" spans="12:20">
      <c r="L250" s="1179"/>
      <c r="M250" s="1183"/>
      <c r="N250" s="1183"/>
      <c r="O250" s="1183"/>
      <c r="P250" s="1201"/>
      <c r="Q250" s="1201"/>
      <c r="R250" s="1201"/>
      <c r="S250" s="1201"/>
      <c r="T250" s="1201"/>
    </row>
    <row r="251" spans="12:20">
      <c r="L251" s="1179"/>
      <c r="M251" s="1183"/>
      <c r="N251" s="1183"/>
      <c r="O251" s="1183"/>
      <c r="P251" s="1201"/>
      <c r="Q251" s="1201"/>
      <c r="R251" s="1201"/>
      <c r="S251" s="1201"/>
      <c r="T251" s="1201"/>
    </row>
    <row r="252" spans="12:20">
      <c r="L252" s="1179"/>
      <c r="M252" s="1183"/>
      <c r="N252" s="1183"/>
      <c r="O252" s="1183"/>
      <c r="P252" s="1201"/>
      <c r="Q252" s="1201"/>
      <c r="R252" s="1201"/>
      <c r="S252" s="1201"/>
      <c r="T252" s="1201"/>
    </row>
    <row r="253" spans="12:20">
      <c r="L253" s="1179"/>
      <c r="M253" s="1183"/>
      <c r="N253" s="1183"/>
      <c r="O253" s="1183"/>
      <c r="P253" s="1201"/>
      <c r="Q253" s="1201"/>
      <c r="R253" s="1201"/>
      <c r="S253" s="1201"/>
      <c r="T253" s="1201"/>
    </row>
    <row r="254" spans="12:20">
      <c r="L254" s="1179"/>
      <c r="M254" s="1183"/>
      <c r="N254" s="1183"/>
      <c r="O254" s="1183"/>
      <c r="P254" s="1201"/>
      <c r="Q254" s="1201"/>
      <c r="R254" s="1201"/>
      <c r="S254" s="1201"/>
      <c r="T254" s="1201"/>
    </row>
    <row r="255" spans="12:20">
      <c r="L255" s="1179"/>
      <c r="M255" s="1183"/>
      <c r="N255" s="1183"/>
      <c r="O255" s="1183"/>
      <c r="P255" s="1201"/>
      <c r="Q255" s="1201"/>
      <c r="R255" s="1201"/>
      <c r="S255" s="1201"/>
      <c r="T255" s="1201"/>
    </row>
    <row r="256" spans="12:20">
      <c r="L256" s="1179"/>
      <c r="M256" s="1183"/>
      <c r="N256" s="1183"/>
      <c r="O256" s="1183"/>
      <c r="P256" s="1201"/>
      <c r="Q256" s="1201"/>
      <c r="R256" s="1201"/>
      <c r="S256" s="1201"/>
      <c r="T256" s="1201"/>
    </row>
    <row r="257" spans="12:20">
      <c r="L257" s="1179"/>
      <c r="M257" s="1183"/>
      <c r="N257" s="1183"/>
      <c r="O257" s="1183"/>
      <c r="P257" s="1201"/>
      <c r="Q257" s="1201"/>
      <c r="R257" s="1201"/>
      <c r="S257" s="1201"/>
      <c r="T257" s="1201"/>
    </row>
    <row r="258" spans="12:20">
      <c r="L258" s="1179"/>
      <c r="M258" s="1183"/>
      <c r="N258" s="1183"/>
      <c r="O258" s="1183"/>
      <c r="P258" s="1201"/>
      <c r="Q258" s="1201"/>
      <c r="R258" s="1201"/>
      <c r="S258" s="1201"/>
      <c r="T258" s="1201"/>
    </row>
    <row r="259" spans="12:20">
      <c r="L259" s="1179"/>
      <c r="M259" s="1183"/>
      <c r="N259" s="1183"/>
      <c r="O259" s="1183"/>
      <c r="P259" s="1201"/>
      <c r="Q259" s="1201"/>
      <c r="R259" s="1201"/>
      <c r="S259" s="1201"/>
      <c r="T259" s="1201"/>
    </row>
    <row r="260" spans="12:20">
      <c r="L260" s="1179"/>
      <c r="M260" s="1183"/>
      <c r="N260" s="1183"/>
      <c r="O260" s="1183"/>
      <c r="P260" s="1201"/>
      <c r="Q260" s="1201"/>
      <c r="R260" s="1201"/>
      <c r="S260" s="1201"/>
      <c r="T260" s="1201"/>
    </row>
    <row r="261" spans="12:20">
      <c r="L261" s="1179"/>
      <c r="M261" s="1183"/>
      <c r="N261" s="1183"/>
      <c r="O261" s="1183"/>
      <c r="P261" s="1201"/>
      <c r="Q261" s="1201"/>
      <c r="R261" s="1201"/>
      <c r="S261" s="1201"/>
      <c r="T261" s="1201"/>
    </row>
    <row r="262" spans="12:20">
      <c r="L262" s="1179"/>
      <c r="M262" s="1183"/>
      <c r="N262" s="1183"/>
      <c r="O262" s="1183"/>
      <c r="P262" s="1201"/>
      <c r="Q262" s="1201"/>
      <c r="R262" s="1201"/>
      <c r="S262" s="1201"/>
      <c r="T262" s="1201"/>
    </row>
    <row r="263" spans="12:20">
      <c r="L263" s="1179"/>
      <c r="M263" s="1183"/>
      <c r="N263" s="1183"/>
      <c r="O263" s="1183"/>
      <c r="P263" s="1201"/>
      <c r="Q263" s="1201"/>
      <c r="R263" s="1201"/>
      <c r="S263" s="1201"/>
      <c r="T263" s="1201"/>
    </row>
    <row r="264" spans="12:20">
      <c r="L264" s="1179"/>
      <c r="M264" s="1183"/>
      <c r="N264" s="1183"/>
      <c r="O264" s="1183"/>
      <c r="P264" s="1201"/>
      <c r="Q264" s="1201"/>
      <c r="R264" s="1201"/>
      <c r="S264" s="1201"/>
      <c r="T264" s="1201"/>
    </row>
    <row r="265" spans="12:20">
      <c r="L265" s="1179"/>
      <c r="M265" s="1183"/>
      <c r="N265" s="1183"/>
      <c r="O265" s="1183"/>
      <c r="P265" s="1201"/>
      <c r="Q265" s="1201"/>
      <c r="R265" s="1201"/>
      <c r="S265" s="1201"/>
      <c r="T265" s="1201"/>
    </row>
    <row r="266" spans="12:20">
      <c r="L266" s="1179"/>
      <c r="M266" s="1183"/>
      <c r="N266" s="1183"/>
      <c r="O266" s="1183"/>
      <c r="P266" s="1201"/>
      <c r="Q266" s="1201"/>
      <c r="R266" s="1201"/>
      <c r="S266" s="1201"/>
      <c r="T266" s="1201"/>
    </row>
    <row r="267" spans="12:20">
      <c r="L267" s="1179"/>
      <c r="M267" s="1183"/>
      <c r="N267" s="1183"/>
      <c r="O267" s="1183"/>
      <c r="P267" s="1201"/>
      <c r="Q267" s="1201"/>
      <c r="R267" s="1201"/>
      <c r="S267" s="1201"/>
      <c r="T267" s="1201"/>
    </row>
    <row r="268" spans="12:20">
      <c r="L268" s="1179"/>
      <c r="M268" s="1183"/>
      <c r="N268" s="1183"/>
      <c r="O268" s="1183"/>
      <c r="P268" s="1201"/>
      <c r="Q268" s="1201"/>
      <c r="R268" s="1201"/>
      <c r="S268" s="1201"/>
      <c r="T268" s="1201"/>
    </row>
    <row r="269" spans="12:20">
      <c r="L269" s="1179"/>
      <c r="M269" s="1183"/>
      <c r="N269" s="1183"/>
      <c r="O269" s="1183"/>
      <c r="P269" s="1201"/>
      <c r="Q269" s="1201"/>
      <c r="R269" s="1201"/>
      <c r="S269" s="1201"/>
      <c r="T269" s="1201"/>
    </row>
    <row r="270" spans="12:20">
      <c r="L270" s="1179"/>
      <c r="M270" s="1183"/>
      <c r="N270" s="1183"/>
      <c r="O270" s="1183"/>
      <c r="P270" s="1201"/>
      <c r="Q270" s="1201"/>
      <c r="R270" s="1201"/>
      <c r="S270" s="1201"/>
      <c r="T270" s="1201"/>
    </row>
    <row r="271" spans="12:20">
      <c r="L271" s="1179"/>
      <c r="M271" s="1183"/>
      <c r="N271" s="1183"/>
      <c r="O271" s="1183"/>
      <c r="P271" s="1201"/>
      <c r="Q271" s="1201"/>
      <c r="R271" s="1201"/>
      <c r="S271" s="1201"/>
      <c r="T271" s="1201"/>
    </row>
    <row r="272" spans="12:20">
      <c r="L272" s="1179"/>
      <c r="M272" s="1183"/>
      <c r="N272" s="1183"/>
      <c r="O272" s="1183"/>
      <c r="P272" s="1201"/>
      <c r="Q272" s="1201"/>
      <c r="R272" s="1201"/>
      <c r="S272" s="1201"/>
      <c r="T272" s="1201"/>
    </row>
    <row r="273" spans="12:20">
      <c r="L273" s="1179"/>
      <c r="M273" s="1183"/>
      <c r="N273" s="1183"/>
      <c r="O273" s="1183"/>
      <c r="P273" s="1201"/>
      <c r="Q273" s="1201"/>
      <c r="R273" s="1201"/>
      <c r="S273" s="1201"/>
      <c r="T273" s="1201"/>
    </row>
    <row r="274" spans="12:20">
      <c r="L274" s="1179"/>
      <c r="M274" s="1183"/>
      <c r="N274" s="1183"/>
      <c r="O274" s="1183"/>
      <c r="P274" s="1201"/>
      <c r="Q274" s="1201"/>
      <c r="R274" s="1201"/>
      <c r="S274" s="1201"/>
      <c r="T274" s="1201"/>
    </row>
    <row r="275" spans="12:20">
      <c r="L275" s="1179"/>
      <c r="M275" s="1183"/>
      <c r="N275" s="1183"/>
      <c r="O275" s="1183"/>
      <c r="P275" s="1201"/>
      <c r="Q275" s="1201"/>
      <c r="R275" s="1201"/>
      <c r="S275" s="1201"/>
      <c r="T275" s="1201"/>
    </row>
    <row r="276" spans="12:20">
      <c r="L276" s="1179"/>
      <c r="M276" s="1183"/>
      <c r="N276" s="1183"/>
      <c r="O276" s="1183"/>
      <c r="P276" s="1201"/>
      <c r="Q276" s="1201"/>
      <c r="R276" s="1201"/>
      <c r="S276" s="1201"/>
      <c r="T276" s="1201"/>
    </row>
    <row r="277" spans="12:20">
      <c r="L277" s="1179"/>
      <c r="M277" s="1183"/>
      <c r="N277" s="1183"/>
      <c r="O277" s="1183"/>
      <c r="P277" s="1201"/>
      <c r="Q277" s="1201"/>
      <c r="R277" s="1201"/>
      <c r="S277" s="1201"/>
      <c r="T277" s="1201"/>
    </row>
    <row r="278" spans="12:20">
      <c r="L278" s="1179"/>
      <c r="M278" s="1183"/>
      <c r="N278" s="1183"/>
      <c r="O278" s="1183"/>
      <c r="P278" s="1201"/>
      <c r="Q278" s="1201"/>
      <c r="R278" s="1201"/>
      <c r="S278" s="1201"/>
      <c r="T278" s="1201"/>
    </row>
    <row r="279" spans="12:20">
      <c r="L279" s="1179"/>
      <c r="M279" s="1183"/>
      <c r="N279" s="1183"/>
      <c r="O279" s="1183"/>
      <c r="P279" s="1201"/>
      <c r="Q279" s="1201"/>
      <c r="R279" s="1201"/>
      <c r="S279" s="1201"/>
      <c r="T279" s="1201"/>
    </row>
    <row r="280" spans="12:20">
      <c r="L280" s="1179"/>
      <c r="M280" s="1183"/>
      <c r="N280" s="1183"/>
      <c r="O280" s="1183"/>
      <c r="P280" s="1201"/>
      <c r="Q280" s="1201"/>
      <c r="R280" s="1201"/>
      <c r="S280" s="1201"/>
      <c r="T280" s="1201"/>
    </row>
    <row r="281" spans="12:20">
      <c r="L281" s="1179"/>
      <c r="M281" s="1183"/>
      <c r="N281" s="1183"/>
      <c r="O281" s="1183"/>
      <c r="P281" s="1201"/>
      <c r="Q281" s="1201"/>
      <c r="R281" s="1201"/>
      <c r="S281" s="1201"/>
      <c r="T281" s="1201"/>
    </row>
    <row r="282" spans="12:20">
      <c r="L282" s="1179"/>
      <c r="M282" s="1183"/>
      <c r="N282" s="1183"/>
      <c r="O282" s="1183"/>
      <c r="P282" s="1201"/>
      <c r="Q282" s="1201"/>
      <c r="R282" s="1201"/>
      <c r="S282" s="1201"/>
      <c r="T282" s="1201"/>
    </row>
    <row r="283" spans="12:20">
      <c r="L283" s="1179"/>
      <c r="M283" s="1183"/>
      <c r="N283" s="1183"/>
      <c r="O283" s="1183"/>
      <c r="P283" s="1201"/>
      <c r="Q283" s="1201"/>
      <c r="R283" s="1201"/>
      <c r="S283" s="1201"/>
      <c r="T283" s="1201"/>
    </row>
    <row r="284" spans="12:20">
      <c r="L284" s="1179"/>
      <c r="M284" s="1183"/>
      <c r="N284" s="1183"/>
      <c r="O284" s="1183"/>
      <c r="P284" s="1201"/>
      <c r="Q284" s="1201"/>
      <c r="R284" s="1201"/>
      <c r="S284" s="1201"/>
      <c r="T284" s="1201"/>
    </row>
    <row r="285" spans="12:20">
      <c r="L285" s="1179"/>
      <c r="M285" s="1183"/>
      <c r="N285" s="1183"/>
      <c r="O285" s="1183"/>
      <c r="P285" s="1201"/>
      <c r="Q285" s="1201"/>
      <c r="R285" s="1201"/>
      <c r="S285" s="1201"/>
      <c r="T285" s="1201"/>
    </row>
    <row r="286" spans="12:20">
      <c r="L286" s="1179"/>
      <c r="M286" s="1183"/>
      <c r="N286" s="1183"/>
      <c r="O286" s="1183"/>
      <c r="P286" s="1201"/>
      <c r="Q286" s="1201"/>
      <c r="R286" s="1201"/>
      <c r="S286" s="1201"/>
      <c r="T286" s="1201"/>
    </row>
    <row r="287" spans="12:20">
      <c r="L287" s="1179"/>
      <c r="M287" s="1183"/>
      <c r="N287" s="1183"/>
      <c r="O287" s="1183"/>
      <c r="P287" s="1201"/>
      <c r="Q287" s="1201"/>
      <c r="R287" s="1201"/>
      <c r="S287" s="1201"/>
      <c r="T287" s="1201"/>
    </row>
    <row r="288" spans="12:20">
      <c r="L288" s="1179"/>
      <c r="M288" s="1183"/>
      <c r="N288" s="1183"/>
      <c r="O288" s="1183"/>
      <c r="P288" s="1201"/>
      <c r="Q288" s="1201"/>
      <c r="R288" s="1201"/>
      <c r="S288" s="1201"/>
      <c r="T288" s="1201"/>
    </row>
    <row r="289" spans="12:20">
      <c r="L289" s="1179"/>
      <c r="M289" s="1183"/>
      <c r="N289" s="1183"/>
      <c r="O289" s="1183"/>
      <c r="P289" s="1201"/>
      <c r="Q289" s="1201"/>
      <c r="R289" s="1201"/>
      <c r="S289" s="1201"/>
      <c r="T289" s="1201"/>
    </row>
    <row r="290" spans="12:20">
      <c r="L290" s="1179"/>
      <c r="M290" s="1183"/>
      <c r="N290" s="1183"/>
      <c r="O290" s="1183"/>
      <c r="P290" s="1201"/>
      <c r="Q290" s="1201"/>
      <c r="R290" s="1201"/>
      <c r="S290" s="1201"/>
      <c r="T290" s="1201"/>
    </row>
    <row r="291" spans="12:20">
      <c r="L291" s="1179"/>
      <c r="M291" s="1183"/>
      <c r="N291" s="1183"/>
      <c r="O291" s="1183"/>
      <c r="P291" s="1201"/>
      <c r="Q291" s="1201"/>
      <c r="R291" s="1201"/>
      <c r="S291" s="1201"/>
      <c r="T291" s="1201"/>
    </row>
    <row r="292" spans="12:20">
      <c r="L292" s="1179"/>
      <c r="M292" s="1183"/>
      <c r="N292" s="1183"/>
      <c r="O292" s="1183"/>
      <c r="P292" s="1201"/>
      <c r="Q292" s="1201"/>
      <c r="R292" s="1201"/>
      <c r="S292" s="1201"/>
      <c r="T292" s="1201"/>
    </row>
    <row r="293" spans="12:20">
      <c r="L293" s="1179"/>
      <c r="M293" s="1183"/>
      <c r="N293" s="1183"/>
      <c r="O293" s="1183"/>
      <c r="P293" s="1201"/>
      <c r="Q293" s="1201"/>
      <c r="R293" s="1201"/>
      <c r="S293" s="1201"/>
      <c r="T293" s="1201"/>
    </row>
    <row r="294" spans="12:20">
      <c r="L294" s="1179"/>
      <c r="M294" s="1183"/>
      <c r="N294" s="1183"/>
      <c r="O294" s="1183"/>
      <c r="P294" s="1201"/>
      <c r="Q294" s="1201"/>
      <c r="R294" s="1201"/>
      <c r="S294" s="1201"/>
      <c r="T294" s="1201"/>
    </row>
    <row r="295" spans="12:20">
      <c r="L295" s="1179"/>
      <c r="M295" s="1183"/>
      <c r="N295" s="1183"/>
      <c r="O295" s="1183"/>
      <c r="P295" s="1201"/>
      <c r="Q295" s="1201"/>
      <c r="R295" s="1201"/>
      <c r="S295" s="1201"/>
      <c r="T295" s="1201"/>
    </row>
    <row r="296" spans="12:20">
      <c r="L296" s="1179"/>
      <c r="M296" s="1183"/>
      <c r="N296" s="1183"/>
      <c r="O296" s="1183"/>
      <c r="P296" s="1201"/>
      <c r="Q296" s="1201"/>
      <c r="R296" s="1201"/>
      <c r="S296" s="1201"/>
      <c r="T296" s="1201"/>
    </row>
    <row r="297" spans="12:20">
      <c r="L297" s="1179"/>
      <c r="M297" s="1183"/>
      <c r="N297" s="1183"/>
      <c r="O297" s="1183"/>
      <c r="P297" s="1201"/>
      <c r="Q297" s="1201"/>
      <c r="R297" s="1201"/>
      <c r="S297" s="1201"/>
      <c r="T297" s="1201"/>
    </row>
    <row r="298" spans="12:20">
      <c r="L298" s="1179"/>
      <c r="M298" s="1183"/>
      <c r="N298" s="1183"/>
      <c r="O298" s="1183"/>
      <c r="P298" s="1201"/>
      <c r="Q298" s="1201"/>
      <c r="R298" s="1201"/>
      <c r="S298" s="1201"/>
      <c r="T298" s="1201"/>
    </row>
    <row r="299" spans="12:20">
      <c r="L299" s="1179"/>
      <c r="M299" s="1183"/>
      <c r="N299" s="1183"/>
      <c r="O299" s="1183"/>
      <c r="P299" s="1201"/>
      <c r="Q299" s="1201"/>
      <c r="R299" s="1201"/>
      <c r="S299" s="1201"/>
      <c r="T299" s="1201"/>
    </row>
    <row r="300" spans="12:20">
      <c r="L300" s="1179"/>
      <c r="M300" s="1183"/>
      <c r="N300" s="1183"/>
      <c r="O300" s="1183"/>
      <c r="P300" s="1201"/>
      <c r="Q300" s="1201"/>
      <c r="R300" s="1201"/>
      <c r="S300" s="1201"/>
      <c r="T300" s="1201"/>
    </row>
    <row r="301" spans="12:20">
      <c r="L301" s="1179"/>
      <c r="M301" s="1183"/>
      <c r="N301" s="1183"/>
      <c r="O301" s="1183"/>
      <c r="P301" s="1201"/>
      <c r="Q301" s="1201"/>
      <c r="R301" s="1201"/>
      <c r="S301" s="1201"/>
      <c r="T301" s="1201"/>
    </row>
    <row r="302" spans="12:20">
      <c r="L302" s="1179"/>
      <c r="M302" s="1183"/>
      <c r="N302" s="1183"/>
      <c r="O302" s="1183"/>
      <c r="P302" s="1201"/>
      <c r="Q302" s="1201"/>
      <c r="R302" s="1201"/>
      <c r="S302" s="1201"/>
      <c r="T302" s="1201"/>
    </row>
    <row r="303" spans="12:20">
      <c r="L303" s="1179"/>
      <c r="M303" s="1183"/>
      <c r="N303" s="1183"/>
      <c r="O303" s="1183"/>
      <c r="P303" s="1201"/>
      <c r="Q303" s="1201"/>
      <c r="R303" s="1201"/>
      <c r="S303" s="1201"/>
      <c r="T303" s="1201"/>
    </row>
    <row r="304" spans="12:20">
      <c r="L304" s="1179"/>
      <c r="M304" s="1183"/>
      <c r="N304" s="1183"/>
      <c r="O304" s="1183"/>
      <c r="P304" s="1201"/>
      <c r="Q304" s="1201"/>
      <c r="R304" s="1201"/>
      <c r="S304" s="1201"/>
      <c r="T304" s="1201"/>
    </row>
    <row r="305" spans="12:20">
      <c r="L305" s="1179"/>
      <c r="M305" s="1183"/>
      <c r="N305" s="1183"/>
      <c r="O305" s="1183"/>
      <c r="P305" s="1201"/>
      <c r="Q305" s="1201"/>
      <c r="R305" s="1201"/>
      <c r="S305" s="1201"/>
      <c r="T305" s="1201"/>
    </row>
    <row r="306" spans="12:20">
      <c r="L306" s="1179"/>
      <c r="M306" s="1183"/>
      <c r="N306" s="1183"/>
      <c r="O306" s="1183"/>
      <c r="P306" s="1201"/>
      <c r="Q306" s="1201"/>
      <c r="R306" s="1201"/>
      <c r="S306" s="1201"/>
      <c r="T306" s="1201"/>
    </row>
    <row r="307" spans="12:20">
      <c r="L307" s="1179"/>
      <c r="M307" s="1183"/>
      <c r="N307" s="1183"/>
      <c r="O307" s="1183"/>
      <c r="P307" s="1201"/>
      <c r="Q307" s="1201"/>
      <c r="R307" s="1201"/>
      <c r="S307" s="1201"/>
      <c r="T307" s="1201"/>
    </row>
    <row r="308" spans="12:20">
      <c r="L308" s="1179"/>
      <c r="M308" s="1183"/>
      <c r="N308" s="1183"/>
      <c r="O308" s="1183"/>
      <c r="P308" s="1201"/>
      <c r="Q308" s="1201"/>
      <c r="R308" s="1201"/>
      <c r="S308" s="1201"/>
      <c r="T308" s="1201"/>
    </row>
    <row r="309" spans="12:20">
      <c r="L309" s="1179"/>
      <c r="M309" s="1183"/>
      <c r="N309" s="1183"/>
      <c r="O309" s="1183"/>
      <c r="P309" s="1201"/>
      <c r="Q309" s="1201"/>
      <c r="R309" s="1201"/>
      <c r="S309" s="1201"/>
      <c r="T309" s="1201"/>
    </row>
    <row r="310" spans="12:20">
      <c r="L310" s="1179"/>
      <c r="M310" s="1183"/>
      <c r="N310" s="1183"/>
      <c r="O310" s="1183"/>
      <c r="P310" s="1201"/>
      <c r="Q310" s="1201"/>
      <c r="R310" s="1201"/>
      <c r="S310" s="1201"/>
      <c r="T310" s="1201"/>
    </row>
    <row r="311" spans="12:20">
      <c r="L311" s="1179"/>
      <c r="M311" s="1183"/>
      <c r="N311" s="1183"/>
      <c r="O311" s="1183"/>
      <c r="P311" s="1201"/>
      <c r="Q311" s="1201"/>
      <c r="R311" s="1201"/>
      <c r="S311" s="1201"/>
      <c r="T311" s="1201"/>
    </row>
    <row r="312" spans="12:20">
      <c r="L312" s="1179"/>
      <c r="M312" s="1183"/>
      <c r="N312" s="1183"/>
      <c r="O312" s="1183"/>
      <c r="P312" s="1201"/>
      <c r="Q312" s="1201"/>
      <c r="R312" s="1201"/>
      <c r="S312" s="1201"/>
      <c r="T312" s="1201"/>
    </row>
    <row r="313" spans="12:20">
      <c r="L313" s="1179"/>
      <c r="M313" s="1183"/>
      <c r="N313" s="1183"/>
      <c r="O313" s="1183"/>
      <c r="P313" s="1201"/>
      <c r="Q313" s="1201"/>
      <c r="R313" s="1201"/>
      <c r="S313" s="1201"/>
      <c r="T313" s="1201"/>
    </row>
    <row r="314" spans="12:20">
      <c r="L314" s="1179"/>
      <c r="M314" s="1183"/>
      <c r="N314" s="1183"/>
      <c r="O314" s="1183"/>
      <c r="P314" s="1201"/>
      <c r="Q314" s="1201"/>
      <c r="R314" s="1201"/>
      <c r="S314" s="1201"/>
      <c r="T314" s="1201"/>
    </row>
    <row r="315" spans="12:20">
      <c r="L315" s="1179"/>
      <c r="M315" s="1183"/>
      <c r="N315" s="1183"/>
      <c r="O315" s="1183"/>
      <c r="P315" s="1201"/>
      <c r="Q315" s="1201"/>
      <c r="R315" s="1201"/>
      <c r="S315" s="1201"/>
      <c r="T315" s="1201"/>
    </row>
    <row r="316" spans="12:20">
      <c r="L316" s="1179"/>
      <c r="M316" s="1183"/>
      <c r="N316" s="1183"/>
      <c r="O316" s="1183"/>
      <c r="P316" s="1201"/>
      <c r="Q316" s="1201"/>
      <c r="R316" s="1201"/>
      <c r="S316" s="1201"/>
      <c r="T316" s="1201"/>
    </row>
    <row r="317" spans="12:20">
      <c r="L317" s="1179"/>
      <c r="M317" s="1183"/>
      <c r="N317" s="1183"/>
      <c r="O317" s="1183"/>
      <c r="P317" s="1201"/>
      <c r="Q317" s="1201"/>
      <c r="R317" s="1201"/>
      <c r="S317" s="1201"/>
      <c r="T317" s="1201"/>
    </row>
    <row r="318" spans="12:20">
      <c r="L318" s="1179"/>
      <c r="M318" s="1183"/>
      <c r="N318" s="1183"/>
      <c r="O318" s="1183"/>
      <c r="P318" s="1201"/>
      <c r="Q318" s="1201"/>
      <c r="R318" s="1201"/>
      <c r="S318" s="1201"/>
      <c r="T318" s="1201"/>
    </row>
    <row r="319" spans="12:20">
      <c r="L319" s="1179"/>
      <c r="M319" s="1183"/>
      <c r="N319" s="1183"/>
      <c r="O319" s="1183"/>
      <c r="P319" s="1201"/>
      <c r="Q319" s="1201"/>
      <c r="R319" s="1201"/>
      <c r="S319" s="1201"/>
      <c r="T319" s="1201"/>
    </row>
    <row r="320" spans="12:20">
      <c r="L320" s="1179"/>
      <c r="M320" s="1183"/>
      <c r="N320" s="1183"/>
      <c r="O320" s="1183"/>
      <c r="P320" s="1201"/>
      <c r="Q320" s="1201"/>
      <c r="R320" s="1201"/>
      <c r="S320" s="1201"/>
      <c r="T320" s="1201"/>
    </row>
    <row r="321" spans="12:20">
      <c r="L321" s="1179"/>
      <c r="M321" s="1183"/>
      <c r="N321" s="1183"/>
      <c r="O321" s="1183"/>
      <c r="P321" s="1201"/>
      <c r="Q321" s="1201"/>
      <c r="R321" s="1201"/>
      <c r="S321" s="1201"/>
      <c r="T321" s="1201"/>
    </row>
    <row r="322" spans="12:20">
      <c r="L322" s="1179"/>
      <c r="M322" s="1183"/>
      <c r="N322" s="1183"/>
      <c r="O322" s="1183"/>
      <c r="P322" s="1201"/>
      <c r="Q322" s="1201"/>
      <c r="R322" s="1201"/>
      <c r="S322" s="1201"/>
      <c r="T322" s="1201"/>
    </row>
    <row r="323" spans="12:20">
      <c r="L323" s="1179"/>
      <c r="M323" s="1183"/>
      <c r="N323" s="1183"/>
      <c r="O323" s="1183"/>
      <c r="P323" s="1201"/>
      <c r="Q323" s="1201"/>
      <c r="R323" s="1201"/>
      <c r="S323" s="1201"/>
      <c r="T323" s="1201"/>
    </row>
    <row r="324" spans="12:20">
      <c r="L324" s="1179"/>
      <c r="M324" s="1183"/>
      <c r="N324" s="1183"/>
      <c r="O324" s="1183"/>
      <c r="P324" s="1201"/>
      <c r="Q324" s="1201"/>
      <c r="R324" s="1201"/>
      <c r="S324" s="1201"/>
      <c r="T324" s="1201"/>
    </row>
    <row r="325" spans="12:20">
      <c r="L325" s="1179"/>
      <c r="M325" s="1183"/>
      <c r="N325" s="1183"/>
      <c r="O325" s="1183"/>
      <c r="P325" s="1201"/>
      <c r="Q325" s="1201"/>
      <c r="R325" s="1201"/>
      <c r="S325" s="1201"/>
      <c r="T325" s="1201"/>
    </row>
    <row r="326" spans="12:20">
      <c r="L326" s="1179"/>
      <c r="M326" s="1183"/>
      <c r="N326" s="1183"/>
      <c r="O326" s="1183"/>
      <c r="P326" s="1201"/>
      <c r="Q326" s="1201"/>
      <c r="R326" s="1201"/>
      <c r="S326" s="1201"/>
      <c r="T326" s="1201"/>
    </row>
    <row r="327" spans="12:20">
      <c r="L327" s="1179"/>
      <c r="M327" s="1183"/>
      <c r="N327" s="1183"/>
      <c r="O327" s="1183"/>
      <c r="P327" s="1201"/>
      <c r="Q327" s="1201"/>
      <c r="R327" s="1201"/>
      <c r="S327" s="1201"/>
      <c r="T327" s="1201"/>
    </row>
    <row r="328" spans="12:20">
      <c r="L328" s="1179"/>
      <c r="M328" s="1183"/>
      <c r="N328" s="1183"/>
      <c r="O328" s="1183"/>
      <c r="P328" s="1201"/>
      <c r="Q328" s="1201"/>
      <c r="R328" s="1201"/>
      <c r="S328" s="1201"/>
      <c r="T328" s="1201"/>
    </row>
    <row r="329" spans="12:20">
      <c r="L329" s="1179"/>
      <c r="M329" s="1183"/>
      <c r="N329" s="1183"/>
      <c r="O329" s="1183"/>
      <c r="P329" s="1201"/>
      <c r="Q329" s="1201"/>
      <c r="R329" s="1201"/>
      <c r="S329" s="1201"/>
      <c r="T329" s="1201"/>
    </row>
    <row r="330" spans="12:20">
      <c r="L330" s="1179"/>
      <c r="M330" s="1183"/>
      <c r="N330" s="1183"/>
      <c r="O330" s="1183"/>
      <c r="P330" s="1201"/>
      <c r="Q330" s="1201"/>
      <c r="R330" s="1201"/>
      <c r="S330" s="1201"/>
      <c r="T330" s="1201"/>
    </row>
    <row r="331" spans="12:20">
      <c r="L331" s="1179"/>
      <c r="M331" s="1183"/>
      <c r="N331" s="1183"/>
      <c r="O331" s="1183"/>
      <c r="P331" s="1201"/>
      <c r="Q331" s="1201"/>
      <c r="R331" s="1201"/>
      <c r="S331" s="1201"/>
      <c r="T331" s="1201"/>
    </row>
    <row r="332" spans="12:20">
      <c r="L332" s="1179"/>
      <c r="M332" s="1183"/>
      <c r="N332" s="1183"/>
      <c r="O332" s="1183"/>
      <c r="P332" s="1201"/>
      <c r="Q332" s="1201"/>
      <c r="R332" s="1201"/>
      <c r="S332" s="1201"/>
      <c r="T332" s="1201"/>
    </row>
    <row r="333" spans="12:20">
      <c r="L333" s="1179"/>
      <c r="M333" s="1183"/>
      <c r="N333" s="1183"/>
      <c r="O333" s="1183"/>
      <c r="P333" s="1201"/>
      <c r="Q333" s="1201"/>
      <c r="R333" s="1201"/>
      <c r="S333" s="1201"/>
      <c r="T333" s="1201"/>
    </row>
    <row r="334" spans="12:20">
      <c r="L334" s="1179"/>
      <c r="M334" s="1183"/>
      <c r="N334" s="1183"/>
      <c r="O334" s="1183"/>
      <c r="P334" s="1201"/>
      <c r="Q334" s="1201"/>
      <c r="R334" s="1201"/>
      <c r="S334" s="1201"/>
      <c r="T334" s="1201"/>
    </row>
    <row r="335" spans="12:20">
      <c r="L335" s="1179"/>
      <c r="M335" s="1183"/>
      <c r="N335" s="1183"/>
      <c r="O335" s="1183"/>
      <c r="P335" s="1201"/>
      <c r="Q335" s="1201"/>
      <c r="R335" s="1201"/>
      <c r="S335" s="1201"/>
      <c r="T335" s="1201"/>
    </row>
    <row r="336" spans="12:20">
      <c r="L336" s="1179"/>
      <c r="M336" s="1183"/>
      <c r="N336" s="1183"/>
      <c r="O336" s="1183"/>
      <c r="P336" s="1201"/>
      <c r="Q336" s="1201"/>
      <c r="R336" s="1201"/>
      <c r="S336" s="1201"/>
      <c r="T336" s="1201"/>
    </row>
    <row r="337" spans="12:20">
      <c r="L337" s="1179"/>
      <c r="M337" s="1183"/>
      <c r="N337" s="1183"/>
      <c r="O337" s="1183"/>
      <c r="P337" s="1201"/>
      <c r="Q337" s="1201"/>
      <c r="R337" s="1201"/>
      <c r="S337" s="1201"/>
      <c r="T337" s="1201"/>
    </row>
    <row r="338" spans="12:20">
      <c r="L338" s="1179"/>
      <c r="M338" s="1183"/>
      <c r="N338" s="1183"/>
      <c r="O338" s="1183"/>
      <c r="P338" s="1201"/>
      <c r="Q338" s="1201"/>
      <c r="R338" s="1201"/>
      <c r="S338" s="1201"/>
      <c r="T338" s="1201"/>
    </row>
    <row r="339" spans="12:20">
      <c r="L339" s="1179"/>
      <c r="M339" s="1183"/>
      <c r="N339" s="1183"/>
      <c r="O339" s="1183"/>
      <c r="P339" s="1201"/>
      <c r="Q339" s="1201"/>
      <c r="R339" s="1201"/>
      <c r="S339" s="1201"/>
      <c r="T339" s="1201"/>
    </row>
    <row r="340" spans="12:20">
      <c r="L340" s="1179"/>
      <c r="M340" s="1183"/>
      <c r="N340" s="1183"/>
      <c r="O340" s="1183"/>
      <c r="P340" s="1201"/>
      <c r="Q340" s="1201"/>
      <c r="R340" s="1201"/>
      <c r="S340" s="1201"/>
      <c r="T340" s="1201"/>
    </row>
    <row r="341" spans="12:20">
      <c r="L341" s="1179"/>
      <c r="M341" s="1183"/>
      <c r="N341" s="1183"/>
      <c r="O341" s="1183"/>
      <c r="P341" s="1201"/>
      <c r="Q341" s="1201"/>
      <c r="R341" s="1201"/>
      <c r="S341" s="1201"/>
      <c r="T341" s="1201"/>
    </row>
    <row r="342" spans="12:20">
      <c r="L342" s="1179"/>
      <c r="M342" s="1183"/>
      <c r="N342" s="1183"/>
      <c r="O342" s="1183"/>
      <c r="P342" s="1201"/>
      <c r="Q342" s="1201"/>
      <c r="R342" s="1201"/>
      <c r="S342" s="1201"/>
      <c r="T342" s="1201"/>
    </row>
    <row r="343" spans="12:20">
      <c r="L343" s="1179"/>
      <c r="M343" s="1183"/>
      <c r="N343" s="1183"/>
      <c r="O343" s="1183"/>
      <c r="P343" s="1201"/>
      <c r="Q343" s="1201"/>
      <c r="R343" s="1201"/>
      <c r="S343" s="1201"/>
      <c r="T343" s="1201"/>
    </row>
    <row r="344" spans="12:20">
      <c r="L344" s="1179"/>
      <c r="M344" s="1183"/>
      <c r="N344" s="1183"/>
      <c r="O344" s="1183"/>
      <c r="P344" s="1201"/>
      <c r="Q344" s="1201"/>
      <c r="R344" s="1201"/>
      <c r="S344" s="1201"/>
      <c r="T344" s="1201"/>
    </row>
    <row r="345" spans="12:20">
      <c r="L345" s="1179"/>
      <c r="M345" s="1183"/>
      <c r="N345" s="1183"/>
      <c r="O345" s="1183"/>
      <c r="P345" s="1201"/>
      <c r="Q345" s="1201"/>
      <c r="R345" s="1201"/>
      <c r="S345" s="1201"/>
      <c r="T345" s="1201"/>
    </row>
    <row r="346" spans="12:20">
      <c r="L346" s="1179"/>
      <c r="M346" s="1183"/>
      <c r="N346" s="1183"/>
      <c r="O346" s="1183"/>
      <c r="P346" s="1201"/>
      <c r="Q346" s="1201"/>
      <c r="R346" s="1201"/>
      <c r="S346" s="1201"/>
      <c r="T346" s="1201"/>
    </row>
    <row r="347" spans="12:20">
      <c r="L347" s="1179"/>
      <c r="M347" s="1183"/>
      <c r="N347" s="1183"/>
      <c r="O347" s="1183"/>
      <c r="P347" s="1201"/>
      <c r="Q347" s="1201"/>
      <c r="R347" s="1201"/>
      <c r="S347" s="1201"/>
      <c r="T347" s="1201"/>
    </row>
    <row r="348" spans="12:20">
      <c r="L348" s="1179"/>
      <c r="M348" s="1183"/>
      <c r="N348" s="1183"/>
      <c r="O348" s="1183"/>
      <c r="P348" s="1201"/>
      <c r="Q348" s="1201"/>
      <c r="R348" s="1201"/>
      <c r="S348" s="1201"/>
      <c r="T348" s="1201"/>
    </row>
    <row r="349" spans="12:20">
      <c r="L349" s="1179"/>
      <c r="M349" s="1183"/>
      <c r="N349" s="1183"/>
      <c r="O349" s="1183"/>
      <c r="P349" s="1201"/>
      <c r="Q349" s="1201"/>
      <c r="R349" s="1201"/>
      <c r="S349" s="1201"/>
      <c r="T349" s="1201"/>
    </row>
    <row r="350" spans="12:20">
      <c r="L350" s="1179"/>
      <c r="M350" s="1183"/>
      <c r="N350" s="1183"/>
      <c r="O350" s="1183"/>
      <c r="P350" s="1201"/>
      <c r="Q350" s="1201"/>
      <c r="R350" s="1201"/>
      <c r="S350" s="1201"/>
      <c r="T350" s="1201"/>
    </row>
    <row r="351" spans="12:20">
      <c r="L351" s="1179"/>
      <c r="M351" s="1183"/>
      <c r="N351" s="1183"/>
      <c r="O351" s="1183"/>
      <c r="P351" s="1201"/>
      <c r="Q351" s="1201"/>
      <c r="R351" s="1201"/>
      <c r="S351" s="1201"/>
      <c r="T351" s="1201"/>
    </row>
    <row r="352" spans="12:20">
      <c r="L352" s="1179"/>
      <c r="M352" s="1183"/>
      <c r="N352" s="1183"/>
      <c r="O352" s="1183"/>
      <c r="P352" s="1201"/>
      <c r="Q352" s="1201"/>
      <c r="R352" s="1201"/>
      <c r="S352" s="1201"/>
      <c r="T352" s="1201"/>
    </row>
    <row r="353" spans="12:20">
      <c r="L353" s="1179"/>
      <c r="M353" s="1183"/>
      <c r="N353" s="1183"/>
      <c r="O353" s="1183"/>
      <c r="P353" s="1201"/>
      <c r="Q353" s="1201"/>
      <c r="R353" s="1201"/>
      <c r="S353" s="1201"/>
      <c r="T353" s="1201"/>
    </row>
    <row r="354" spans="12:20">
      <c r="L354" s="1179"/>
      <c r="M354" s="1183"/>
      <c r="N354" s="1183"/>
      <c r="O354" s="1183"/>
      <c r="P354" s="1201"/>
      <c r="Q354" s="1201"/>
      <c r="R354" s="1201"/>
      <c r="S354" s="1201"/>
      <c r="T354" s="1201"/>
    </row>
    <row r="355" spans="12:20">
      <c r="L355" s="1179"/>
      <c r="M355" s="1183"/>
      <c r="N355" s="1183"/>
      <c r="O355" s="1183"/>
      <c r="P355" s="1201"/>
      <c r="Q355" s="1201"/>
      <c r="R355" s="1201"/>
      <c r="S355" s="1201"/>
      <c r="T355" s="1201"/>
    </row>
    <row r="356" spans="12:20">
      <c r="L356" s="1179"/>
      <c r="M356" s="1183"/>
      <c r="N356" s="1183"/>
      <c r="O356" s="1183"/>
      <c r="P356" s="1201"/>
      <c r="Q356" s="1201"/>
      <c r="R356" s="1201"/>
      <c r="S356" s="1201"/>
      <c r="T356" s="1201"/>
    </row>
    <row r="357" spans="12:20">
      <c r="L357" s="1179"/>
      <c r="M357" s="1183"/>
      <c r="N357" s="1183"/>
      <c r="O357" s="1183"/>
      <c r="P357" s="1201"/>
      <c r="Q357" s="1201"/>
      <c r="R357" s="1201"/>
      <c r="S357" s="1201"/>
      <c r="T357" s="1201"/>
    </row>
    <row r="358" spans="12:20">
      <c r="L358" s="1179"/>
      <c r="M358" s="1183"/>
      <c r="N358" s="1183"/>
      <c r="O358" s="1183"/>
      <c r="P358" s="1201"/>
      <c r="Q358" s="1201"/>
      <c r="R358" s="1201"/>
      <c r="S358" s="1201"/>
      <c r="T358" s="1201"/>
    </row>
    <row r="359" spans="12:20">
      <c r="L359" s="1179"/>
      <c r="M359" s="1183"/>
      <c r="N359" s="1183"/>
      <c r="O359" s="1183"/>
      <c r="P359" s="1201"/>
      <c r="Q359" s="1201"/>
      <c r="R359" s="1201"/>
      <c r="S359" s="1201"/>
      <c r="T359" s="1201"/>
    </row>
    <row r="360" spans="12:20">
      <c r="L360" s="1179"/>
      <c r="M360" s="1183"/>
      <c r="N360" s="1183"/>
      <c r="O360" s="1183"/>
      <c r="P360" s="1201"/>
      <c r="Q360" s="1201"/>
      <c r="R360" s="1201"/>
      <c r="S360" s="1201"/>
      <c r="T360" s="1201"/>
    </row>
    <row r="361" spans="12:20">
      <c r="L361" s="1179"/>
      <c r="M361" s="1183"/>
      <c r="N361" s="1183"/>
      <c r="O361" s="1183"/>
      <c r="P361" s="1201"/>
      <c r="Q361" s="1201"/>
      <c r="R361" s="1201"/>
      <c r="S361" s="1201"/>
      <c r="T361" s="1201"/>
    </row>
    <row r="362" spans="12:20">
      <c r="L362" s="1179"/>
      <c r="M362" s="1183"/>
      <c r="N362" s="1183"/>
      <c r="O362" s="1183"/>
      <c r="P362" s="1201"/>
      <c r="Q362" s="1201"/>
      <c r="R362" s="1201"/>
      <c r="S362" s="1201"/>
      <c r="T362" s="1201"/>
    </row>
    <row r="363" spans="12:20">
      <c r="L363" s="1179"/>
      <c r="M363" s="1183"/>
      <c r="N363" s="1183"/>
      <c r="O363" s="1183"/>
      <c r="P363" s="1201"/>
      <c r="Q363" s="1201"/>
      <c r="R363" s="1201"/>
      <c r="S363" s="1201"/>
      <c r="T363" s="1201"/>
    </row>
    <row r="364" spans="12:20">
      <c r="L364" s="1179"/>
      <c r="M364" s="1183"/>
      <c r="N364" s="1183"/>
      <c r="O364" s="1183"/>
      <c r="P364" s="1201"/>
      <c r="Q364" s="1201"/>
      <c r="R364" s="1201"/>
      <c r="S364" s="1201"/>
      <c r="T364" s="1201"/>
    </row>
    <row r="365" spans="12:20">
      <c r="L365" s="1179"/>
      <c r="M365" s="1183"/>
      <c r="N365" s="1183"/>
      <c r="O365" s="1183"/>
      <c r="P365" s="1201"/>
      <c r="Q365" s="1201"/>
      <c r="R365" s="1201"/>
      <c r="S365" s="1201"/>
      <c r="T365" s="1201"/>
    </row>
    <row r="366" spans="12:20">
      <c r="L366" s="1179"/>
      <c r="M366" s="1183"/>
      <c r="N366" s="1183"/>
      <c r="O366" s="1183"/>
      <c r="P366" s="1201"/>
      <c r="Q366" s="1201"/>
      <c r="R366" s="1201"/>
      <c r="S366" s="1201"/>
      <c r="T366" s="1201"/>
    </row>
    <row r="367" spans="12:20">
      <c r="L367" s="1179"/>
      <c r="M367" s="1183"/>
      <c r="N367" s="1183"/>
      <c r="O367" s="1183"/>
      <c r="P367" s="1201"/>
      <c r="Q367" s="1201"/>
      <c r="R367" s="1201"/>
      <c r="S367" s="1201"/>
      <c r="T367" s="1201"/>
    </row>
    <row r="368" spans="12:20">
      <c r="L368" s="1179"/>
      <c r="M368" s="1183"/>
      <c r="N368" s="1183"/>
      <c r="O368" s="1183"/>
      <c r="P368" s="1201"/>
      <c r="Q368" s="1201"/>
      <c r="R368" s="1201"/>
      <c r="S368" s="1201"/>
      <c r="T368" s="1201"/>
    </row>
    <row r="369" spans="12:20">
      <c r="L369" s="1179"/>
      <c r="M369" s="1183"/>
      <c r="N369" s="1183"/>
      <c r="O369" s="1183"/>
      <c r="P369" s="1201"/>
      <c r="Q369" s="1201"/>
      <c r="R369" s="1201"/>
      <c r="S369" s="1201"/>
      <c r="T369" s="1201"/>
    </row>
    <row r="370" spans="12:20">
      <c r="L370" s="1179"/>
      <c r="M370" s="1183"/>
      <c r="N370" s="1183"/>
      <c r="O370" s="1183"/>
      <c r="P370" s="1201"/>
      <c r="Q370" s="1201"/>
      <c r="R370" s="1201"/>
      <c r="S370" s="1201"/>
      <c r="T370" s="1201"/>
    </row>
    <row r="371" spans="12:20">
      <c r="L371" s="1179"/>
      <c r="M371" s="1183"/>
      <c r="N371" s="1183"/>
      <c r="O371" s="1183"/>
      <c r="P371" s="1201"/>
      <c r="Q371" s="1201"/>
      <c r="R371" s="1201"/>
      <c r="S371" s="1201"/>
      <c r="T371" s="1201"/>
    </row>
    <row r="372" spans="12:20">
      <c r="L372" s="1179"/>
      <c r="M372" s="1183"/>
      <c r="N372" s="1183"/>
      <c r="O372" s="1183"/>
      <c r="P372" s="1201"/>
      <c r="Q372" s="1201"/>
      <c r="R372" s="1201"/>
      <c r="S372" s="1201"/>
      <c r="T372" s="1201"/>
    </row>
    <row r="373" spans="12:20">
      <c r="L373" s="1179"/>
      <c r="M373" s="1183"/>
      <c r="N373" s="1183"/>
      <c r="O373" s="1183"/>
      <c r="P373" s="1201"/>
      <c r="Q373" s="1201"/>
      <c r="R373" s="1201"/>
      <c r="S373" s="1201"/>
      <c r="T373" s="1201"/>
    </row>
    <row r="374" spans="12:20">
      <c r="L374" s="1179"/>
      <c r="M374" s="1183"/>
      <c r="N374" s="1183"/>
      <c r="O374" s="1183"/>
      <c r="P374" s="1201"/>
      <c r="Q374" s="1201"/>
      <c r="R374" s="1201"/>
      <c r="S374" s="1201"/>
      <c r="T374" s="1201"/>
    </row>
    <row r="375" spans="12:20">
      <c r="L375" s="1179"/>
      <c r="M375" s="1183"/>
      <c r="N375" s="1183"/>
      <c r="O375" s="1183"/>
      <c r="P375" s="1201"/>
      <c r="Q375" s="1201"/>
      <c r="R375" s="1201"/>
      <c r="S375" s="1201"/>
      <c r="T375" s="1201"/>
    </row>
    <row r="376" spans="12:20">
      <c r="L376" s="1179"/>
      <c r="M376" s="1183"/>
      <c r="N376" s="1183"/>
      <c r="O376" s="1183"/>
      <c r="P376" s="1201"/>
      <c r="Q376" s="1201"/>
      <c r="R376" s="1201"/>
      <c r="S376" s="1201"/>
      <c r="T376" s="1201"/>
    </row>
    <row r="377" spans="12:20">
      <c r="L377" s="1179"/>
      <c r="M377" s="1183"/>
      <c r="N377" s="1183"/>
      <c r="O377" s="1183"/>
      <c r="P377" s="1201"/>
      <c r="Q377" s="1201"/>
      <c r="R377" s="1201"/>
      <c r="S377" s="1201"/>
      <c r="T377" s="1201"/>
    </row>
    <row r="378" spans="12:20">
      <c r="L378" s="1179"/>
      <c r="M378" s="1183"/>
      <c r="N378" s="1183"/>
      <c r="O378" s="1183"/>
      <c r="P378" s="1201"/>
      <c r="Q378" s="1201"/>
      <c r="R378" s="1201"/>
      <c r="S378" s="1201"/>
      <c r="T378" s="1201"/>
    </row>
    <row r="379" spans="12:20">
      <c r="L379" s="1179"/>
      <c r="M379" s="1183"/>
      <c r="N379" s="1183"/>
      <c r="O379" s="1183"/>
      <c r="P379" s="1201"/>
      <c r="Q379" s="1201"/>
      <c r="R379" s="1201"/>
      <c r="S379" s="1201"/>
      <c r="T379" s="1201"/>
    </row>
    <row r="380" spans="12:20">
      <c r="L380" s="1179"/>
      <c r="M380" s="1183"/>
      <c r="N380" s="1183"/>
      <c r="O380" s="1183"/>
      <c r="P380" s="1201"/>
      <c r="Q380" s="1201"/>
      <c r="R380" s="1201"/>
      <c r="S380" s="1201"/>
      <c r="T380" s="1201"/>
    </row>
    <row r="381" spans="12:20">
      <c r="L381" s="1179"/>
      <c r="M381" s="1183"/>
      <c r="N381" s="1183"/>
      <c r="O381" s="1183"/>
      <c r="P381" s="1201"/>
      <c r="Q381" s="1201"/>
      <c r="R381" s="1201"/>
      <c r="S381" s="1201"/>
      <c r="T381" s="1201"/>
    </row>
    <row r="382" spans="12:20">
      <c r="L382" s="1179"/>
      <c r="M382" s="1183"/>
      <c r="N382" s="1183"/>
      <c r="O382" s="1183"/>
      <c r="P382" s="1201"/>
      <c r="Q382" s="1201"/>
      <c r="R382" s="1201"/>
      <c r="S382" s="1201"/>
      <c r="T382" s="1201"/>
    </row>
    <row r="383" spans="12:20">
      <c r="L383" s="1179"/>
      <c r="M383" s="1183"/>
      <c r="N383" s="1183"/>
      <c r="O383" s="1183"/>
      <c r="P383" s="1201"/>
      <c r="Q383" s="1201"/>
      <c r="R383" s="1201"/>
      <c r="S383" s="1201"/>
      <c r="T383" s="1201"/>
    </row>
    <row r="384" spans="12:20">
      <c r="L384" s="1179"/>
      <c r="M384" s="1183"/>
      <c r="N384" s="1183"/>
      <c r="O384" s="1183"/>
      <c r="P384" s="1201"/>
      <c r="Q384" s="1201"/>
      <c r="R384" s="1201"/>
      <c r="S384" s="1201"/>
      <c r="T384" s="1201"/>
    </row>
    <row r="385" spans="12:20">
      <c r="L385" s="1179"/>
      <c r="M385" s="1183"/>
      <c r="N385" s="1183"/>
      <c r="O385" s="1183"/>
      <c r="P385" s="1201"/>
      <c r="Q385" s="1201"/>
      <c r="R385" s="1201"/>
      <c r="S385" s="1201"/>
      <c r="T385" s="1201"/>
    </row>
    <row r="386" spans="12:20">
      <c r="L386" s="1179"/>
      <c r="M386" s="1183"/>
      <c r="N386" s="1183"/>
      <c r="O386" s="1183"/>
      <c r="P386" s="1201"/>
      <c r="Q386" s="1201"/>
      <c r="R386" s="1201"/>
      <c r="S386" s="1201"/>
      <c r="T386" s="1201"/>
    </row>
    <row r="387" spans="12:20">
      <c r="L387" s="1179"/>
      <c r="M387" s="1183"/>
      <c r="N387" s="1183"/>
      <c r="O387" s="1183"/>
      <c r="P387" s="1201"/>
      <c r="Q387" s="1201"/>
      <c r="R387" s="1201"/>
      <c r="S387" s="1201"/>
      <c r="T387" s="1201"/>
    </row>
    <row r="388" spans="12:20">
      <c r="L388" s="1179"/>
      <c r="M388" s="1183"/>
      <c r="N388" s="1183"/>
      <c r="O388" s="1183"/>
      <c r="P388" s="1201"/>
      <c r="Q388" s="1201"/>
      <c r="R388" s="1201"/>
      <c r="S388" s="1201"/>
      <c r="T388" s="1201"/>
    </row>
    <row r="389" spans="12:20">
      <c r="L389" s="1179"/>
      <c r="M389" s="1183"/>
      <c r="N389" s="1183"/>
      <c r="O389" s="1183"/>
      <c r="P389" s="1201"/>
      <c r="Q389" s="1201"/>
      <c r="R389" s="1201"/>
      <c r="S389" s="1201"/>
      <c r="T389" s="1201"/>
    </row>
    <row r="390" spans="12:20">
      <c r="L390" s="1179"/>
      <c r="M390" s="1183"/>
      <c r="N390" s="1183"/>
      <c r="O390" s="1183"/>
      <c r="P390" s="1201"/>
      <c r="Q390" s="1201"/>
      <c r="R390" s="1201"/>
      <c r="S390" s="1201"/>
      <c r="T390" s="1201"/>
    </row>
    <row r="391" spans="12:20">
      <c r="L391" s="1179"/>
      <c r="M391" s="1183"/>
      <c r="N391" s="1183"/>
      <c r="O391" s="1183"/>
      <c r="P391" s="1201"/>
      <c r="Q391" s="1201"/>
      <c r="R391" s="1201"/>
      <c r="S391" s="1201"/>
      <c r="T391" s="1201"/>
    </row>
    <row r="392" spans="12:20">
      <c r="L392" s="1179"/>
      <c r="M392" s="1183"/>
      <c r="N392" s="1183"/>
      <c r="O392" s="1183"/>
      <c r="P392" s="1201"/>
      <c r="Q392" s="1201"/>
      <c r="R392" s="1201"/>
      <c r="S392" s="1201"/>
      <c r="T392" s="1201"/>
    </row>
    <row r="393" spans="12:20">
      <c r="L393" s="1179"/>
      <c r="M393" s="1183"/>
      <c r="N393" s="1183"/>
      <c r="O393" s="1183"/>
      <c r="P393" s="1201"/>
      <c r="Q393" s="1201"/>
      <c r="R393" s="1201"/>
      <c r="S393" s="1201"/>
      <c r="T393" s="1201"/>
    </row>
    <row r="394" spans="12:20">
      <c r="L394" s="1179"/>
      <c r="M394" s="1183"/>
      <c r="N394" s="1183"/>
      <c r="O394" s="1183"/>
      <c r="P394" s="1201"/>
      <c r="Q394" s="1201"/>
      <c r="R394" s="1201"/>
      <c r="S394" s="1201"/>
      <c r="T394" s="1201"/>
    </row>
    <row r="395" spans="12:20">
      <c r="L395" s="1179"/>
      <c r="M395" s="1183"/>
      <c r="N395" s="1183"/>
      <c r="O395" s="1183"/>
      <c r="P395" s="1201"/>
      <c r="Q395" s="1201"/>
      <c r="R395" s="1201"/>
      <c r="S395" s="1201"/>
      <c r="T395" s="1201"/>
    </row>
    <row r="396" spans="12:20">
      <c r="L396" s="1179"/>
      <c r="M396" s="1183"/>
      <c r="N396" s="1183"/>
      <c r="O396" s="1183"/>
      <c r="P396" s="1201"/>
      <c r="Q396" s="1201"/>
      <c r="R396" s="1201"/>
      <c r="S396" s="1201"/>
      <c r="T396" s="1201"/>
    </row>
    <row r="397" spans="12:20">
      <c r="L397" s="1179"/>
      <c r="M397" s="1183"/>
      <c r="N397" s="1183"/>
      <c r="O397" s="1183"/>
      <c r="P397" s="1201"/>
      <c r="Q397" s="1201"/>
      <c r="R397" s="1201"/>
      <c r="S397" s="1201"/>
      <c r="T397" s="1201"/>
    </row>
    <row r="398" spans="12:20">
      <c r="L398" s="1179"/>
      <c r="M398" s="1183"/>
      <c r="N398" s="1183"/>
      <c r="O398" s="1183"/>
      <c r="P398" s="1201"/>
      <c r="Q398" s="1201"/>
      <c r="R398" s="1201"/>
      <c r="S398" s="1201"/>
      <c r="T398" s="1201"/>
    </row>
    <row r="399" spans="12:20">
      <c r="L399" s="1179"/>
      <c r="M399" s="1183"/>
      <c r="N399" s="1183"/>
      <c r="O399" s="1183"/>
      <c r="P399" s="1201"/>
      <c r="Q399" s="1201"/>
      <c r="R399" s="1201"/>
      <c r="S399" s="1201"/>
      <c r="T399" s="1201"/>
    </row>
    <row r="400" spans="12:20">
      <c r="L400" s="1179"/>
      <c r="M400" s="1183"/>
      <c r="N400" s="1183"/>
      <c r="O400" s="1183"/>
      <c r="P400" s="1201"/>
      <c r="Q400" s="1201"/>
      <c r="R400" s="1201"/>
      <c r="S400" s="1201"/>
      <c r="T400" s="1201"/>
    </row>
    <row r="401" spans="12:20">
      <c r="L401" s="1179"/>
      <c r="M401" s="1183"/>
      <c r="N401" s="1183"/>
      <c r="O401" s="1183"/>
      <c r="P401" s="1201"/>
      <c r="Q401" s="1201"/>
      <c r="R401" s="1201"/>
      <c r="S401" s="1201"/>
      <c r="T401" s="1201"/>
    </row>
    <row r="402" spans="12:20">
      <c r="L402" s="1179"/>
      <c r="M402" s="1183"/>
      <c r="N402" s="1183"/>
      <c r="O402" s="1183"/>
      <c r="P402" s="1201"/>
      <c r="Q402" s="1201"/>
      <c r="R402" s="1201"/>
      <c r="S402" s="1201"/>
      <c r="T402" s="1201"/>
    </row>
    <row r="403" spans="12:20">
      <c r="L403" s="1179"/>
      <c r="M403" s="1183"/>
      <c r="N403" s="1183"/>
      <c r="O403" s="1183"/>
      <c r="P403" s="1201"/>
      <c r="Q403" s="1201"/>
      <c r="R403" s="1201"/>
      <c r="S403" s="1201"/>
      <c r="T403" s="1201"/>
    </row>
    <row r="404" spans="12:20">
      <c r="L404" s="1179"/>
      <c r="M404" s="1183"/>
      <c r="N404" s="1183"/>
      <c r="O404" s="1183"/>
      <c r="P404" s="1201"/>
      <c r="Q404" s="1201"/>
      <c r="R404" s="1201"/>
      <c r="S404" s="1201"/>
      <c r="T404" s="1201"/>
    </row>
    <row r="405" spans="12:20">
      <c r="L405" s="1179"/>
      <c r="M405" s="1183"/>
      <c r="N405" s="1183"/>
      <c r="O405" s="1183"/>
      <c r="P405" s="1201"/>
      <c r="Q405" s="1201"/>
      <c r="R405" s="1201"/>
      <c r="S405" s="1201"/>
      <c r="T405" s="1201"/>
    </row>
    <row r="406" spans="12:20">
      <c r="L406" s="1179"/>
      <c r="M406" s="1183"/>
      <c r="N406" s="1183"/>
      <c r="O406" s="1183"/>
      <c r="P406" s="1201"/>
      <c r="Q406" s="1201"/>
      <c r="R406" s="1201"/>
      <c r="S406" s="1201"/>
      <c r="T406" s="1201"/>
    </row>
    <row r="407" spans="12:20">
      <c r="L407" s="1179"/>
      <c r="M407" s="1183"/>
      <c r="N407" s="1183"/>
      <c r="O407" s="1183"/>
      <c r="P407" s="1201"/>
      <c r="Q407" s="1201"/>
      <c r="R407" s="1201"/>
      <c r="S407" s="1201"/>
      <c r="T407" s="1201"/>
    </row>
    <row r="408" spans="12:20">
      <c r="L408" s="1179"/>
      <c r="M408" s="1183"/>
      <c r="N408" s="1183"/>
      <c r="O408" s="1183"/>
      <c r="P408" s="1201"/>
      <c r="Q408" s="1201"/>
      <c r="R408" s="1201"/>
      <c r="S408" s="1201"/>
      <c r="T408" s="1201"/>
    </row>
    <row r="409" spans="12:20">
      <c r="L409" s="1179"/>
      <c r="M409" s="1183"/>
      <c r="N409" s="1183"/>
      <c r="O409" s="1183"/>
      <c r="P409" s="1201"/>
      <c r="Q409" s="1201"/>
      <c r="R409" s="1201"/>
      <c r="S409" s="1201"/>
      <c r="T409" s="1201"/>
    </row>
    <row r="410" spans="12:20">
      <c r="L410" s="1179"/>
      <c r="M410" s="1183"/>
      <c r="N410" s="1183"/>
      <c r="O410" s="1183"/>
      <c r="P410" s="1201"/>
      <c r="Q410" s="1201"/>
      <c r="R410" s="1201"/>
      <c r="S410" s="1201"/>
      <c r="T410" s="1201"/>
    </row>
    <row r="411" spans="12:20">
      <c r="L411" s="1179"/>
      <c r="M411" s="1183"/>
      <c r="N411" s="1183"/>
      <c r="O411" s="1183"/>
      <c r="P411" s="1201"/>
      <c r="Q411" s="1201"/>
      <c r="R411" s="1201"/>
      <c r="S411" s="1201"/>
      <c r="T411" s="1201"/>
    </row>
    <row r="412" spans="12:20">
      <c r="L412" s="1179"/>
      <c r="M412" s="1183"/>
      <c r="N412" s="1183"/>
      <c r="O412" s="1183"/>
      <c r="P412" s="1201"/>
      <c r="Q412" s="1201"/>
      <c r="R412" s="1201"/>
      <c r="S412" s="1201"/>
      <c r="T412" s="1201"/>
    </row>
    <row r="413" spans="12:20">
      <c r="L413" s="1179"/>
      <c r="M413" s="1183"/>
      <c r="N413" s="1183"/>
      <c r="O413" s="1183"/>
      <c r="P413" s="1201"/>
      <c r="Q413" s="1201"/>
      <c r="R413" s="1201"/>
      <c r="S413" s="1201"/>
      <c r="T413" s="1201"/>
    </row>
    <row r="414" spans="12:20">
      <c r="L414" s="1179"/>
      <c r="M414" s="1183"/>
      <c r="N414" s="1183"/>
      <c r="O414" s="1183"/>
      <c r="P414" s="1201"/>
      <c r="Q414" s="1201"/>
      <c r="R414" s="1201"/>
      <c r="S414" s="1201"/>
      <c r="T414" s="1201"/>
    </row>
    <row r="415" spans="12:20">
      <c r="L415" s="1179"/>
      <c r="M415" s="1183"/>
      <c r="N415" s="1183"/>
      <c r="O415" s="1183"/>
      <c r="P415" s="1201"/>
      <c r="Q415" s="1201"/>
      <c r="R415" s="1201"/>
      <c r="S415" s="1201"/>
      <c r="T415" s="1201"/>
    </row>
    <row r="416" spans="12:20">
      <c r="L416" s="1179"/>
      <c r="M416" s="1183"/>
      <c r="N416" s="1183"/>
      <c r="O416" s="1183"/>
      <c r="P416" s="1201"/>
      <c r="Q416" s="1201"/>
      <c r="R416" s="1201"/>
      <c r="S416" s="1201"/>
      <c r="T416" s="1201"/>
    </row>
    <row r="417" spans="12:20">
      <c r="L417" s="1179"/>
      <c r="M417" s="1183"/>
      <c r="N417" s="1183"/>
      <c r="O417" s="1183"/>
      <c r="P417" s="1201"/>
      <c r="Q417" s="1201"/>
      <c r="R417" s="1201"/>
      <c r="S417" s="1201"/>
      <c r="T417" s="1201"/>
    </row>
    <row r="418" spans="12:20">
      <c r="L418" s="1179"/>
      <c r="M418" s="1183"/>
      <c r="N418" s="1183"/>
      <c r="O418" s="1183"/>
      <c r="P418" s="1201"/>
      <c r="Q418" s="1201"/>
      <c r="R418" s="1201"/>
      <c r="S418" s="1201"/>
      <c r="T418" s="1201"/>
    </row>
    <row r="419" spans="12:20">
      <c r="L419" s="1179"/>
      <c r="M419" s="1183"/>
      <c r="N419" s="1183"/>
      <c r="O419" s="1183"/>
      <c r="P419" s="1201"/>
      <c r="Q419" s="1201"/>
      <c r="R419" s="1201"/>
      <c r="S419" s="1201"/>
      <c r="T419" s="1201"/>
    </row>
    <row r="420" spans="12:20">
      <c r="L420" s="1179"/>
      <c r="M420" s="1183"/>
      <c r="N420" s="1183"/>
      <c r="O420" s="1183"/>
      <c r="P420" s="1201"/>
      <c r="Q420" s="1201"/>
      <c r="R420" s="1201"/>
      <c r="S420" s="1201"/>
      <c r="T420" s="1201"/>
    </row>
    <row r="421" spans="12:20">
      <c r="L421" s="1179"/>
      <c r="M421" s="1183"/>
      <c r="N421" s="1183"/>
      <c r="O421" s="1183"/>
      <c r="P421" s="1201"/>
      <c r="Q421" s="1201"/>
      <c r="R421" s="1201"/>
      <c r="S421" s="1201"/>
      <c r="T421" s="1201"/>
    </row>
    <row r="422" spans="12:20">
      <c r="L422" s="1179"/>
      <c r="M422" s="1183"/>
      <c r="N422" s="1183"/>
      <c r="O422" s="1183"/>
      <c r="P422" s="1201"/>
      <c r="Q422" s="1201"/>
      <c r="R422" s="1201"/>
      <c r="S422" s="1201"/>
      <c r="T422" s="1201"/>
    </row>
    <row r="423" spans="12:20">
      <c r="L423" s="1179"/>
      <c r="M423" s="1183"/>
      <c r="N423" s="1183"/>
      <c r="O423" s="1183"/>
      <c r="P423" s="1201"/>
      <c r="Q423" s="1201"/>
      <c r="R423" s="1201"/>
      <c r="S423" s="1201"/>
      <c r="T423" s="1201"/>
    </row>
    <row r="424" spans="12:20">
      <c r="L424" s="1179"/>
      <c r="M424" s="1183"/>
      <c r="N424" s="1183"/>
      <c r="O424" s="1183"/>
      <c r="P424" s="1201"/>
      <c r="Q424" s="1201"/>
      <c r="R424" s="1201"/>
      <c r="S424" s="1201"/>
      <c r="T424" s="1201"/>
    </row>
    <row r="425" spans="12:20">
      <c r="L425" s="1179"/>
      <c r="M425" s="1183"/>
      <c r="N425" s="1183"/>
      <c r="O425" s="1183"/>
      <c r="P425" s="1201"/>
      <c r="Q425" s="1201"/>
      <c r="R425" s="1201"/>
      <c r="S425" s="1201"/>
      <c r="T425" s="1201"/>
    </row>
    <row r="426" spans="12:20">
      <c r="L426" s="1179"/>
      <c r="M426" s="1183"/>
      <c r="N426" s="1183"/>
      <c r="O426" s="1183"/>
      <c r="P426" s="1201"/>
      <c r="Q426" s="1201"/>
      <c r="R426" s="1201"/>
      <c r="S426" s="1201"/>
      <c r="T426" s="1201"/>
    </row>
    <row r="427" spans="12:20">
      <c r="L427" s="1179"/>
      <c r="M427" s="1183"/>
      <c r="N427" s="1183"/>
      <c r="O427" s="1183"/>
      <c r="P427" s="1201"/>
      <c r="Q427" s="1201"/>
      <c r="R427" s="1201"/>
      <c r="S427" s="1201"/>
      <c r="T427" s="1201"/>
    </row>
    <row r="428" spans="12:20">
      <c r="L428" s="1179"/>
      <c r="M428" s="1183"/>
      <c r="N428" s="1183"/>
      <c r="O428" s="1183"/>
      <c r="P428" s="1201"/>
      <c r="Q428" s="1201"/>
      <c r="R428" s="1201"/>
      <c r="S428" s="1201"/>
      <c r="T428" s="1201"/>
    </row>
    <row r="429" spans="12:20">
      <c r="L429" s="1179"/>
      <c r="M429" s="1183"/>
      <c r="N429" s="1183"/>
      <c r="O429" s="1183"/>
      <c r="P429" s="1201"/>
      <c r="Q429" s="1201"/>
      <c r="R429" s="1201"/>
      <c r="S429" s="1201"/>
      <c r="T429" s="1201"/>
    </row>
    <row r="430" spans="12:20">
      <c r="L430" s="1179"/>
      <c r="M430" s="1183"/>
      <c r="N430" s="1183"/>
      <c r="O430" s="1183"/>
      <c r="P430" s="1201"/>
      <c r="Q430" s="1201"/>
      <c r="R430" s="1201"/>
      <c r="S430" s="1201"/>
      <c r="T430" s="1201"/>
    </row>
    <row r="431" spans="12:20">
      <c r="L431" s="1179"/>
      <c r="M431" s="1183"/>
      <c r="N431" s="1183"/>
      <c r="O431" s="1183"/>
      <c r="P431" s="1201"/>
      <c r="Q431" s="1201"/>
      <c r="R431" s="1201"/>
      <c r="S431" s="1201"/>
      <c r="T431" s="1201"/>
    </row>
    <row r="432" spans="12:20">
      <c r="L432" s="1179"/>
      <c r="M432" s="1183"/>
      <c r="N432" s="1183"/>
      <c r="O432" s="1183"/>
      <c r="P432" s="1201"/>
      <c r="Q432" s="1201"/>
      <c r="R432" s="1201"/>
      <c r="S432" s="1201"/>
      <c r="T432" s="1201"/>
    </row>
    <row r="433" spans="12:20">
      <c r="L433" s="1179"/>
      <c r="M433" s="1183"/>
      <c r="N433" s="1183"/>
      <c r="O433" s="1183"/>
      <c r="P433" s="1201"/>
      <c r="Q433" s="1201"/>
      <c r="R433" s="1201"/>
      <c r="S433" s="1201"/>
      <c r="T433" s="1201"/>
    </row>
    <row r="434" spans="12:20">
      <c r="L434" s="1179"/>
      <c r="M434" s="1183"/>
      <c r="N434" s="1183"/>
      <c r="O434" s="1183"/>
      <c r="P434" s="1201"/>
      <c r="Q434" s="1201"/>
      <c r="R434" s="1201"/>
      <c r="S434" s="1201"/>
      <c r="T434" s="1201"/>
    </row>
    <row r="435" spans="12:20">
      <c r="L435" s="1179"/>
      <c r="M435" s="1183"/>
      <c r="N435" s="1183"/>
      <c r="O435" s="1183"/>
      <c r="P435" s="1201"/>
      <c r="Q435" s="1201"/>
      <c r="R435" s="1201"/>
      <c r="S435" s="1201"/>
      <c r="T435" s="1201"/>
    </row>
    <row r="436" spans="12:20">
      <c r="L436" s="1179"/>
      <c r="M436" s="1183"/>
      <c r="N436" s="1183"/>
      <c r="O436" s="1183"/>
      <c r="P436" s="1201"/>
      <c r="Q436" s="1201"/>
      <c r="R436" s="1201"/>
      <c r="S436" s="1201"/>
      <c r="T436" s="1201"/>
    </row>
    <row r="437" spans="12:20">
      <c r="L437" s="1179"/>
      <c r="M437" s="1183"/>
      <c r="N437" s="1183"/>
      <c r="O437" s="1183"/>
      <c r="P437" s="1201"/>
      <c r="Q437" s="1201"/>
      <c r="R437" s="1201"/>
      <c r="S437" s="1201"/>
      <c r="T437" s="1201"/>
    </row>
    <row r="438" spans="12:20">
      <c r="L438" s="1179"/>
      <c r="M438" s="1183"/>
      <c r="N438" s="1183"/>
      <c r="O438" s="1183"/>
      <c r="P438" s="1201"/>
      <c r="Q438" s="1201"/>
      <c r="R438" s="1201"/>
      <c r="S438" s="1201"/>
      <c r="T438" s="1201"/>
    </row>
    <row r="439" spans="12:20">
      <c r="L439" s="1179"/>
      <c r="M439" s="1183"/>
      <c r="N439" s="1183"/>
      <c r="O439" s="1183"/>
      <c r="P439" s="1201"/>
      <c r="Q439" s="1201"/>
      <c r="R439" s="1201"/>
      <c r="S439" s="1201"/>
      <c r="T439" s="1201"/>
    </row>
    <row r="440" spans="12:20">
      <c r="L440" s="1179"/>
      <c r="M440" s="1183"/>
      <c r="N440" s="1183"/>
      <c r="O440" s="1183"/>
      <c r="P440" s="1201"/>
      <c r="Q440" s="1201"/>
      <c r="R440" s="1201"/>
      <c r="S440" s="1201"/>
      <c r="T440" s="1201"/>
    </row>
    <row r="441" spans="12:20">
      <c r="L441" s="1179"/>
      <c r="M441" s="1183"/>
      <c r="N441" s="1183"/>
      <c r="O441" s="1183"/>
      <c r="P441" s="1201"/>
      <c r="Q441" s="1201"/>
      <c r="R441" s="1201"/>
      <c r="S441" s="1201"/>
      <c r="T441" s="1201"/>
    </row>
    <row r="442" spans="12:20">
      <c r="L442" s="1179"/>
      <c r="M442" s="1183"/>
      <c r="N442" s="1183"/>
      <c r="O442" s="1183"/>
      <c r="P442" s="1201"/>
      <c r="Q442" s="1201"/>
      <c r="R442" s="1201"/>
      <c r="S442" s="1201"/>
      <c r="T442" s="1201"/>
    </row>
    <row r="443" spans="12:20">
      <c r="L443" s="1179"/>
      <c r="M443" s="1183"/>
      <c r="N443" s="1183"/>
      <c r="O443" s="1183"/>
      <c r="P443" s="1201"/>
      <c r="Q443" s="1201"/>
      <c r="R443" s="1201"/>
      <c r="S443" s="1201"/>
      <c r="T443" s="1201"/>
    </row>
    <row r="444" spans="12:20">
      <c r="L444" s="1179"/>
      <c r="M444" s="1183"/>
      <c r="N444" s="1183"/>
      <c r="O444" s="1183"/>
      <c r="P444" s="1201"/>
      <c r="Q444" s="1201"/>
      <c r="R444" s="1201"/>
      <c r="S444" s="1201"/>
      <c r="T444" s="1201"/>
    </row>
    <row r="445" spans="12:20">
      <c r="L445" s="1179"/>
      <c r="M445" s="1183"/>
      <c r="N445" s="1183"/>
      <c r="O445" s="1183"/>
      <c r="P445" s="1201"/>
      <c r="Q445" s="1201"/>
      <c r="R445" s="1201"/>
      <c r="S445" s="1201"/>
      <c r="T445" s="1201"/>
    </row>
    <row r="446" spans="12:20">
      <c r="L446" s="1179"/>
      <c r="M446" s="1183"/>
      <c r="N446" s="1183"/>
      <c r="O446" s="1183"/>
      <c r="P446" s="1201"/>
      <c r="Q446" s="1201"/>
      <c r="R446" s="1201"/>
      <c r="S446" s="1201"/>
      <c r="T446" s="1201"/>
    </row>
    <row r="447" spans="12:20">
      <c r="L447" s="1179"/>
      <c r="M447" s="1183"/>
      <c r="N447" s="1183"/>
      <c r="O447" s="1183"/>
      <c r="P447" s="1201"/>
      <c r="Q447" s="1201"/>
      <c r="R447" s="1201"/>
      <c r="S447" s="1201"/>
      <c r="T447" s="1201"/>
    </row>
    <row r="448" spans="12:20">
      <c r="L448" s="1179"/>
      <c r="M448" s="1183"/>
      <c r="N448" s="1183"/>
      <c r="O448" s="1183"/>
      <c r="P448" s="1201"/>
      <c r="Q448" s="1201"/>
      <c r="R448" s="1201"/>
      <c r="S448" s="1201"/>
      <c r="T448" s="1201"/>
    </row>
    <row r="449" spans="12:20">
      <c r="L449" s="1179"/>
      <c r="M449" s="1183"/>
      <c r="N449" s="1183"/>
      <c r="O449" s="1183"/>
      <c r="P449" s="1201"/>
      <c r="Q449" s="1201"/>
      <c r="R449" s="1201"/>
      <c r="S449" s="1201"/>
      <c r="T449" s="1201"/>
    </row>
    <row r="450" spans="12:20">
      <c r="L450" s="1179"/>
      <c r="M450" s="1183"/>
      <c r="N450" s="1183"/>
      <c r="O450" s="1183"/>
      <c r="P450" s="1201"/>
      <c r="Q450" s="1201"/>
      <c r="R450" s="1201"/>
      <c r="S450" s="1201"/>
      <c r="T450" s="1201"/>
    </row>
    <row r="451" spans="12:20">
      <c r="L451" s="1179"/>
      <c r="M451" s="1183"/>
      <c r="N451" s="1183"/>
      <c r="O451" s="1183"/>
      <c r="P451" s="1201"/>
      <c r="Q451" s="1201"/>
      <c r="R451" s="1201"/>
      <c r="S451" s="1201"/>
      <c r="T451" s="1201"/>
    </row>
    <row r="452" spans="12:20">
      <c r="L452" s="1179"/>
      <c r="M452" s="1183"/>
      <c r="N452" s="1183"/>
      <c r="O452" s="1183"/>
      <c r="P452" s="1201"/>
      <c r="Q452" s="1201"/>
      <c r="R452" s="1201"/>
      <c r="S452" s="1201"/>
      <c r="T452" s="1201"/>
    </row>
    <row r="453" spans="12:20">
      <c r="L453" s="1179"/>
      <c r="M453" s="1183"/>
      <c r="N453" s="1183"/>
      <c r="O453" s="1183"/>
      <c r="P453" s="1201"/>
      <c r="Q453" s="1201"/>
      <c r="R453" s="1201"/>
      <c r="S453" s="1201"/>
      <c r="T453" s="1201"/>
    </row>
    <row r="454" spans="12:20">
      <c r="L454" s="1179"/>
      <c r="M454" s="1183"/>
      <c r="N454" s="1183"/>
      <c r="O454" s="1183"/>
      <c r="P454" s="1201"/>
      <c r="Q454" s="1201"/>
      <c r="R454" s="1201"/>
      <c r="S454" s="1201"/>
      <c r="T454" s="1201"/>
    </row>
    <row r="455" spans="12:20">
      <c r="L455" s="1179"/>
      <c r="M455" s="1183"/>
      <c r="N455" s="1183"/>
      <c r="O455" s="1183"/>
      <c r="P455" s="1201"/>
      <c r="Q455" s="1201"/>
      <c r="R455" s="1201"/>
      <c r="S455" s="1201"/>
      <c r="T455" s="1201"/>
    </row>
    <row r="456" spans="12:20">
      <c r="L456" s="1179"/>
      <c r="M456" s="1183"/>
      <c r="N456" s="1183"/>
      <c r="O456" s="1183"/>
      <c r="P456" s="1201"/>
      <c r="Q456" s="1201"/>
      <c r="R456" s="1201"/>
      <c r="S456" s="1201"/>
      <c r="T456" s="1201"/>
    </row>
    <row r="457" spans="12:20">
      <c r="L457" s="1179"/>
      <c r="M457" s="1183"/>
      <c r="N457" s="1183"/>
      <c r="O457" s="1183"/>
      <c r="P457" s="1201"/>
      <c r="Q457" s="1201"/>
      <c r="R457" s="1201"/>
      <c r="S457" s="1201"/>
      <c r="T457" s="1201"/>
    </row>
    <row r="458" spans="12:20">
      <c r="L458" s="1179"/>
      <c r="M458" s="1183"/>
      <c r="N458" s="1183"/>
      <c r="O458" s="1183"/>
      <c r="P458" s="1201"/>
      <c r="Q458" s="1201"/>
      <c r="R458" s="1201"/>
      <c r="S458" s="1201"/>
      <c r="T458" s="1201"/>
    </row>
    <row r="459" spans="12:20">
      <c r="L459" s="1179"/>
      <c r="M459" s="1183"/>
      <c r="N459" s="1183"/>
      <c r="O459" s="1183"/>
      <c r="P459" s="1201"/>
      <c r="Q459" s="1201"/>
      <c r="R459" s="1201"/>
      <c r="S459" s="1201"/>
      <c r="T459" s="1201"/>
    </row>
    <row r="460" spans="12:20">
      <c r="L460" s="1179"/>
      <c r="M460" s="1183"/>
      <c r="N460" s="1183"/>
      <c r="O460" s="1183"/>
      <c r="P460" s="1201"/>
      <c r="Q460" s="1201"/>
      <c r="R460" s="1201"/>
      <c r="S460" s="1201"/>
      <c r="T460" s="1201"/>
    </row>
    <row r="461" spans="12:20">
      <c r="L461" s="1179"/>
      <c r="M461" s="1183"/>
      <c r="N461" s="1183"/>
      <c r="O461" s="1183"/>
      <c r="P461" s="1201"/>
      <c r="Q461" s="1201"/>
      <c r="R461" s="1201"/>
      <c r="S461" s="1201"/>
      <c r="T461" s="1201"/>
    </row>
    <row r="462" spans="12:20">
      <c r="L462" s="1179"/>
      <c r="M462" s="1183"/>
      <c r="N462" s="1183"/>
      <c r="O462" s="1183"/>
      <c r="P462" s="1201"/>
      <c r="Q462" s="1201"/>
      <c r="R462" s="1201"/>
      <c r="S462" s="1201"/>
      <c r="T462" s="1201"/>
    </row>
    <row r="463" spans="12:20">
      <c r="L463" s="1179"/>
      <c r="M463" s="1183"/>
      <c r="N463" s="1183"/>
      <c r="O463" s="1183"/>
      <c r="P463" s="1201"/>
      <c r="Q463" s="1201"/>
      <c r="R463" s="1201"/>
      <c r="S463" s="1201"/>
      <c r="T463" s="1201"/>
    </row>
    <row r="464" spans="12:20">
      <c r="L464" s="1179"/>
      <c r="M464" s="1183"/>
      <c r="N464" s="1183"/>
      <c r="O464" s="1183"/>
      <c r="P464" s="1201"/>
      <c r="Q464" s="1201"/>
      <c r="R464" s="1201"/>
      <c r="S464" s="1201"/>
      <c r="T464" s="1201"/>
    </row>
    <row r="465" spans="12:20">
      <c r="L465" s="1179"/>
      <c r="M465" s="1183"/>
      <c r="N465" s="1183"/>
      <c r="O465" s="1183"/>
      <c r="P465" s="1201"/>
      <c r="Q465" s="1201"/>
      <c r="R465" s="1201"/>
      <c r="S465" s="1201"/>
      <c r="T465" s="1201"/>
    </row>
    <row r="466" spans="12:20">
      <c r="L466" s="1179"/>
      <c r="M466" s="1183"/>
      <c r="N466" s="1183"/>
      <c r="O466" s="1183"/>
      <c r="P466" s="1201"/>
      <c r="Q466" s="1201"/>
      <c r="R466" s="1201"/>
      <c r="S466" s="1201"/>
      <c r="T466" s="1201"/>
    </row>
    <row r="467" spans="12:20">
      <c r="L467" s="1179"/>
      <c r="M467" s="1183"/>
      <c r="N467" s="1183"/>
      <c r="O467" s="1183"/>
      <c r="P467" s="1201"/>
      <c r="Q467" s="1201"/>
      <c r="R467" s="1201"/>
      <c r="S467" s="1201"/>
      <c r="T467" s="1201"/>
    </row>
    <row r="468" spans="12:20">
      <c r="L468" s="1179"/>
      <c r="M468" s="1183"/>
      <c r="N468" s="1183"/>
      <c r="O468" s="1183"/>
      <c r="P468" s="1201"/>
      <c r="Q468" s="1201"/>
      <c r="R468" s="1201"/>
      <c r="S468" s="1201"/>
      <c r="T468" s="1201"/>
    </row>
    <row r="469" spans="12:20">
      <c r="L469" s="1179"/>
      <c r="M469" s="1183"/>
      <c r="N469" s="1183"/>
      <c r="O469" s="1183"/>
      <c r="P469" s="1201"/>
      <c r="Q469" s="1201"/>
      <c r="R469" s="1201"/>
      <c r="S469" s="1201"/>
      <c r="T469" s="1201"/>
    </row>
    <row r="470" spans="12:20">
      <c r="L470" s="1179"/>
      <c r="M470" s="1183"/>
      <c r="N470" s="1183"/>
      <c r="O470" s="1183"/>
      <c r="P470" s="1201"/>
      <c r="Q470" s="1201"/>
      <c r="R470" s="1201"/>
      <c r="S470" s="1201"/>
      <c r="T470" s="1201"/>
    </row>
    <row r="471" spans="12:20">
      <c r="L471" s="1179"/>
      <c r="M471" s="1183"/>
      <c r="N471" s="1183"/>
      <c r="O471" s="1183"/>
      <c r="P471" s="1201"/>
      <c r="Q471" s="1201"/>
      <c r="R471" s="1201"/>
      <c r="S471" s="1201"/>
      <c r="T471" s="1201"/>
    </row>
    <row r="472" spans="12:20">
      <c r="L472" s="1179"/>
      <c r="M472" s="1183"/>
      <c r="N472" s="1183"/>
      <c r="O472" s="1183"/>
      <c r="P472" s="1201"/>
      <c r="Q472" s="1201"/>
      <c r="R472" s="1201"/>
      <c r="S472" s="1201"/>
      <c r="T472" s="1201"/>
    </row>
    <row r="473" spans="12:20">
      <c r="L473" s="1179"/>
      <c r="M473" s="1183"/>
      <c r="N473" s="1183"/>
      <c r="O473" s="1183"/>
      <c r="P473" s="1201"/>
      <c r="Q473" s="1201"/>
      <c r="R473" s="1201"/>
      <c r="S473" s="1201"/>
      <c r="T473" s="1201"/>
    </row>
    <row r="474" spans="12:20">
      <c r="L474" s="1179"/>
      <c r="M474" s="1183"/>
      <c r="N474" s="1183"/>
      <c r="O474" s="1183"/>
      <c r="P474" s="1201"/>
      <c r="Q474" s="1201"/>
      <c r="R474" s="1201"/>
      <c r="S474" s="1201"/>
      <c r="T474" s="1201"/>
    </row>
    <row r="475" spans="12:20">
      <c r="L475" s="1179"/>
      <c r="M475" s="1183"/>
      <c r="N475" s="1183"/>
      <c r="O475" s="1183"/>
      <c r="P475" s="1201"/>
      <c r="Q475" s="1201"/>
      <c r="R475" s="1201"/>
      <c r="S475" s="1201"/>
      <c r="T475" s="1201"/>
    </row>
    <row r="476" spans="12:20">
      <c r="L476" s="1179"/>
      <c r="M476" s="1183"/>
      <c r="N476" s="1183"/>
      <c r="O476" s="1183"/>
      <c r="P476" s="1201"/>
      <c r="Q476" s="1201"/>
      <c r="R476" s="1201"/>
      <c r="S476" s="1201"/>
      <c r="T476" s="1201"/>
    </row>
    <row r="477" spans="12:20">
      <c r="L477" s="1179"/>
      <c r="M477" s="1183"/>
      <c r="N477" s="1183"/>
      <c r="O477" s="1183"/>
      <c r="P477" s="1201"/>
      <c r="Q477" s="1201"/>
      <c r="R477" s="1201"/>
      <c r="S477" s="1201"/>
      <c r="T477" s="1201"/>
    </row>
    <row r="478" spans="12:20">
      <c r="L478" s="1179"/>
      <c r="M478" s="1183"/>
      <c r="N478" s="1183"/>
      <c r="O478" s="1183"/>
      <c r="P478" s="1201"/>
      <c r="Q478" s="1201"/>
      <c r="R478" s="1201"/>
      <c r="S478" s="1201"/>
      <c r="T478" s="1201"/>
    </row>
    <row r="479" spans="12:20">
      <c r="L479" s="1179"/>
      <c r="M479" s="1183"/>
      <c r="N479" s="1183"/>
      <c r="O479" s="1183"/>
      <c r="P479" s="1201"/>
      <c r="Q479" s="1201"/>
      <c r="R479" s="1201"/>
      <c r="S479" s="1201"/>
      <c r="T479" s="1201"/>
    </row>
    <row r="480" spans="12:20">
      <c r="L480" s="1179"/>
      <c r="M480" s="1183"/>
      <c r="N480" s="1183"/>
      <c r="O480" s="1183"/>
      <c r="P480" s="1201"/>
      <c r="Q480" s="1201"/>
      <c r="R480" s="1201"/>
      <c r="S480" s="1201"/>
      <c r="T480" s="1201"/>
    </row>
    <row r="481" spans="12:20">
      <c r="L481" s="1179"/>
      <c r="M481" s="1183"/>
      <c r="N481" s="1183"/>
      <c r="O481" s="1183"/>
      <c r="P481" s="1201"/>
      <c r="Q481" s="1201"/>
      <c r="R481" s="1201"/>
      <c r="S481" s="1201"/>
      <c r="T481" s="1201"/>
    </row>
    <row r="482" spans="12:20">
      <c r="L482" s="1179"/>
      <c r="M482" s="1183"/>
      <c r="N482" s="1183"/>
      <c r="O482" s="1183"/>
      <c r="P482" s="1201"/>
      <c r="Q482" s="1201"/>
      <c r="R482" s="1201"/>
      <c r="S482" s="1201"/>
      <c r="T482" s="1201"/>
    </row>
    <row r="483" spans="12:20">
      <c r="L483" s="1179"/>
      <c r="M483" s="1183"/>
      <c r="N483" s="1183"/>
      <c r="O483" s="1183"/>
      <c r="P483" s="1201"/>
      <c r="Q483" s="1201"/>
      <c r="R483" s="1201"/>
      <c r="S483" s="1201"/>
      <c r="T483" s="1201"/>
    </row>
    <row r="484" spans="12:20">
      <c r="L484" s="1179"/>
      <c r="M484" s="1183"/>
      <c r="N484" s="1183"/>
      <c r="O484" s="1183"/>
      <c r="P484" s="1201"/>
      <c r="Q484" s="1201"/>
      <c r="R484" s="1201"/>
      <c r="S484" s="1201"/>
      <c r="T484" s="1201"/>
    </row>
    <row r="485" spans="12:20">
      <c r="L485" s="1179"/>
      <c r="M485" s="1183"/>
      <c r="N485" s="1183"/>
      <c r="O485" s="1183"/>
      <c r="P485" s="1201"/>
      <c r="Q485" s="1201"/>
      <c r="R485" s="1201"/>
      <c r="S485" s="1201"/>
      <c r="T485" s="1201"/>
    </row>
    <row r="486" spans="12:20">
      <c r="L486" s="1179"/>
      <c r="M486" s="1183"/>
      <c r="N486" s="1183"/>
      <c r="O486" s="1183"/>
      <c r="P486" s="1201"/>
      <c r="Q486" s="1201"/>
      <c r="R486" s="1201"/>
      <c r="S486" s="1201"/>
      <c r="T486" s="1201"/>
    </row>
    <row r="487" spans="12:20">
      <c r="L487" s="1179"/>
      <c r="M487" s="1183"/>
      <c r="N487" s="1183"/>
      <c r="O487" s="1183"/>
      <c r="P487" s="1201"/>
      <c r="Q487" s="1201"/>
      <c r="R487" s="1201"/>
      <c r="S487" s="1201"/>
      <c r="T487" s="1201"/>
    </row>
    <row r="488" spans="12:20">
      <c r="L488" s="1179"/>
      <c r="M488" s="1183"/>
      <c r="N488" s="1183"/>
      <c r="O488" s="1183"/>
      <c r="P488" s="1201"/>
      <c r="Q488" s="1201"/>
      <c r="R488" s="1201"/>
      <c r="S488" s="1201"/>
      <c r="T488" s="1201"/>
    </row>
    <row r="489" spans="12:20">
      <c r="L489" s="1179"/>
      <c r="M489" s="1183"/>
      <c r="N489" s="1183"/>
      <c r="O489" s="1183"/>
      <c r="P489" s="1201"/>
      <c r="Q489" s="1201"/>
      <c r="R489" s="1201"/>
      <c r="S489" s="1201"/>
      <c r="T489" s="1201"/>
    </row>
    <row r="490" spans="12:20">
      <c r="L490" s="1179"/>
      <c r="M490" s="1183"/>
      <c r="N490" s="1183"/>
      <c r="O490" s="1183"/>
      <c r="P490" s="1201"/>
      <c r="Q490" s="1201"/>
      <c r="R490" s="1201"/>
      <c r="S490" s="1201"/>
      <c r="T490" s="1201"/>
    </row>
    <row r="491" spans="12:20">
      <c r="L491" s="1179"/>
      <c r="M491" s="1183"/>
      <c r="N491" s="1183"/>
      <c r="O491" s="1183"/>
      <c r="P491" s="1201"/>
      <c r="Q491" s="1201"/>
      <c r="R491" s="1201"/>
      <c r="S491" s="1201"/>
      <c r="T491" s="1201"/>
    </row>
    <row r="492" spans="12:20">
      <c r="L492" s="1179"/>
      <c r="M492" s="1183"/>
      <c r="N492" s="1183"/>
      <c r="O492" s="1183"/>
      <c r="P492" s="1201"/>
      <c r="Q492" s="1201"/>
      <c r="R492" s="1201"/>
      <c r="S492" s="1201"/>
      <c r="T492" s="1201"/>
    </row>
    <row r="493" spans="12:20">
      <c r="L493" s="1179"/>
      <c r="M493" s="1183"/>
      <c r="N493" s="1183"/>
      <c r="O493" s="1183"/>
      <c r="P493" s="1201"/>
      <c r="Q493" s="1201"/>
      <c r="R493" s="1201"/>
      <c r="S493" s="1201"/>
      <c r="T493" s="1201"/>
    </row>
    <row r="494" spans="12:20">
      <c r="L494" s="1179"/>
      <c r="M494" s="1183"/>
      <c r="N494" s="1183"/>
      <c r="O494" s="1183"/>
      <c r="P494" s="1201"/>
      <c r="Q494" s="1201"/>
      <c r="R494" s="1201"/>
      <c r="S494" s="1201"/>
      <c r="T494" s="1201"/>
    </row>
    <row r="495" spans="12:20">
      <c r="L495" s="1179"/>
      <c r="M495" s="1183"/>
      <c r="N495" s="1183"/>
      <c r="O495" s="1183"/>
      <c r="P495" s="1201"/>
      <c r="Q495" s="1201"/>
      <c r="R495" s="1201"/>
      <c r="S495" s="1201"/>
      <c r="T495" s="1201"/>
    </row>
    <row r="496" spans="12:20">
      <c r="L496" s="1179"/>
      <c r="M496" s="1183"/>
      <c r="N496" s="1183"/>
      <c r="O496" s="1183"/>
      <c r="P496" s="1201"/>
      <c r="Q496" s="1201"/>
      <c r="R496" s="1201"/>
      <c r="S496" s="1201"/>
      <c r="T496" s="1201"/>
    </row>
    <row r="497" spans="12:20">
      <c r="L497" s="1179"/>
      <c r="M497" s="1183"/>
      <c r="N497" s="1183"/>
      <c r="O497" s="1183"/>
      <c r="P497" s="1201"/>
      <c r="Q497" s="1201"/>
      <c r="R497" s="1201"/>
      <c r="S497" s="1201"/>
      <c r="T497" s="1201"/>
    </row>
    <row r="498" spans="12:20">
      <c r="L498" s="1179"/>
      <c r="M498" s="1183"/>
      <c r="N498" s="1183"/>
      <c r="O498" s="1183"/>
      <c r="P498" s="1201"/>
      <c r="Q498" s="1201"/>
      <c r="R498" s="1201"/>
      <c r="S498" s="1201"/>
      <c r="T498" s="1201"/>
    </row>
    <row r="499" spans="12:20">
      <c r="L499" s="1179"/>
      <c r="M499" s="1183"/>
      <c r="N499" s="1183"/>
      <c r="O499" s="1183"/>
      <c r="P499" s="1201"/>
      <c r="Q499" s="1201"/>
      <c r="R499" s="1201"/>
      <c r="S499" s="1201"/>
      <c r="T499" s="1201"/>
    </row>
    <row r="500" spans="12:20">
      <c r="L500" s="1179"/>
      <c r="M500" s="1183"/>
      <c r="N500" s="1183"/>
      <c r="O500" s="1183"/>
      <c r="P500" s="1201"/>
      <c r="Q500" s="1201"/>
      <c r="R500" s="1201"/>
      <c r="S500" s="1201"/>
      <c r="T500" s="1201"/>
    </row>
    <row r="501" spans="12:20">
      <c r="L501" s="1179"/>
      <c r="M501" s="1183"/>
      <c r="N501" s="1183"/>
      <c r="O501" s="1183"/>
      <c r="P501" s="1201"/>
      <c r="Q501" s="1201"/>
      <c r="R501" s="1201"/>
      <c r="S501" s="1201"/>
      <c r="T501" s="1201"/>
    </row>
    <row r="502" spans="12:20">
      <c r="L502" s="1179"/>
      <c r="M502" s="1183"/>
      <c r="N502" s="1183"/>
      <c r="O502" s="1183"/>
      <c r="P502" s="1201"/>
      <c r="Q502" s="1201"/>
      <c r="R502" s="1201"/>
      <c r="S502" s="1201"/>
      <c r="T502" s="1201"/>
    </row>
    <row r="503" spans="12:20">
      <c r="L503" s="1179"/>
      <c r="M503" s="1183"/>
      <c r="N503" s="1183"/>
      <c r="O503" s="1183"/>
      <c r="P503" s="1201"/>
      <c r="Q503" s="1201"/>
      <c r="R503" s="1201"/>
      <c r="S503" s="1201"/>
      <c r="T503" s="1201"/>
    </row>
    <row r="504" spans="12:20">
      <c r="L504" s="1179"/>
      <c r="M504" s="1183"/>
      <c r="N504" s="1183"/>
      <c r="O504" s="1183"/>
      <c r="P504" s="1201"/>
      <c r="Q504" s="1201"/>
      <c r="R504" s="1201"/>
      <c r="S504" s="1201"/>
      <c r="T504" s="1201"/>
    </row>
    <row r="505" spans="12:20">
      <c r="L505" s="1179"/>
      <c r="M505" s="1183"/>
      <c r="N505" s="1183"/>
      <c r="O505" s="1183"/>
      <c r="P505" s="1201"/>
      <c r="Q505" s="1201"/>
      <c r="R505" s="1201"/>
      <c r="S505" s="1201"/>
      <c r="T505" s="1201"/>
    </row>
    <row r="506" spans="12:20">
      <c r="L506" s="1179"/>
      <c r="M506" s="1183"/>
      <c r="N506" s="1183"/>
      <c r="O506" s="1183"/>
      <c r="P506" s="1201"/>
      <c r="Q506" s="1201"/>
      <c r="R506" s="1201"/>
      <c r="S506" s="1201"/>
      <c r="T506" s="1201"/>
    </row>
    <row r="507" spans="12:20">
      <c r="L507" s="1179"/>
      <c r="M507" s="1183"/>
      <c r="N507" s="1183"/>
      <c r="O507" s="1183"/>
      <c r="P507" s="1201"/>
      <c r="Q507" s="1201"/>
      <c r="R507" s="1201"/>
      <c r="S507" s="1201"/>
      <c r="T507" s="1201"/>
    </row>
    <row r="508" spans="12:20">
      <c r="L508" s="1179"/>
      <c r="M508" s="1183"/>
      <c r="N508" s="1183"/>
      <c r="O508" s="1183"/>
      <c r="P508" s="1201"/>
      <c r="Q508" s="1201"/>
      <c r="R508" s="1201"/>
      <c r="S508" s="1201"/>
      <c r="T508" s="1201"/>
    </row>
    <row r="509" spans="12:20">
      <c r="L509" s="1179"/>
      <c r="M509" s="1183"/>
      <c r="N509" s="1183"/>
      <c r="O509" s="1183"/>
      <c r="P509" s="1201"/>
      <c r="Q509" s="1201"/>
      <c r="R509" s="1201"/>
      <c r="S509" s="1201"/>
      <c r="T509" s="1201"/>
    </row>
    <row r="510" spans="12:20">
      <c r="L510" s="1179"/>
      <c r="M510" s="1183"/>
      <c r="N510" s="1183"/>
      <c r="O510" s="1183"/>
      <c r="P510" s="1201"/>
      <c r="Q510" s="1201"/>
      <c r="R510" s="1201"/>
      <c r="S510" s="1201"/>
      <c r="T510" s="1201"/>
    </row>
    <row r="511" spans="12:20">
      <c r="L511" s="1179"/>
      <c r="M511" s="1183"/>
      <c r="N511" s="1183"/>
      <c r="O511" s="1183"/>
      <c r="P511" s="1201"/>
      <c r="Q511" s="1201"/>
      <c r="R511" s="1201"/>
      <c r="S511" s="1201"/>
      <c r="T511" s="1201"/>
    </row>
    <row r="512" spans="12:20">
      <c r="L512" s="1179"/>
      <c r="M512" s="1183"/>
      <c r="N512" s="1183"/>
      <c r="O512" s="1183"/>
      <c r="P512" s="1201"/>
      <c r="Q512" s="1201"/>
      <c r="R512" s="1201"/>
      <c r="S512" s="1201"/>
      <c r="T512" s="1201"/>
    </row>
    <row r="513" spans="12:20">
      <c r="L513" s="1179"/>
      <c r="M513" s="1183"/>
      <c r="N513" s="1183"/>
      <c r="O513" s="1183"/>
      <c r="P513" s="1201"/>
      <c r="Q513" s="1201"/>
      <c r="R513" s="1201"/>
      <c r="S513" s="1201"/>
      <c r="T513" s="1201"/>
    </row>
    <row r="514" spans="12:20">
      <c r="L514" s="1179"/>
      <c r="M514" s="1183"/>
      <c r="N514" s="1183"/>
      <c r="O514" s="1183"/>
      <c r="P514" s="1201"/>
      <c r="Q514" s="1201"/>
      <c r="R514" s="1201"/>
      <c r="S514" s="1201"/>
      <c r="T514" s="1201"/>
    </row>
    <row r="515" spans="12:20">
      <c r="L515" s="1179"/>
      <c r="M515" s="1183"/>
      <c r="N515" s="1183"/>
      <c r="O515" s="1183"/>
      <c r="P515" s="1201"/>
      <c r="Q515" s="1201"/>
      <c r="R515" s="1201"/>
      <c r="S515" s="1201"/>
      <c r="T515" s="1201"/>
    </row>
    <row r="516" spans="12:20">
      <c r="L516" s="1179"/>
      <c r="M516" s="1183"/>
      <c r="N516" s="1183"/>
      <c r="O516" s="1183"/>
      <c r="P516" s="1201"/>
      <c r="Q516" s="1201"/>
      <c r="R516" s="1201"/>
      <c r="S516" s="1201"/>
      <c r="T516" s="1201"/>
    </row>
    <row r="517" spans="12:20">
      <c r="L517" s="1179"/>
      <c r="M517" s="1183"/>
      <c r="N517" s="1183"/>
      <c r="O517" s="1183"/>
      <c r="P517" s="1201"/>
      <c r="Q517" s="1201"/>
      <c r="R517" s="1201"/>
      <c r="S517" s="1201"/>
      <c r="T517" s="1201"/>
    </row>
    <row r="518" spans="12:20">
      <c r="L518" s="1179"/>
      <c r="M518" s="1183"/>
      <c r="N518" s="1183"/>
      <c r="O518" s="1183"/>
      <c r="P518" s="1201"/>
      <c r="Q518" s="1201"/>
      <c r="R518" s="1201"/>
      <c r="S518" s="1201"/>
      <c r="T518" s="1201"/>
    </row>
    <row r="519" spans="12:20">
      <c r="L519" s="1179"/>
      <c r="M519" s="1183"/>
      <c r="N519" s="1183"/>
      <c r="O519" s="1183"/>
      <c r="P519" s="1201"/>
      <c r="Q519" s="1201"/>
      <c r="R519" s="1201"/>
      <c r="S519" s="1201"/>
      <c r="T519" s="1201"/>
    </row>
    <row r="520" spans="12:20">
      <c r="L520" s="1179"/>
      <c r="M520" s="1183"/>
      <c r="N520" s="1183"/>
      <c r="O520" s="1183"/>
      <c r="P520" s="1201"/>
      <c r="Q520" s="1201"/>
      <c r="R520" s="1201"/>
      <c r="S520" s="1201"/>
      <c r="T520" s="1201"/>
    </row>
    <row r="521" spans="12:20">
      <c r="L521" s="1179"/>
      <c r="M521" s="1183"/>
      <c r="N521" s="1183"/>
      <c r="O521" s="1183"/>
      <c r="P521" s="1201"/>
      <c r="Q521" s="1201"/>
      <c r="R521" s="1201"/>
      <c r="S521" s="1201"/>
      <c r="T521" s="1201"/>
    </row>
    <row r="522" spans="12:20">
      <c r="L522" s="1179"/>
      <c r="M522" s="1183"/>
      <c r="N522" s="1183"/>
      <c r="O522" s="1183"/>
      <c r="P522" s="1201"/>
      <c r="Q522" s="1201"/>
      <c r="R522" s="1201"/>
      <c r="S522" s="1201"/>
      <c r="T522" s="1201"/>
    </row>
    <row r="523" spans="12:20">
      <c r="L523" s="1179"/>
      <c r="M523" s="1183"/>
      <c r="N523" s="1183"/>
      <c r="O523" s="1183"/>
      <c r="P523" s="1201"/>
      <c r="Q523" s="1201"/>
      <c r="R523" s="1201"/>
      <c r="S523" s="1201"/>
      <c r="T523" s="1201"/>
    </row>
    <row r="524" spans="12:20">
      <c r="L524" s="1179"/>
      <c r="M524" s="1183"/>
      <c r="N524" s="1183"/>
      <c r="O524" s="1183"/>
      <c r="P524" s="1201"/>
      <c r="Q524" s="1201"/>
      <c r="R524" s="1201"/>
      <c r="S524" s="1201"/>
      <c r="T524" s="1201"/>
    </row>
    <row r="525" spans="12:20">
      <c r="L525" s="1179"/>
      <c r="M525" s="1183"/>
      <c r="N525" s="1183"/>
      <c r="O525" s="1183"/>
      <c r="P525" s="1201"/>
      <c r="Q525" s="1201"/>
      <c r="R525" s="1201"/>
      <c r="S525" s="1201"/>
      <c r="T525" s="1201"/>
    </row>
    <row r="526" spans="12:20">
      <c r="L526" s="1179"/>
      <c r="M526" s="1183"/>
      <c r="N526" s="1183"/>
      <c r="O526" s="1183"/>
      <c r="P526" s="1201"/>
      <c r="Q526" s="1201"/>
      <c r="R526" s="1201"/>
      <c r="S526" s="1201"/>
      <c r="T526" s="1201"/>
    </row>
    <row r="527" spans="12:20">
      <c r="L527" s="1179"/>
      <c r="M527" s="1183"/>
      <c r="N527" s="1183"/>
      <c r="O527" s="1183"/>
      <c r="P527" s="1201"/>
      <c r="Q527" s="1201"/>
      <c r="R527" s="1201"/>
      <c r="S527" s="1201"/>
      <c r="T527" s="1201"/>
    </row>
    <row r="528" spans="12:20">
      <c r="L528" s="1179"/>
      <c r="M528" s="1183"/>
      <c r="N528" s="1183"/>
      <c r="O528" s="1183"/>
      <c r="P528" s="1201"/>
      <c r="Q528" s="1201"/>
      <c r="R528" s="1201"/>
      <c r="S528" s="1201"/>
      <c r="T528" s="1201"/>
    </row>
    <row r="529" spans="12:20">
      <c r="L529" s="1179"/>
      <c r="M529" s="1183"/>
      <c r="N529" s="1183"/>
      <c r="O529" s="1183"/>
      <c r="P529" s="1201"/>
      <c r="Q529" s="1201"/>
      <c r="R529" s="1201"/>
      <c r="S529" s="1201"/>
      <c r="T529" s="1201"/>
    </row>
    <row r="530" spans="12:20">
      <c r="L530" s="1179"/>
      <c r="M530" s="1183"/>
      <c r="N530" s="1183"/>
      <c r="O530" s="1183"/>
      <c r="P530" s="1201"/>
      <c r="Q530" s="1201"/>
      <c r="R530" s="1201"/>
      <c r="S530" s="1201"/>
      <c r="T530" s="1201"/>
    </row>
    <row r="531" spans="12:20">
      <c r="L531" s="1179"/>
      <c r="M531" s="1183"/>
      <c r="N531" s="1183"/>
      <c r="O531" s="1183"/>
      <c r="P531" s="1201"/>
      <c r="Q531" s="1201"/>
      <c r="R531" s="1201"/>
      <c r="S531" s="1201"/>
      <c r="T531" s="1201"/>
    </row>
    <row r="532" spans="12:20">
      <c r="L532" s="1179"/>
      <c r="M532" s="1183"/>
      <c r="N532" s="1183"/>
      <c r="O532" s="1183"/>
      <c r="P532" s="1201"/>
      <c r="Q532" s="1201"/>
      <c r="R532" s="1201"/>
      <c r="S532" s="1201"/>
      <c r="T532" s="1201"/>
    </row>
    <row r="533" spans="12:20">
      <c r="L533" s="1179"/>
      <c r="M533" s="1183"/>
      <c r="N533" s="1183"/>
      <c r="O533" s="1183"/>
      <c r="P533" s="1201"/>
      <c r="Q533" s="1201"/>
      <c r="R533" s="1201"/>
      <c r="S533" s="1201"/>
      <c r="T533" s="1201"/>
    </row>
    <row r="534" spans="12:20">
      <c r="L534" s="1179"/>
      <c r="M534" s="1183"/>
      <c r="N534" s="1183"/>
      <c r="O534" s="1183"/>
      <c r="P534" s="1201"/>
      <c r="Q534" s="1201"/>
      <c r="R534" s="1201"/>
      <c r="S534" s="1201"/>
      <c r="T534" s="1201"/>
    </row>
    <row r="535" spans="12:20">
      <c r="L535" s="1179"/>
      <c r="M535" s="1183"/>
      <c r="N535" s="1183"/>
      <c r="O535" s="1183"/>
      <c r="P535" s="1201"/>
      <c r="Q535" s="1201"/>
      <c r="R535" s="1201"/>
      <c r="S535" s="1201"/>
      <c r="T535" s="1201"/>
    </row>
    <row r="536" spans="12:20">
      <c r="L536" s="1179"/>
      <c r="M536" s="1183"/>
      <c r="N536" s="1183"/>
      <c r="O536" s="1183"/>
      <c r="P536" s="1201"/>
      <c r="Q536" s="1201"/>
      <c r="R536" s="1201"/>
      <c r="S536" s="1201"/>
      <c r="T536" s="1201"/>
    </row>
    <row r="537" spans="12:20">
      <c r="L537" s="1179"/>
      <c r="M537" s="1183"/>
      <c r="N537" s="1183"/>
      <c r="O537" s="1183"/>
      <c r="P537" s="1201"/>
      <c r="Q537" s="1201"/>
      <c r="R537" s="1201"/>
      <c r="S537" s="1201"/>
      <c r="T537" s="1201"/>
    </row>
    <row r="538" spans="12:20">
      <c r="L538" s="1179"/>
      <c r="M538" s="1183"/>
      <c r="N538" s="1183"/>
      <c r="O538" s="1183"/>
      <c r="P538" s="1201"/>
      <c r="Q538" s="1201"/>
      <c r="R538" s="1201"/>
      <c r="S538" s="1201"/>
      <c r="T538" s="1201"/>
    </row>
    <row r="539" spans="12:20">
      <c r="L539" s="1179"/>
      <c r="M539" s="1183"/>
      <c r="N539" s="1183"/>
      <c r="O539" s="1183"/>
      <c r="P539" s="1201"/>
      <c r="Q539" s="1201"/>
      <c r="R539" s="1201"/>
      <c r="S539" s="1201"/>
      <c r="T539" s="1201"/>
    </row>
    <row r="540" spans="12:20">
      <c r="L540" s="1179"/>
      <c r="M540" s="1183"/>
      <c r="N540" s="1183"/>
      <c r="O540" s="1183"/>
      <c r="P540" s="1201"/>
      <c r="Q540" s="1201"/>
      <c r="R540" s="1201"/>
      <c r="S540" s="1201"/>
      <c r="T540" s="1201"/>
    </row>
    <row r="541" spans="12:20">
      <c r="L541" s="1179"/>
      <c r="M541" s="1183"/>
      <c r="N541" s="1183"/>
      <c r="O541" s="1183"/>
      <c r="P541" s="1201"/>
      <c r="Q541" s="1201"/>
      <c r="R541" s="1201"/>
      <c r="S541" s="1201"/>
      <c r="T541" s="1201"/>
    </row>
    <row r="542" spans="12:20">
      <c r="L542" s="1179"/>
      <c r="M542" s="1183"/>
      <c r="N542" s="1183"/>
      <c r="O542" s="1183"/>
      <c r="P542" s="1201"/>
      <c r="Q542" s="1201"/>
      <c r="R542" s="1201"/>
      <c r="S542" s="1201"/>
      <c r="T542" s="1201"/>
    </row>
    <row r="543" spans="12:20">
      <c r="L543" s="1179"/>
      <c r="M543" s="1183"/>
      <c r="N543" s="1183"/>
      <c r="O543" s="1183"/>
      <c r="P543" s="1201"/>
      <c r="Q543" s="1201"/>
      <c r="R543" s="1201"/>
      <c r="S543" s="1201"/>
      <c r="T543" s="1201"/>
    </row>
    <row r="544" spans="12:20">
      <c r="L544" s="1179"/>
      <c r="M544" s="1183"/>
      <c r="N544" s="1183"/>
      <c r="O544" s="1183"/>
      <c r="P544" s="1201"/>
      <c r="Q544" s="1201"/>
      <c r="R544" s="1201"/>
      <c r="S544" s="1201"/>
      <c r="T544" s="1201"/>
    </row>
    <row r="545" spans="12:20">
      <c r="L545" s="1179"/>
      <c r="M545" s="1183"/>
      <c r="N545" s="1183"/>
      <c r="O545" s="1183"/>
      <c r="P545" s="1201"/>
      <c r="Q545" s="1201"/>
      <c r="R545" s="1201"/>
      <c r="S545" s="1201"/>
      <c r="T545" s="1201"/>
    </row>
    <row r="546" spans="12:20">
      <c r="L546" s="1179"/>
      <c r="M546" s="1183"/>
      <c r="N546" s="1183"/>
      <c r="O546" s="1183"/>
      <c r="P546" s="1201"/>
      <c r="Q546" s="1201"/>
      <c r="R546" s="1201"/>
      <c r="S546" s="1201"/>
      <c r="T546" s="1201"/>
    </row>
    <row r="547" spans="12:20">
      <c r="L547" s="1179"/>
      <c r="M547" s="1183"/>
      <c r="N547" s="1183"/>
      <c r="O547" s="1183"/>
      <c r="P547" s="1201"/>
      <c r="Q547" s="1201"/>
      <c r="R547" s="1201"/>
      <c r="S547" s="1201"/>
      <c r="T547" s="1201"/>
    </row>
    <row r="548" spans="12:20">
      <c r="L548" s="1179"/>
      <c r="M548" s="1183"/>
      <c r="N548" s="1183"/>
      <c r="O548" s="1183"/>
      <c r="P548" s="1201"/>
      <c r="Q548" s="1201"/>
      <c r="R548" s="1201"/>
      <c r="S548" s="1201"/>
      <c r="T548" s="1201"/>
    </row>
    <row r="549" spans="12:20">
      <c r="L549" s="1179"/>
      <c r="M549" s="1183"/>
      <c r="N549" s="1183"/>
      <c r="O549" s="1183"/>
      <c r="P549" s="1201"/>
      <c r="Q549" s="1201"/>
      <c r="R549" s="1201"/>
      <c r="S549" s="1201"/>
      <c r="T549" s="1201"/>
    </row>
    <row r="550" spans="12:20">
      <c r="L550" s="1179"/>
      <c r="M550" s="1183"/>
      <c r="N550" s="1183"/>
      <c r="O550" s="1183"/>
      <c r="P550" s="1201"/>
      <c r="Q550" s="1201"/>
      <c r="R550" s="1201"/>
      <c r="S550" s="1201"/>
      <c r="T550" s="1201"/>
    </row>
    <row r="551" spans="12:20">
      <c r="L551" s="1179"/>
      <c r="M551" s="1183"/>
      <c r="N551" s="1183"/>
      <c r="O551" s="1183"/>
      <c r="P551" s="1201"/>
      <c r="Q551" s="1201"/>
      <c r="R551" s="1201"/>
      <c r="S551" s="1201"/>
      <c r="T551" s="1201"/>
    </row>
    <row r="552" spans="12:20">
      <c r="L552" s="1179"/>
      <c r="M552" s="1183"/>
      <c r="N552" s="1183"/>
      <c r="O552" s="1183"/>
      <c r="P552" s="1201"/>
      <c r="Q552" s="1201"/>
      <c r="R552" s="1201"/>
      <c r="S552" s="1201"/>
      <c r="T552" s="1201"/>
    </row>
    <row r="553" spans="12:20">
      <c r="L553" s="1179"/>
      <c r="M553" s="1183"/>
      <c r="N553" s="1183"/>
      <c r="O553" s="1183"/>
      <c r="P553" s="1201"/>
      <c r="Q553" s="1201"/>
      <c r="R553" s="1201"/>
      <c r="S553" s="1201"/>
      <c r="T553" s="1201"/>
    </row>
    <row r="554" spans="12:20">
      <c r="L554" s="1179"/>
      <c r="M554" s="1183"/>
      <c r="N554" s="1183"/>
      <c r="O554" s="1183"/>
      <c r="P554" s="1201"/>
      <c r="Q554" s="1201"/>
      <c r="R554" s="1201"/>
      <c r="S554" s="1201"/>
      <c r="T554" s="1201"/>
    </row>
    <row r="555" spans="12:20">
      <c r="L555" s="1179"/>
      <c r="M555" s="1183"/>
      <c r="N555" s="1183"/>
      <c r="O555" s="1183"/>
      <c r="P555" s="1201"/>
      <c r="Q555" s="1201"/>
      <c r="R555" s="1201"/>
      <c r="S555" s="1201"/>
      <c r="T555" s="1201"/>
    </row>
    <row r="556" spans="12:20">
      <c r="L556" s="1179"/>
      <c r="M556" s="1183"/>
      <c r="N556" s="1183"/>
      <c r="O556" s="1183"/>
      <c r="P556" s="1201"/>
      <c r="Q556" s="1201"/>
      <c r="R556" s="1201"/>
      <c r="S556" s="1201"/>
      <c r="T556" s="1201"/>
    </row>
    <row r="557" spans="12:20">
      <c r="L557" s="1179"/>
      <c r="M557" s="1183"/>
      <c r="N557" s="1183"/>
      <c r="O557" s="1183"/>
      <c r="P557" s="1201"/>
      <c r="Q557" s="1201"/>
      <c r="R557" s="1201"/>
      <c r="S557" s="1201"/>
      <c r="T557" s="1201"/>
    </row>
    <row r="558" spans="12:20">
      <c r="L558" s="1179"/>
      <c r="M558" s="1183"/>
      <c r="N558" s="1183"/>
      <c r="O558" s="1183"/>
      <c r="P558" s="1201"/>
      <c r="Q558" s="1201"/>
      <c r="R558" s="1201"/>
      <c r="S558" s="1201"/>
      <c r="T558" s="1201"/>
    </row>
    <row r="559" spans="12:20">
      <c r="L559" s="1179"/>
      <c r="M559" s="1183"/>
      <c r="N559" s="1183"/>
      <c r="O559" s="1183"/>
      <c r="P559" s="1201"/>
      <c r="Q559" s="1201"/>
      <c r="R559" s="1201"/>
      <c r="S559" s="1201"/>
      <c r="T559" s="1201"/>
    </row>
    <row r="560" spans="12:20">
      <c r="L560" s="1179"/>
      <c r="M560" s="1183"/>
      <c r="N560" s="1183"/>
      <c r="O560" s="1183"/>
      <c r="P560" s="1201"/>
      <c r="Q560" s="1201"/>
      <c r="R560" s="1201"/>
      <c r="S560" s="1201"/>
      <c r="T560" s="1201"/>
    </row>
    <row r="561" spans="12:20">
      <c r="L561" s="1179"/>
      <c r="M561" s="1183"/>
      <c r="N561" s="1183"/>
      <c r="O561" s="1183"/>
      <c r="P561" s="1201"/>
      <c r="Q561" s="1201"/>
      <c r="R561" s="1201"/>
      <c r="S561" s="1201"/>
      <c r="T561" s="1201"/>
    </row>
    <row r="562" spans="12:20">
      <c r="L562" s="1179"/>
      <c r="M562" s="1183"/>
      <c r="N562" s="1183"/>
      <c r="O562" s="1183"/>
      <c r="P562" s="1201"/>
      <c r="Q562" s="1201"/>
      <c r="R562" s="1201"/>
      <c r="S562" s="1201"/>
      <c r="T562" s="1201"/>
    </row>
    <row r="563" spans="12:20">
      <c r="L563" s="1179"/>
      <c r="M563" s="1183"/>
      <c r="N563" s="1183"/>
      <c r="O563" s="1183"/>
      <c r="P563" s="1201"/>
      <c r="Q563" s="1201"/>
      <c r="R563" s="1201"/>
      <c r="S563" s="1201"/>
      <c r="T563" s="1201"/>
    </row>
    <row r="564" spans="12:20">
      <c r="L564" s="1179"/>
      <c r="M564" s="1183"/>
      <c r="N564" s="1183"/>
      <c r="O564" s="1183"/>
      <c r="P564" s="1201"/>
      <c r="Q564" s="1201"/>
      <c r="R564" s="1201"/>
      <c r="S564" s="1201"/>
      <c r="T564" s="1201"/>
    </row>
    <row r="565" spans="12:20">
      <c r="L565" s="1179"/>
      <c r="M565" s="1183"/>
      <c r="N565" s="1183"/>
      <c r="O565" s="1183"/>
      <c r="P565" s="1201"/>
      <c r="Q565" s="1201"/>
      <c r="R565" s="1201"/>
      <c r="S565" s="1201"/>
      <c r="T565" s="1201"/>
    </row>
    <row r="566" spans="12:20">
      <c r="L566" s="1179"/>
      <c r="M566" s="1183"/>
      <c r="N566" s="1183"/>
      <c r="O566" s="1183"/>
      <c r="P566" s="1201"/>
      <c r="Q566" s="1201"/>
      <c r="R566" s="1201"/>
      <c r="S566" s="1201"/>
      <c r="T566" s="1201"/>
    </row>
    <row r="567" spans="12:20">
      <c r="L567" s="1179"/>
      <c r="M567" s="1183"/>
      <c r="N567" s="1183"/>
      <c r="O567" s="1183"/>
      <c r="P567" s="1201"/>
      <c r="Q567" s="1201"/>
      <c r="R567" s="1201"/>
      <c r="S567" s="1201"/>
      <c r="T567" s="1201"/>
    </row>
    <row r="568" spans="12:20">
      <c r="L568" s="1179"/>
      <c r="M568" s="1183"/>
      <c r="N568" s="1183"/>
      <c r="O568" s="1183"/>
      <c r="P568" s="1201"/>
      <c r="Q568" s="1201"/>
      <c r="R568" s="1201"/>
      <c r="S568" s="1201"/>
      <c r="T568" s="1201"/>
    </row>
    <row r="569" spans="12:20">
      <c r="L569" s="1179"/>
      <c r="M569" s="1183"/>
      <c r="N569" s="1183"/>
      <c r="O569" s="1183"/>
      <c r="P569" s="1201"/>
      <c r="Q569" s="1201"/>
      <c r="R569" s="1201"/>
      <c r="S569" s="1201"/>
      <c r="T569" s="1201"/>
    </row>
    <row r="570" spans="12:20">
      <c r="L570" s="1179"/>
      <c r="M570" s="1183"/>
      <c r="N570" s="1183"/>
      <c r="O570" s="1183"/>
      <c r="P570" s="1201"/>
      <c r="Q570" s="1201"/>
      <c r="R570" s="1201"/>
      <c r="S570" s="1201"/>
      <c r="T570" s="1201"/>
    </row>
    <row r="571" spans="12:20">
      <c r="L571" s="1179"/>
      <c r="M571" s="1183"/>
      <c r="N571" s="1183"/>
      <c r="O571" s="1183"/>
      <c r="P571" s="1201"/>
      <c r="Q571" s="1201"/>
      <c r="R571" s="1201"/>
      <c r="S571" s="1201"/>
      <c r="T571" s="1201"/>
    </row>
    <row r="572" spans="12:20">
      <c r="L572" s="1179"/>
      <c r="M572" s="1183"/>
      <c r="N572" s="1183"/>
      <c r="O572" s="1183"/>
      <c r="P572" s="1201"/>
      <c r="Q572" s="1201"/>
      <c r="R572" s="1201"/>
      <c r="S572" s="1201"/>
      <c r="T572" s="1201"/>
    </row>
    <row r="573" spans="12:20">
      <c r="L573" s="1179"/>
      <c r="M573" s="1183"/>
      <c r="N573" s="1183"/>
      <c r="O573" s="1183"/>
      <c r="P573" s="1201"/>
      <c r="Q573" s="1201"/>
      <c r="R573" s="1201"/>
      <c r="S573" s="1201"/>
      <c r="T573" s="1201"/>
    </row>
    <row r="574" spans="12:20">
      <c r="L574" s="1179"/>
      <c r="M574" s="1183"/>
      <c r="N574" s="1183"/>
      <c r="O574" s="1183"/>
      <c r="P574" s="1201"/>
      <c r="Q574" s="1201"/>
      <c r="R574" s="1201"/>
      <c r="S574" s="1201"/>
      <c r="T574" s="1201"/>
    </row>
    <row r="575" spans="12:20">
      <c r="L575" s="1179"/>
      <c r="M575" s="1183"/>
      <c r="N575" s="1183"/>
      <c r="O575" s="1183"/>
      <c r="P575" s="1201"/>
      <c r="Q575" s="1201"/>
      <c r="R575" s="1201"/>
      <c r="S575" s="1201"/>
      <c r="T575" s="1201"/>
    </row>
    <row r="576" spans="12:20">
      <c r="L576" s="1179"/>
      <c r="M576" s="1183"/>
      <c r="N576" s="1183"/>
      <c r="O576" s="1183"/>
      <c r="P576" s="1201"/>
      <c r="Q576" s="1201"/>
      <c r="R576" s="1201"/>
      <c r="S576" s="1201"/>
      <c r="T576" s="1201"/>
    </row>
    <row r="577" spans="12:20">
      <c r="L577" s="1179"/>
      <c r="M577" s="1183"/>
      <c r="N577" s="1183"/>
      <c r="O577" s="1183"/>
      <c r="P577" s="1201"/>
      <c r="Q577" s="1201"/>
      <c r="R577" s="1201"/>
      <c r="S577" s="1201"/>
      <c r="T577" s="1201"/>
    </row>
    <row r="578" spans="12:20">
      <c r="L578" s="1179"/>
      <c r="M578" s="1183"/>
      <c r="N578" s="1183"/>
      <c r="O578" s="1183"/>
      <c r="P578" s="1201"/>
      <c r="Q578" s="1201"/>
      <c r="R578" s="1201"/>
      <c r="S578" s="1201"/>
      <c r="T578" s="1201"/>
    </row>
    <row r="579" spans="12:20">
      <c r="L579" s="1179"/>
      <c r="M579" s="1183"/>
      <c r="N579" s="1183"/>
      <c r="O579" s="1183"/>
      <c r="P579" s="1201"/>
      <c r="Q579" s="1201"/>
      <c r="R579" s="1201"/>
      <c r="S579" s="1201"/>
      <c r="T579" s="1201"/>
    </row>
    <row r="580" spans="12:20">
      <c r="L580" s="1179"/>
      <c r="M580" s="1183"/>
      <c r="N580" s="1183"/>
      <c r="O580" s="1183"/>
      <c r="P580" s="1201"/>
      <c r="Q580" s="1201"/>
      <c r="R580" s="1201"/>
      <c r="S580" s="1201"/>
      <c r="T580" s="1201"/>
    </row>
    <row r="581" spans="12:20">
      <c r="L581" s="1179"/>
      <c r="M581" s="1183"/>
      <c r="N581" s="1183"/>
      <c r="O581" s="1183"/>
      <c r="P581" s="1201"/>
      <c r="Q581" s="1201"/>
      <c r="R581" s="1201"/>
      <c r="S581" s="1201"/>
      <c r="T581" s="1201"/>
    </row>
    <row r="582" spans="12:20">
      <c r="L582" s="1179"/>
      <c r="M582" s="1183"/>
      <c r="N582" s="1183"/>
      <c r="O582" s="1183"/>
      <c r="P582" s="1201"/>
      <c r="Q582" s="1201"/>
      <c r="R582" s="1201"/>
      <c r="S582" s="1201"/>
      <c r="T582" s="1201"/>
    </row>
    <row r="583" spans="12:20">
      <c r="L583" s="1179"/>
      <c r="M583" s="1183"/>
      <c r="N583" s="1183"/>
      <c r="O583" s="1183"/>
      <c r="P583" s="1201"/>
      <c r="Q583" s="1201"/>
      <c r="R583" s="1201"/>
      <c r="S583" s="1201"/>
      <c r="T583" s="1201"/>
    </row>
    <row r="584" spans="12:20">
      <c r="L584" s="1179"/>
      <c r="M584" s="1183"/>
      <c r="N584" s="1183"/>
      <c r="O584" s="1183"/>
      <c r="P584" s="1201"/>
      <c r="Q584" s="1201"/>
      <c r="R584" s="1201"/>
      <c r="S584" s="1201"/>
      <c r="T584" s="1201"/>
    </row>
    <row r="585" spans="12:20">
      <c r="L585" s="1179"/>
      <c r="M585" s="1183"/>
      <c r="N585" s="1183"/>
      <c r="O585" s="1183"/>
      <c r="P585" s="1201"/>
      <c r="Q585" s="1201"/>
      <c r="R585" s="1201"/>
      <c r="S585" s="1201"/>
      <c r="T585" s="1201"/>
    </row>
    <row r="586" spans="12:20">
      <c r="L586" s="1179"/>
      <c r="M586" s="1183"/>
      <c r="N586" s="1183"/>
      <c r="O586" s="1183"/>
      <c r="P586" s="1201"/>
      <c r="Q586" s="1201"/>
      <c r="R586" s="1201"/>
      <c r="S586" s="1201"/>
      <c r="T586" s="1201"/>
    </row>
    <row r="587" spans="12:20">
      <c r="L587" s="1179"/>
      <c r="M587" s="1183"/>
      <c r="N587" s="1183"/>
      <c r="O587" s="1183"/>
      <c r="P587" s="1201"/>
      <c r="Q587" s="1201"/>
      <c r="R587" s="1201"/>
      <c r="S587" s="1201"/>
      <c r="T587" s="1201"/>
    </row>
    <row r="588" spans="12:20">
      <c r="L588" s="1179"/>
      <c r="M588" s="1183"/>
      <c r="N588" s="1183"/>
      <c r="O588" s="1183"/>
      <c r="P588" s="1201"/>
      <c r="Q588" s="1201"/>
      <c r="R588" s="1201"/>
      <c r="S588" s="1201"/>
      <c r="T588" s="1201"/>
    </row>
    <row r="589" spans="12:20">
      <c r="L589" s="1179"/>
      <c r="M589" s="1183"/>
      <c r="N589" s="1183"/>
      <c r="O589" s="1183"/>
      <c r="P589" s="1201"/>
      <c r="Q589" s="1201"/>
      <c r="R589" s="1201"/>
      <c r="S589" s="1201"/>
      <c r="T589" s="1201"/>
    </row>
    <row r="590" spans="12:20">
      <c r="L590" s="1179"/>
      <c r="M590" s="1183"/>
      <c r="N590" s="1183"/>
      <c r="O590" s="1183"/>
      <c r="P590" s="1201"/>
      <c r="Q590" s="1201"/>
      <c r="R590" s="1201"/>
      <c r="S590" s="1201"/>
      <c r="T590" s="1201"/>
    </row>
    <row r="591" spans="12:20">
      <c r="L591" s="1179"/>
      <c r="M591" s="1183"/>
      <c r="N591" s="1183"/>
      <c r="O591" s="1183"/>
      <c r="P591" s="1201"/>
      <c r="Q591" s="1201"/>
      <c r="R591" s="1201"/>
      <c r="S591" s="1201"/>
      <c r="T591" s="1201"/>
    </row>
    <row r="592" spans="12:20">
      <c r="L592" s="1179"/>
      <c r="M592" s="1183"/>
      <c r="N592" s="1183"/>
      <c r="O592" s="1183"/>
      <c r="P592" s="1201"/>
      <c r="Q592" s="1201"/>
      <c r="R592" s="1201"/>
      <c r="S592" s="1201"/>
      <c r="T592" s="1201"/>
    </row>
    <row r="593" spans="12:20">
      <c r="L593" s="1179"/>
      <c r="M593" s="1183"/>
      <c r="N593" s="1183"/>
      <c r="O593" s="1183"/>
      <c r="P593" s="1201"/>
      <c r="Q593" s="1201"/>
      <c r="R593" s="1201"/>
      <c r="S593" s="1201"/>
      <c r="T593" s="1201"/>
    </row>
    <row r="594" spans="12:20">
      <c r="L594" s="1179"/>
      <c r="M594" s="1183"/>
      <c r="N594" s="1183"/>
      <c r="O594" s="1183"/>
      <c r="P594" s="1201"/>
      <c r="Q594" s="1201"/>
      <c r="R594" s="1201"/>
      <c r="S594" s="1201"/>
      <c r="T594" s="1201"/>
    </row>
    <row r="595" spans="12:20">
      <c r="L595" s="1179"/>
      <c r="M595" s="1183"/>
      <c r="N595" s="1183"/>
      <c r="O595" s="1183"/>
      <c r="P595" s="1201"/>
      <c r="Q595" s="1201"/>
      <c r="R595" s="1201"/>
      <c r="S595" s="1201"/>
      <c r="T595" s="1201"/>
    </row>
    <row r="596" spans="12:20">
      <c r="L596" s="1179"/>
      <c r="M596" s="1183"/>
      <c r="N596" s="1183"/>
      <c r="O596" s="1183"/>
      <c r="P596" s="1201"/>
      <c r="Q596" s="1201"/>
      <c r="R596" s="1201"/>
      <c r="S596" s="1201"/>
      <c r="T596" s="1201"/>
    </row>
    <row r="597" spans="12:20">
      <c r="L597" s="1179"/>
      <c r="M597" s="1183"/>
      <c r="N597" s="1183"/>
      <c r="O597" s="1183"/>
      <c r="P597" s="1201"/>
      <c r="Q597" s="1201"/>
      <c r="R597" s="1201"/>
      <c r="S597" s="1201"/>
      <c r="T597" s="1201"/>
    </row>
    <row r="598" spans="12:20">
      <c r="L598" s="1179"/>
      <c r="M598" s="1183"/>
      <c r="N598" s="1183"/>
      <c r="O598" s="1183"/>
      <c r="P598" s="1201"/>
      <c r="Q598" s="1201"/>
      <c r="R598" s="1201"/>
      <c r="S598" s="1201"/>
      <c r="T598" s="1201"/>
    </row>
    <row r="599" spans="12:20">
      <c r="L599" s="1179"/>
      <c r="M599" s="1183"/>
      <c r="N599" s="1183"/>
      <c r="O599" s="1183"/>
      <c r="P599" s="1201"/>
      <c r="Q599" s="1201"/>
      <c r="R599" s="1201"/>
      <c r="S599" s="1201"/>
      <c r="T599" s="1201"/>
    </row>
    <row r="600" spans="12:20">
      <c r="L600" s="1179"/>
      <c r="M600" s="1183"/>
      <c r="N600" s="1183"/>
      <c r="O600" s="1183"/>
      <c r="P600" s="1201"/>
      <c r="Q600" s="1201"/>
      <c r="R600" s="1201"/>
      <c r="S600" s="1201"/>
      <c r="T600" s="1201"/>
    </row>
    <row r="601" spans="12:20">
      <c r="L601" s="1179"/>
      <c r="M601" s="1183"/>
      <c r="N601" s="1183"/>
      <c r="O601" s="1183"/>
      <c r="P601" s="1201"/>
      <c r="Q601" s="1201"/>
      <c r="R601" s="1201"/>
      <c r="S601" s="1201"/>
      <c r="T601" s="1201"/>
    </row>
    <row r="602" spans="12:20">
      <c r="L602" s="1179"/>
      <c r="M602" s="1183"/>
      <c r="N602" s="1183"/>
      <c r="O602" s="1183"/>
      <c r="P602" s="1201"/>
      <c r="Q602" s="1201"/>
      <c r="R602" s="1201"/>
      <c r="S602" s="1201"/>
      <c r="T602" s="1201"/>
    </row>
    <row r="603" spans="12:20">
      <c r="L603" s="1179"/>
      <c r="M603" s="1183"/>
      <c r="N603" s="1183"/>
      <c r="O603" s="1183"/>
      <c r="P603" s="1201"/>
      <c r="Q603" s="1201"/>
      <c r="R603" s="1201"/>
      <c r="S603" s="1201"/>
      <c r="T603" s="1201"/>
    </row>
    <row r="604" spans="12:20">
      <c r="L604" s="1179"/>
      <c r="M604" s="1183"/>
      <c r="N604" s="1183"/>
      <c r="O604" s="1183"/>
      <c r="P604" s="1201"/>
      <c r="Q604" s="1201"/>
      <c r="R604" s="1201"/>
      <c r="S604" s="1201"/>
      <c r="T604" s="1201"/>
    </row>
    <row r="605" spans="12:20">
      <c r="L605" s="1179"/>
      <c r="M605" s="1183"/>
      <c r="N605" s="1183"/>
      <c r="O605" s="1183"/>
      <c r="P605" s="1201"/>
      <c r="Q605" s="1201"/>
      <c r="R605" s="1201"/>
      <c r="S605" s="1201"/>
      <c r="T605" s="1201"/>
    </row>
    <row r="606" spans="12:20">
      <c r="L606" s="1179"/>
      <c r="M606" s="1183"/>
      <c r="N606" s="1183"/>
      <c r="O606" s="1183"/>
      <c r="P606" s="1201"/>
      <c r="Q606" s="1201"/>
      <c r="R606" s="1201"/>
      <c r="S606" s="1201"/>
      <c r="T606" s="1201"/>
    </row>
    <row r="607" spans="12:20">
      <c r="L607" s="1179"/>
      <c r="M607" s="1183"/>
      <c r="N607" s="1183"/>
      <c r="O607" s="1183"/>
      <c r="P607" s="1201"/>
      <c r="Q607" s="1201"/>
      <c r="R607" s="1201"/>
      <c r="S607" s="1201"/>
      <c r="T607" s="1201"/>
    </row>
    <row r="608" spans="12:20">
      <c r="L608" s="1179"/>
      <c r="M608" s="1183"/>
      <c r="N608" s="1183"/>
      <c r="O608" s="1183"/>
      <c r="P608" s="1201"/>
      <c r="Q608" s="1201"/>
      <c r="R608" s="1201"/>
      <c r="S608" s="1201"/>
      <c r="T608" s="1201"/>
    </row>
    <row r="609" spans="12:20">
      <c r="L609" s="1179"/>
      <c r="M609" s="1183"/>
      <c r="N609" s="1183"/>
      <c r="O609" s="1183"/>
      <c r="P609" s="1201"/>
      <c r="Q609" s="1201"/>
      <c r="R609" s="1201"/>
      <c r="S609" s="1201"/>
      <c r="T609" s="1201"/>
    </row>
    <row r="610" spans="12:20">
      <c r="L610" s="1179"/>
      <c r="M610" s="1183"/>
      <c r="N610" s="1183"/>
      <c r="O610" s="1183"/>
      <c r="P610" s="1201"/>
      <c r="Q610" s="1201"/>
      <c r="R610" s="1201"/>
      <c r="S610" s="1201"/>
      <c r="T610" s="1201"/>
    </row>
    <row r="611" spans="12:20">
      <c r="L611" s="1179"/>
      <c r="M611" s="1183"/>
      <c r="N611" s="1183"/>
      <c r="O611" s="1183"/>
      <c r="P611" s="1201"/>
      <c r="Q611" s="1201"/>
      <c r="R611" s="1201"/>
      <c r="S611" s="1201"/>
      <c r="T611" s="1201"/>
    </row>
    <row r="612" spans="12:20">
      <c r="L612" s="1179"/>
      <c r="M612" s="1183"/>
      <c r="N612" s="1183"/>
      <c r="O612" s="1183"/>
      <c r="P612" s="1201"/>
      <c r="Q612" s="1201"/>
      <c r="R612" s="1201"/>
      <c r="S612" s="1201"/>
      <c r="T612" s="1201"/>
    </row>
    <row r="613" spans="12:20">
      <c r="L613" s="1179"/>
      <c r="M613" s="1183"/>
      <c r="N613" s="1183"/>
      <c r="O613" s="1183"/>
      <c r="P613" s="1201"/>
      <c r="Q613" s="1201"/>
      <c r="R613" s="1201"/>
      <c r="S613" s="1201"/>
      <c r="T613" s="1201"/>
    </row>
    <row r="614" spans="12:20">
      <c r="L614" s="1179"/>
      <c r="M614" s="1183"/>
      <c r="N614" s="1183"/>
      <c r="O614" s="1183"/>
      <c r="P614" s="1201"/>
      <c r="Q614" s="1201"/>
      <c r="R614" s="1201"/>
      <c r="S614" s="1201"/>
      <c r="T614" s="1201"/>
    </row>
    <row r="615" spans="12:20">
      <c r="L615" s="1179"/>
      <c r="M615" s="1183"/>
      <c r="N615" s="1183"/>
      <c r="O615" s="1183"/>
      <c r="P615" s="1201"/>
      <c r="Q615" s="1201"/>
      <c r="R615" s="1201"/>
      <c r="S615" s="1201"/>
      <c r="T615" s="1201"/>
    </row>
    <row r="616" spans="12:20">
      <c r="L616" s="1179"/>
      <c r="M616" s="1183"/>
      <c r="N616" s="1183"/>
      <c r="O616" s="1183"/>
      <c r="P616" s="1201"/>
      <c r="Q616" s="1201"/>
      <c r="R616" s="1201"/>
      <c r="S616" s="1201"/>
      <c r="T616" s="1201"/>
    </row>
    <row r="617" spans="12:20">
      <c r="L617" s="1179"/>
      <c r="M617" s="1183"/>
      <c r="N617" s="1183"/>
      <c r="O617" s="1183"/>
      <c r="P617" s="1201"/>
      <c r="Q617" s="1201"/>
      <c r="R617" s="1201"/>
      <c r="S617" s="1201"/>
      <c r="T617" s="1201"/>
    </row>
    <row r="618" spans="12:20">
      <c r="L618" s="1179"/>
      <c r="M618" s="1183"/>
      <c r="N618" s="1183"/>
      <c r="O618" s="1183"/>
      <c r="P618" s="1201"/>
      <c r="Q618" s="1201"/>
      <c r="R618" s="1201"/>
      <c r="S618" s="1201"/>
      <c r="T618" s="1201"/>
    </row>
    <row r="619" spans="12:20">
      <c r="L619" s="1179"/>
      <c r="M619" s="1183"/>
      <c r="N619" s="1183"/>
      <c r="O619" s="1183"/>
      <c r="P619" s="1201"/>
      <c r="Q619" s="1201"/>
      <c r="R619" s="1201"/>
      <c r="S619" s="1201"/>
      <c r="T619" s="1201"/>
    </row>
    <row r="620" spans="12:20">
      <c r="L620" s="1179"/>
      <c r="M620" s="1183"/>
      <c r="N620" s="1183"/>
      <c r="O620" s="1183"/>
      <c r="P620" s="1201"/>
      <c r="Q620" s="1201"/>
      <c r="R620" s="1201"/>
      <c r="S620" s="1201"/>
      <c r="T620" s="1201"/>
    </row>
    <row r="621" spans="12:20">
      <c r="L621" s="1179"/>
      <c r="M621" s="1183"/>
      <c r="N621" s="1183"/>
      <c r="O621" s="1183"/>
      <c r="P621" s="1201"/>
      <c r="Q621" s="1201"/>
      <c r="R621" s="1201"/>
      <c r="S621" s="1201"/>
      <c r="T621" s="1201"/>
    </row>
    <row r="622" spans="12:20">
      <c r="L622" s="1179"/>
      <c r="M622" s="1183"/>
      <c r="N622" s="1183"/>
      <c r="O622" s="1183"/>
      <c r="P622" s="1201"/>
      <c r="Q622" s="1201"/>
      <c r="R622" s="1201"/>
      <c r="S622" s="1201"/>
      <c r="T622" s="1201"/>
    </row>
    <row r="623" spans="12:20">
      <c r="L623" s="1179"/>
      <c r="M623" s="1183"/>
      <c r="N623" s="1183"/>
      <c r="O623" s="1183"/>
      <c r="P623" s="1201"/>
      <c r="Q623" s="1201"/>
      <c r="R623" s="1201"/>
      <c r="S623" s="1201"/>
      <c r="T623" s="1201"/>
    </row>
    <row r="624" spans="12:20">
      <c r="L624" s="1179"/>
      <c r="M624" s="1183"/>
      <c r="N624" s="1183"/>
      <c r="O624" s="1183"/>
      <c r="P624" s="1201"/>
      <c r="Q624" s="1201"/>
      <c r="R624" s="1201"/>
      <c r="S624" s="1201"/>
      <c r="T624" s="1201"/>
    </row>
    <row r="625" spans="12:20">
      <c r="L625" s="1179"/>
      <c r="M625" s="1183"/>
      <c r="N625" s="1183"/>
      <c r="O625" s="1183"/>
      <c r="P625" s="1201"/>
      <c r="Q625" s="1201"/>
      <c r="R625" s="1201"/>
      <c r="S625" s="1201"/>
      <c r="T625" s="1201"/>
    </row>
    <row r="626" spans="12:20">
      <c r="L626" s="1179"/>
      <c r="M626" s="1183"/>
      <c r="N626" s="1183"/>
      <c r="O626" s="1183"/>
      <c r="P626" s="1201"/>
      <c r="Q626" s="1201"/>
      <c r="R626" s="1201"/>
      <c r="S626" s="1201"/>
      <c r="T626" s="1201"/>
    </row>
    <row r="627" spans="12:20">
      <c r="L627" s="1179"/>
      <c r="M627" s="1183"/>
      <c r="N627" s="1183"/>
      <c r="O627" s="1183"/>
      <c r="P627" s="1201"/>
      <c r="Q627" s="1201"/>
      <c r="R627" s="1201"/>
      <c r="S627" s="1201"/>
      <c r="T627" s="1201"/>
    </row>
    <row r="628" spans="12:20">
      <c r="L628" s="1179"/>
      <c r="M628" s="1183"/>
      <c r="N628" s="1183"/>
      <c r="O628" s="1183"/>
      <c r="P628" s="1201"/>
      <c r="Q628" s="1201"/>
      <c r="R628" s="1201"/>
      <c r="S628" s="1201"/>
      <c r="T628" s="1201"/>
    </row>
    <row r="629" spans="12:20">
      <c r="L629" s="1179"/>
      <c r="M629" s="1183"/>
      <c r="N629" s="1183"/>
      <c r="O629" s="1183"/>
      <c r="P629" s="1201"/>
      <c r="Q629" s="1201"/>
      <c r="R629" s="1201"/>
      <c r="S629" s="1201"/>
      <c r="T629" s="1201"/>
    </row>
    <row r="630" spans="12:20">
      <c r="L630" s="1179"/>
      <c r="M630" s="1183"/>
      <c r="N630" s="1183"/>
      <c r="O630" s="1183"/>
      <c r="P630" s="1201"/>
      <c r="Q630" s="1201"/>
      <c r="R630" s="1201"/>
      <c r="S630" s="1201"/>
      <c r="T630" s="1201"/>
    </row>
    <row r="631" spans="12:20">
      <c r="L631" s="1179"/>
      <c r="M631" s="1183"/>
      <c r="N631" s="1183"/>
      <c r="O631" s="1183"/>
      <c r="P631" s="1201"/>
      <c r="Q631" s="1201"/>
      <c r="R631" s="1201"/>
      <c r="S631" s="1201"/>
      <c r="T631" s="1201"/>
    </row>
    <row r="632" spans="12:20">
      <c r="L632" s="1179"/>
      <c r="M632" s="1183"/>
      <c r="N632" s="1183"/>
      <c r="O632" s="1183"/>
      <c r="P632" s="1201"/>
      <c r="Q632" s="1201"/>
      <c r="R632" s="1201"/>
      <c r="S632" s="1201"/>
      <c r="T632" s="1201"/>
    </row>
    <row r="633" spans="12:20">
      <c r="L633" s="1179"/>
      <c r="M633" s="1183"/>
      <c r="N633" s="1183"/>
      <c r="O633" s="1183"/>
      <c r="P633" s="1201"/>
      <c r="Q633" s="1201"/>
      <c r="R633" s="1201"/>
      <c r="S633" s="1201"/>
      <c r="T633" s="1201"/>
    </row>
    <row r="634" spans="12:20">
      <c r="L634" s="1179"/>
      <c r="M634" s="1183"/>
      <c r="N634" s="1183"/>
      <c r="O634" s="1183"/>
      <c r="P634" s="1201"/>
      <c r="Q634" s="1201"/>
      <c r="R634" s="1201"/>
      <c r="S634" s="1201"/>
      <c r="T634" s="1201"/>
    </row>
    <row r="635" spans="12:20">
      <c r="L635" s="1179"/>
      <c r="M635" s="1183"/>
      <c r="N635" s="1183"/>
      <c r="O635" s="1183"/>
      <c r="P635" s="1201"/>
      <c r="Q635" s="1201"/>
      <c r="R635" s="1201"/>
      <c r="S635" s="1201"/>
      <c r="T635" s="1201"/>
    </row>
    <row r="636" spans="12:20">
      <c r="L636" s="1179"/>
      <c r="M636" s="1183"/>
      <c r="N636" s="1183"/>
      <c r="O636" s="1183"/>
      <c r="P636" s="1201"/>
      <c r="Q636" s="1201"/>
      <c r="R636" s="1201"/>
      <c r="S636" s="1201"/>
      <c r="T636" s="1201"/>
    </row>
    <row r="637" spans="12:20">
      <c r="L637" s="1179"/>
      <c r="M637" s="1183"/>
      <c r="N637" s="1183"/>
      <c r="O637" s="1183"/>
      <c r="P637" s="1201"/>
      <c r="Q637" s="1201"/>
      <c r="R637" s="1201"/>
      <c r="S637" s="1201"/>
      <c r="T637" s="1201"/>
    </row>
    <row r="638" spans="12:20">
      <c r="L638" s="1179"/>
      <c r="M638" s="1183"/>
      <c r="N638" s="1183"/>
      <c r="O638" s="1183"/>
      <c r="P638" s="1201"/>
      <c r="Q638" s="1201"/>
      <c r="R638" s="1201"/>
      <c r="S638" s="1201"/>
      <c r="T638" s="1201"/>
    </row>
    <row r="639" spans="12:20">
      <c r="L639" s="1179"/>
      <c r="M639" s="1183"/>
      <c r="N639" s="1183"/>
      <c r="O639" s="1183"/>
      <c r="P639" s="1201"/>
      <c r="Q639" s="1201"/>
      <c r="R639" s="1201"/>
      <c r="S639" s="1201"/>
      <c r="T639" s="1201"/>
    </row>
    <row r="640" spans="12:20">
      <c r="L640" s="1179"/>
      <c r="M640" s="1183"/>
      <c r="N640" s="1183"/>
      <c r="O640" s="1183"/>
      <c r="P640" s="1201"/>
      <c r="Q640" s="1201"/>
      <c r="R640" s="1201"/>
      <c r="S640" s="1201"/>
      <c r="T640" s="1201"/>
    </row>
    <row r="641" spans="12:20">
      <c r="L641" s="1179"/>
      <c r="M641" s="1183"/>
      <c r="N641" s="1183"/>
      <c r="O641" s="1183"/>
      <c r="P641" s="1201"/>
      <c r="Q641" s="1201"/>
      <c r="R641" s="1201"/>
      <c r="S641" s="1201"/>
      <c r="T641" s="1201"/>
    </row>
    <row r="642" spans="12:20">
      <c r="L642" s="1179"/>
      <c r="M642" s="1183"/>
      <c r="N642" s="1183"/>
      <c r="O642" s="1183"/>
      <c r="P642" s="1201"/>
      <c r="Q642" s="1201"/>
      <c r="R642" s="1201"/>
      <c r="S642" s="1201"/>
      <c r="T642" s="1201"/>
    </row>
    <row r="643" spans="12:20">
      <c r="L643" s="1179"/>
      <c r="M643" s="1183"/>
      <c r="N643" s="1183"/>
      <c r="O643" s="1183"/>
      <c r="P643" s="1201"/>
      <c r="Q643" s="1201"/>
      <c r="R643" s="1201"/>
      <c r="S643" s="1201"/>
      <c r="T643" s="1201"/>
    </row>
    <row r="644" spans="12:20">
      <c r="L644" s="1179"/>
      <c r="M644" s="1183"/>
      <c r="N644" s="1183"/>
      <c r="O644" s="1183"/>
      <c r="P644" s="1201"/>
      <c r="Q644" s="1201"/>
      <c r="R644" s="1201"/>
      <c r="S644" s="1201"/>
      <c r="T644" s="1201"/>
    </row>
    <row r="645" spans="12:20">
      <c r="L645" s="1179"/>
      <c r="M645" s="1183"/>
      <c r="N645" s="1183"/>
      <c r="O645" s="1183"/>
      <c r="P645" s="1201"/>
      <c r="Q645" s="1201"/>
      <c r="R645" s="1201"/>
      <c r="S645" s="1201"/>
      <c r="T645" s="1201"/>
    </row>
    <row r="646" spans="12:20">
      <c r="L646" s="1179"/>
      <c r="M646" s="1183"/>
      <c r="N646" s="1183"/>
      <c r="O646" s="1183"/>
      <c r="P646" s="1201"/>
      <c r="Q646" s="1201"/>
      <c r="R646" s="1201"/>
      <c r="S646" s="1201"/>
      <c r="T646" s="1201"/>
    </row>
    <row r="647" spans="12:20">
      <c r="L647" s="1179"/>
      <c r="M647" s="1183"/>
      <c r="N647" s="1183"/>
      <c r="O647" s="1183"/>
      <c r="P647" s="1201"/>
      <c r="Q647" s="1201"/>
      <c r="R647" s="1201"/>
      <c r="S647" s="1201"/>
      <c r="T647" s="1201"/>
    </row>
    <row r="648" spans="12:20">
      <c r="L648" s="1179"/>
      <c r="M648" s="1183"/>
      <c r="N648" s="1183"/>
      <c r="O648" s="1183"/>
      <c r="P648" s="1201"/>
      <c r="Q648" s="1201"/>
      <c r="R648" s="1201"/>
      <c r="S648" s="1201"/>
      <c r="T648" s="1201"/>
    </row>
    <row r="649" spans="12:20">
      <c r="L649" s="1179"/>
      <c r="M649" s="1183"/>
      <c r="N649" s="1183"/>
      <c r="O649" s="1183"/>
      <c r="P649" s="1201"/>
      <c r="Q649" s="1201"/>
      <c r="R649" s="1201"/>
      <c r="S649" s="1201"/>
      <c r="T649" s="1201"/>
    </row>
    <row r="650" spans="12:20">
      <c r="L650" s="1179"/>
      <c r="M650" s="1183"/>
      <c r="N650" s="1183"/>
      <c r="O650" s="1183"/>
      <c r="P650" s="1201"/>
      <c r="Q650" s="1201"/>
      <c r="R650" s="1201"/>
      <c r="S650" s="1201"/>
      <c r="T650" s="1201"/>
    </row>
    <row r="651" spans="12:20">
      <c r="L651" s="1179"/>
      <c r="M651" s="1183"/>
      <c r="N651" s="1183"/>
      <c r="O651" s="1183"/>
      <c r="P651" s="1201"/>
      <c r="Q651" s="1201"/>
      <c r="R651" s="1201"/>
      <c r="S651" s="1201"/>
      <c r="T651" s="1201"/>
    </row>
    <row r="652" spans="12:20">
      <c r="L652" s="1179"/>
      <c r="M652" s="1183"/>
      <c r="N652" s="1183"/>
      <c r="O652" s="1183"/>
      <c r="P652" s="1201"/>
      <c r="Q652" s="1201"/>
      <c r="R652" s="1201"/>
      <c r="S652" s="1201"/>
      <c r="T652" s="1201"/>
    </row>
    <row r="653" spans="12:20">
      <c r="L653" s="1179"/>
      <c r="M653" s="1183"/>
      <c r="N653" s="1183"/>
      <c r="O653" s="1183"/>
      <c r="P653" s="1201"/>
      <c r="Q653" s="1201"/>
      <c r="R653" s="1201"/>
      <c r="S653" s="1201"/>
      <c r="T653" s="1201"/>
    </row>
    <row r="654" spans="12:20">
      <c r="L654" s="1179"/>
      <c r="M654" s="1183"/>
      <c r="N654" s="1183"/>
      <c r="O654" s="1183"/>
      <c r="P654" s="1201"/>
      <c r="Q654" s="1201"/>
      <c r="R654" s="1201"/>
      <c r="S654" s="1201"/>
      <c r="T654" s="1201"/>
    </row>
    <row r="655" spans="12:20">
      <c r="L655" s="1179"/>
      <c r="M655" s="1183"/>
      <c r="N655" s="1183"/>
      <c r="O655" s="1183"/>
      <c r="P655" s="1201"/>
      <c r="Q655" s="1201"/>
      <c r="R655" s="1201"/>
      <c r="S655" s="1201"/>
      <c r="T655" s="1201"/>
    </row>
    <row r="656" spans="12:20">
      <c r="L656" s="1179"/>
      <c r="M656" s="1183"/>
      <c r="N656" s="1183"/>
      <c r="O656" s="1183"/>
      <c r="P656" s="1201"/>
      <c r="Q656" s="1201"/>
      <c r="R656" s="1201"/>
      <c r="S656" s="1201"/>
      <c r="T656" s="1201"/>
    </row>
    <row r="657" spans="12:20">
      <c r="L657" s="1179"/>
      <c r="M657" s="1183"/>
      <c r="N657" s="1183"/>
      <c r="O657" s="1183"/>
      <c r="P657" s="1201"/>
      <c r="Q657" s="1201"/>
      <c r="R657" s="1201"/>
      <c r="S657" s="1201"/>
      <c r="T657" s="1201"/>
    </row>
    <row r="658" spans="12:20">
      <c r="L658" s="1179"/>
      <c r="M658" s="1183"/>
      <c r="N658" s="1183"/>
      <c r="O658" s="1183"/>
      <c r="P658" s="1201"/>
      <c r="Q658" s="1201"/>
      <c r="R658" s="1201"/>
      <c r="S658" s="1201"/>
      <c r="T658" s="1201"/>
    </row>
    <row r="659" spans="12:20">
      <c r="L659" s="1179"/>
      <c r="M659" s="1183"/>
      <c r="N659" s="1183"/>
      <c r="O659" s="1183"/>
      <c r="P659" s="1201"/>
      <c r="Q659" s="1201"/>
      <c r="R659" s="1201"/>
      <c r="S659" s="1201"/>
      <c r="T659" s="1201"/>
    </row>
    <row r="660" spans="12:20">
      <c r="L660" s="1179"/>
      <c r="M660" s="1183"/>
      <c r="N660" s="1183"/>
      <c r="O660" s="1183"/>
      <c r="P660" s="1201"/>
      <c r="Q660" s="1201"/>
      <c r="R660" s="1201"/>
      <c r="S660" s="1201"/>
      <c r="T660" s="1201"/>
    </row>
    <row r="661" spans="12:20">
      <c r="L661" s="1179"/>
      <c r="M661" s="1183"/>
      <c r="N661" s="1183"/>
      <c r="O661" s="1183"/>
      <c r="P661" s="1201"/>
      <c r="Q661" s="1201"/>
      <c r="R661" s="1201"/>
      <c r="S661" s="1201"/>
      <c r="T661" s="1201"/>
    </row>
    <row r="662" spans="12:20">
      <c r="L662" s="1179"/>
      <c r="M662" s="1183"/>
      <c r="N662" s="1183"/>
      <c r="O662" s="1183"/>
      <c r="P662" s="1201"/>
      <c r="Q662" s="1201"/>
      <c r="R662" s="1201"/>
      <c r="S662" s="1201"/>
      <c r="T662" s="1201"/>
    </row>
    <row r="663" spans="12:20">
      <c r="L663" s="1179"/>
      <c r="M663" s="1183"/>
      <c r="N663" s="1183"/>
      <c r="O663" s="1183"/>
      <c r="P663" s="1201"/>
      <c r="Q663" s="1201"/>
      <c r="R663" s="1201"/>
      <c r="S663" s="1201"/>
      <c r="T663" s="1201"/>
    </row>
    <row r="664" spans="12:20">
      <c r="L664" s="1179"/>
      <c r="M664" s="1183"/>
      <c r="N664" s="1183"/>
      <c r="O664" s="1183"/>
      <c r="P664" s="1201"/>
      <c r="Q664" s="1201"/>
      <c r="R664" s="1201"/>
      <c r="S664" s="1201"/>
      <c r="T664" s="1201"/>
    </row>
    <row r="665" spans="12:20">
      <c r="L665" s="1179"/>
      <c r="M665" s="1183"/>
      <c r="N665" s="1183"/>
      <c r="O665" s="1183"/>
      <c r="P665" s="1201"/>
      <c r="Q665" s="1201"/>
      <c r="R665" s="1201"/>
      <c r="S665" s="1201"/>
      <c r="T665" s="1201"/>
    </row>
    <row r="666" spans="12:20">
      <c r="L666" s="1179"/>
      <c r="M666" s="1183"/>
      <c r="N666" s="1183"/>
      <c r="O666" s="1183"/>
      <c r="P666" s="1201"/>
      <c r="Q666" s="1201"/>
      <c r="R666" s="1201"/>
      <c r="S666" s="1201"/>
      <c r="T666" s="1201"/>
    </row>
    <row r="667" spans="12:20">
      <c r="L667" s="1179"/>
      <c r="M667" s="1183"/>
      <c r="N667" s="1183"/>
      <c r="O667" s="1183"/>
      <c r="P667" s="1201"/>
      <c r="Q667" s="1201"/>
      <c r="R667" s="1201"/>
      <c r="S667" s="1201"/>
      <c r="T667" s="1201"/>
    </row>
    <row r="668" spans="12:20">
      <c r="L668" s="1179"/>
      <c r="M668" s="1183"/>
      <c r="N668" s="1183"/>
      <c r="O668" s="1183"/>
      <c r="P668" s="1201"/>
      <c r="Q668" s="1201"/>
      <c r="R668" s="1201"/>
      <c r="S668" s="1201"/>
      <c r="T668" s="1201"/>
    </row>
    <row r="669" spans="12:20">
      <c r="L669" s="1179"/>
      <c r="M669" s="1183"/>
      <c r="N669" s="1183"/>
      <c r="O669" s="1183"/>
      <c r="P669" s="1201"/>
      <c r="Q669" s="1201"/>
      <c r="R669" s="1201"/>
      <c r="S669" s="1201"/>
      <c r="T669" s="1201"/>
    </row>
    <row r="670" spans="12:20">
      <c r="L670" s="1179"/>
      <c r="M670" s="1183"/>
      <c r="N670" s="1183"/>
      <c r="O670" s="1183"/>
      <c r="P670" s="1201"/>
      <c r="Q670" s="1201"/>
      <c r="R670" s="1201"/>
      <c r="S670" s="1201"/>
      <c r="T670" s="1201"/>
    </row>
    <row r="671" spans="12:20">
      <c r="L671" s="1179"/>
      <c r="M671" s="1183"/>
      <c r="N671" s="1183"/>
      <c r="O671" s="1183"/>
      <c r="P671" s="1201"/>
      <c r="Q671" s="1201"/>
      <c r="R671" s="1201"/>
      <c r="S671" s="1201"/>
      <c r="T671" s="1201"/>
    </row>
    <row r="672" spans="12:20">
      <c r="L672" s="1179"/>
      <c r="M672" s="1183"/>
      <c r="N672" s="1183"/>
      <c r="O672" s="1183"/>
      <c r="P672" s="1201"/>
      <c r="Q672" s="1201"/>
      <c r="R672" s="1201"/>
      <c r="S672" s="1201"/>
      <c r="T672" s="1201"/>
    </row>
    <row r="673" spans="12:20">
      <c r="L673" s="1179"/>
      <c r="M673" s="1183"/>
      <c r="N673" s="1183"/>
      <c r="O673" s="1183"/>
      <c r="P673" s="1201"/>
      <c r="Q673" s="1201"/>
      <c r="R673" s="1201"/>
      <c r="S673" s="1201"/>
      <c r="T673" s="1201"/>
    </row>
    <row r="674" spans="12:20">
      <c r="L674" s="1179"/>
      <c r="M674" s="1183"/>
      <c r="N674" s="1183"/>
      <c r="O674" s="1183"/>
      <c r="P674" s="1201"/>
      <c r="Q674" s="1201"/>
      <c r="R674" s="1201"/>
      <c r="S674" s="1201"/>
      <c r="T674" s="1201"/>
    </row>
    <row r="675" spans="12:20">
      <c r="L675" s="1179"/>
      <c r="M675" s="1183"/>
      <c r="N675" s="1183"/>
      <c r="O675" s="1183"/>
      <c r="P675" s="1201"/>
      <c r="Q675" s="1201"/>
      <c r="R675" s="1201"/>
      <c r="S675" s="1201"/>
      <c r="T675" s="1201"/>
    </row>
    <row r="676" spans="12:20">
      <c r="L676" s="1179"/>
      <c r="M676" s="1183"/>
      <c r="N676" s="1183"/>
      <c r="O676" s="1183"/>
      <c r="P676" s="1201"/>
      <c r="Q676" s="1201"/>
      <c r="R676" s="1201"/>
      <c r="S676" s="1201"/>
      <c r="T676" s="1201"/>
    </row>
    <row r="677" spans="12:20">
      <c r="L677" s="1179"/>
      <c r="M677" s="1183"/>
      <c r="N677" s="1183"/>
      <c r="O677" s="1183"/>
      <c r="P677" s="1201"/>
      <c r="Q677" s="1201"/>
      <c r="R677" s="1201"/>
      <c r="S677" s="1201"/>
      <c r="T677" s="1201"/>
    </row>
    <row r="678" spans="12:20">
      <c r="L678" s="1179"/>
      <c r="M678" s="1183"/>
      <c r="N678" s="1183"/>
      <c r="O678" s="1183"/>
      <c r="P678" s="1201"/>
      <c r="Q678" s="1201"/>
      <c r="R678" s="1201"/>
      <c r="S678" s="1201"/>
      <c r="T678" s="1201"/>
    </row>
    <row r="679" spans="12:20">
      <c r="L679" s="1179"/>
      <c r="M679" s="1183"/>
      <c r="N679" s="1183"/>
      <c r="O679" s="1183"/>
      <c r="P679" s="1201"/>
      <c r="Q679" s="1201"/>
      <c r="R679" s="1201"/>
      <c r="S679" s="1201"/>
      <c r="T679" s="1201"/>
    </row>
    <row r="680" spans="12:20">
      <c r="L680" s="1179"/>
      <c r="M680" s="1183"/>
      <c r="N680" s="1183"/>
      <c r="O680" s="1183"/>
      <c r="P680" s="1201"/>
      <c r="Q680" s="1201"/>
      <c r="R680" s="1201"/>
      <c r="S680" s="1201"/>
      <c r="T680" s="1201"/>
    </row>
    <row r="681" spans="12:20">
      <c r="L681" s="1179"/>
      <c r="M681" s="1183"/>
      <c r="N681" s="1183"/>
      <c r="O681" s="1183"/>
      <c r="P681" s="1201"/>
      <c r="Q681" s="1201"/>
      <c r="R681" s="1201"/>
      <c r="S681" s="1201"/>
      <c r="T681" s="1201"/>
    </row>
    <row r="682" spans="12:20">
      <c r="L682" s="1179"/>
      <c r="M682" s="1183"/>
      <c r="N682" s="1183"/>
      <c r="O682" s="1183"/>
      <c r="P682" s="1201"/>
      <c r="Q682" s="1201"/>
      <c r="R682" s="1201"/>
      <c r="S682" s="1201"/>
      <c r="T682" s="1201"/>
    </row>
    <row r="683" spans="12:20">
      <c r="L683" s="1179"/>
      <c r="M683" s="1183"/>
      <c r="N683" s="1183"/>
      <c r="O683" s="1183"/>
      <c r="P683" s="1201"/>
      <c r="Q683" s="1201"/>
      <c r="R683" s="1201"/>
      <c r="S683" s="1201"/>
      <c r="T683" s="1201"/>
    </row>
    <row r="684" spans="12:20">
      <c r="L684" s="1179"/>
      <c r="M684" s="1183"/>
      <c r="N684" s="1183"/>
      <c r="O684" s="1183"/>
      <c r="P684" s="1201"/>
      <c r="Q684" s="1201"/>
      <c r="R684" s="1201"/>
      <c r="S684" s="1201"/>
      <c r="T684" s="1201"/>
    </row>
    <row r="685" spans="12:20">
      <c r="L685" s="1179"/>
      <c r="M685" s="1183"/>
      <c r="N685" s="1183"/>
      <c r="O685" s="1183"/>
      <c r="P685" s="1201"/>
      <c r="Q685" s="1201"/>
      <c r="R685" s="1201"/>
      <c r="S685" s="1201"/>
      <c r="T685" s="1201"/>
    </row>
    <row r="686" spans="12:20">
      <c r="L686" s="1179"/>
      <c r="M686" s="1183"/>
      <c r="N686" s="1183"/>
      <c r="O686" s="1183"/>
      <c r="P686" s="1201"/>
      <c r="Q686" s="1201"/>
      <c r="R686" s="1201"/>
      <c r="S686" s="1201"/>
      <c r="T686" s="1201"/>
    </row>
    <row r="687" spans="12:20">
      <c r="L687" s="1179"/>
      <c r="M687" s="1183"/>
      <c r="N687" s="1183"/>
      <c r="O687" s="1183"/>
      <c r="P687" s="1201"/>
      <c r="Q687" s="1201"/>
      <c r="R687" s="1201"/>
      <c r="S687" s="1201"/>
      <c r="T687" s="1201"/>
    </row>
    <row r="688" spans="12:20">
      <c r="L688" s="1179"/>
      <c r="M688" s="1183"/>
      <c r="N688" s="1183"/>
      <c r="O688" s="1183"/>
      <c r="P688" s="1201"/>
      <c r="Q688" s="1201"/>
      <c r="R688" s="1201"/>
      <c r="S688" s="1201"/>
      <c r="T688" s="1201"/>
    </row>
    <row r="689" spans="12:20">
      <c r="L689" s="1179"/>
      <c r="M689" s="1183"/>
      <c r="N689" s="1183"/>
      <c r="O689" s="1183"/>
      <c r="P689" s="1201"/>
      <c r="Q689" s="1201"/>
      <c r="R689" s="1201"/>
      <c r="S689" s="1201"/>
      <c r="T689" s="1201"/>
    </row>
    <row r="690" spans="12:20">
      <c r="L690" s="1179"/>
      <c r="M690" s="1183"/>
      <c r="N690" s="1183"/>
      <c r="O690" s="1183"/>
      <c r="P690" s="1201"/>
      <c r="Q690" s="1201"/>
      <c r="R690" s="1201"/>
      <c r="S690" s="1201"/>
      <c r="T690" s="1201"/>
    </row>
    <row r="691" spans="12:20">
      <c r="L691" s="1179"/>
      <c r="M691" s="1183"/>
      <c r="N691" s="1183"/>
      <c r="O691" s="1183"/>
      <c r="P691" s="1201"/>
      <c r="Q691" s="1201"/>
      <c r="R691" s="1201"/>
      <c r="S691" s="1201"/>
      <c r="T691" s="1201"/>
    </row>
    <row r="692" spans="12:20">
      <c r="L692" s="1179"/>
      <c r="M692" s="1183"/>
      <c r="N692" s="1183"/>
      <c r="O692" s="1183"/>
      <c r="P692" s="1201"/>
      <c r="Q692" s="1201"/>
      <c r="R692" s="1201"/>
      <c r="S692" s="1201"/>
      <c r="T692" s="1201"/>
    </row>
    <row r="693" spans="12:20">
      <c r="L693" s="1179"/>
      <c r="M693" s="1183"/>
      <c r="N693" s="1183"/>
      <c r="O693" s="1183"/>
      <c r="P693" s="1201"/>
      <c r="Q693" s="1201"/>
      <c r="R693" s="1201"/>
      <c r="S693" s="1201"/>
      <c r="T693" s="1201"/>
    </row>
    <row r="694" spans="12:20">
      <c r="L694" s="1179"/>
      <c r="M694" s="1183"/>
      <c r="N694" s="1183"/>
      <c r="O694" s="1183"/>
      <c r="P694" s="1201"/>
      <c r="Q694" s="1201"/>
      <c r="R694" s="1201"/>
      <c r="S694" s="1201"/>
      <c r="T694" s="1201"/>
    </row>
    <row r="695" spans="12:20">
      <c r="L695" s="1179"/>
      <c r="M695" s="1183"/>
      <c r="N695" s="1183"/>
      <c r="O695" s="1183"/>
      <c r="P695" s="1201"/>
      <c r="Q695" s="1201"/>
      <c r="R695" s="1201"/>
      <c r="S695" s="1201"/>
      <c r="T695" s="1201"/>
    </row>
    <row r="696" spans="12:20">
      <c r="L696" s="1179"/>
      <c r="M696" s="1183"/>
      <c r="N696" s="1183"/>
      <c r="O696" s="1183"/>
      <c r="P696" s="1201"/>
      <c r="Q696" s="1201"/>
      <c r="R696" s="1201"/>
      <c r="S696" s="1201"/>
      <c r="T696" s="1201"/>
    </row>
    <row r="697" spans="12:20">
      <c r="L697" s="1179"/>
      <c r="M697" s="1183"/>
      <c r="N697" s="1183"/>
      <c r="O697" s="1183"/>
      <c r="P697" s="1201"/>
      <c r="Q697" s="1201"/>
      <c r="R697" s="1201"/>
      <c r="S697" s="1201"/>
      <c r="T697" s="1201"/>
    </row>
    <row r="698" spans="12:20">
      <c r="L698" s="1179"/>
      <c r="M698" s="1183"/>
      <c r="N698" s="1183"/>
      <c r="O698" s="1183"/>
      <c r="P698" s="1201"/>
      <c r="Q698" s="1201"/>
      <c r="R698" s="1201"/>
      <c r="S698" s="1201"/>
      <c r="T698" s="1201"/>
    </row>
    <row r="699" spans="12:20">
      <c r="L699" s="1179"/>
      <c r="M699" s="1183"/>
      <c r="N699" s="1183"/>
      <c r="O699" s="1183"/>
      <c r="P699" s="1201"/>
      <c r="Q699" s="1201"/>
      <c r="R699" s="1201"/>
      <c r="S699" s="1201"/>
      <c r="T699" s="1201"/>
    </row>
    <row r="700" spans="12:20">
      <c r="L700" s="1179"/>
      <c r="M700" s="1183"/>
      <c r="N700" s="1183"/>
      <c r="O700" s="1183"/>
      <c r="P700" s="1201"/>
      <c r="Q700" s="1201"/>
      <c r="R700" s="1201"/>
      <c r="S700" s="1201"/>
      <c r="T700" s="1201"/>
    </row>
    <row r="701" spans="12:20">
      <c r="L701" s="1179"/>
      <c r="M701" s="1183"/>
      <c r="N701" s="1183"/>
      <c r="O701" s="1183"/>
      <c r="P701" s="1201"/>
      <c r="Q701" s="1201"/>
      <c r="R701" s="1201"/>
      <c r="S701" s="1201"/>
      <c r="T701" s="1201"/>
    </row>
    <row r="702" spans="12:20">
      <c r="L702" s="1179"/>
      <c r="M702" s="1183"/>
      <c r="N702" s="1183"/>
      <c r="O702" s="1183"/>
      <c r="P702" s="1201"/>
      <c r="Q702" s="1201"/>
      <c r="R702" s="1201"/>
      <c r="S702" s="1201"/>
      <c r="T702" s="1201"/>
    </row>
    <row r="703" spans="12:20">
      <c r="L703" s="1179"/>
      <c r="M703" s="1183"/>
      <c r="N703" s="1183"/>
      <c r="O703" s="1183"/>
      <c r="P703" s="1201"/>
      <c r="Q703" s="1201"/>
      <c r="R703" s="1201"/>
      <c r="S703" s="1201"/>
      <c r="T703" s="1201"/>
    </row>
    <row r="704" spans="12:20">
      <c r="L704" s="1179"/>
      <c r="M704" s="1183"/>
      <c r="N704" s="1183"/>
      <c r="O704" s="1183"/>
      <c r="P704" s="1201"/>
      <c r="Q704" s="1201"/>
      <c r="R704" s="1201"/>
      <c r="S704" s="1201"/>
      <c r="T704" s="1201"/>
    </row>
    <row r="705" spans="12:20">
      <c r="L705" s="1179"/>
      <c r="M705" s="1183"/>
      <c r="N705" s="1183"/>
      <c r="O705" s="1183"/>
      <c r="P705" s="1201"/>
      <c r="Q705" s="1201"/>
      <c r="R705" s="1201"/>
      <c r="S705" s="1201"/>
      <c r="T705" s="1201"/>
    </row>
    <row r="706" spans="12:20">
      <c r="L706" s="1179"/>
      <c r="M706" s="1183"/>
      <c r="N706" s="1183"/>
      <c r="O706" s="1183"/>
      <c r="P706" s="1201"/>
      <c r="Q706" s="1201"/>
      <c r="R706" s="1201"/>
      <c r="S706" s="1201"/>
      <c r="T706" s="1201"/>
    </row>
    <row r="707" spans="12:20">
      <c r="L707" s="1179"/>
      <c r="M707" s="1183"/>
      <c r="N707" s="1183"/>
      <c r="O707" s="1183"/>
      <c r="P707" s="1201"/>
      <c r="Q707" s="1201"/>
      <c r="R707" s="1201"/>
      <c r="S707" s="1201"/>
      <c r="T707" s="1201"/>
    </row>
    <row r="708" spans="12:20">
      <c r="L708" s="1179"/>
      <c r="M708" s="1183"/>
      <c r="N708" s="1183"/>
      <c r="O708" s="1183"/>
      <c r="P708" s="1201"/>
      <c r="Q708" s="1201"/>
      <c r="R708" s="1201"/>
      <c r="S708" s="1201"/>
      <c r="T708" s="1201"/>
    </row>
    <row r="709" spans="12:20">
      <c r="L709" s="1179"/>
      <c r="M709" s="1183"/>
      <c r="N709" s="1183"/>
      <c r="O709" s="1183"/>
      <c r="P709" s="1201"/>
      <c r="Q709" s="1201"/>
      <c r="R709" s="1201"/>
      <c r="S709" s="1201"/>
      <c r="T709" s="1201"/>
    </row>
    <row r="710" spans="12:20">
      <c r="L710" s="1179"/>
      <c r="M710" s="1183"/>
      <c r="N710" s="1183"/>
      <c r="O710" s="1183"/>
      <c r="P710" s="1201"/>
      <c r="Q710" s="1201"/>
      <c r="R710" s="1201"/>
      <c r="S710" s="1201"/>
      <c r="T710" s="1201"/>
    </row>
    <row r="711" spans="12:20">
      <c r="L711" s="1179"/>
      <c r="M711" s="1183"/>
      <c r="N711" s="1183"/>
      <c r="O711" s="1183"/>
      <c r="P711" s="1201"/>
      <c r="Q711" s="1201"/>
      <c r="R711" s="1201"/>
      <c r="S711" s="1201"/>
      <c r="T711" s="1201"/>
    </row>
    <row r="712" spans="12:20">
      <c r="L712" s="1179"/>
      <c r="M712" s="1183"/>
      <c r="N712" s="1183"/>
      <c r="O712" s="1183"/>
      <c r="P712" s="1201"/>
      <c r="Q712" s="1201"/>
      <c r="R712" s="1201"/>
      <c r="S712" s="1201"/>
      <c r="T712" s="1201"/>
    </row>
    <row r="713" spans="12:20">
      <c r="L713" s="1179"/>
      <c r="M713" s="1183"/>
      <c r="N713" s="1183"/>
      <c r="O713" s="1183"/>
      <c r="P713" s="1201"/>
      <c r="Q713" s="1201"/>
      <c r="R713" s="1201"/>
      <c r="S713" s="1201"/>
      <c r="T713" s="1201"/>
    </row>
    <row r="714" spans="12:20">
      <c r="L714" s="1179"/>
      <c r="M714" s="1183"/>
      <c r="N714" s="1183"/>
      <c r="O714" s="1183"/>
      <c r="P714" s="1201"/>
      <c r="Q714" s="1201"/>
      <c r="R714" s="1201"/>
      <c r="S714" s="1201"/>
      <c r="T714" s="1201"/>
    </row>
    <row r="715" spans="12:20">
      <c r="L715" s="1179"/>
      <c r="M715" s="1183"/>
      <c r="N715" s="1183"/>
      <c r="O715" s="1183"/>
      <c r="P715" s="1201"/>
      <c r="Q715" s="1201"/>
      <c r="R715" s="1201"/>
      <c r="S715" s="1201"/>
      <c r="T715" s="1201"/>
    </row>
    <row r="716" spans="12:20">
      <c r="L716" s="1179"/>
      <c r="M716" s="1183"/>
      <c r="N716" s="1183"/>
      <c r="O716" s="1183"/>
      <c r="P716" s="1201"/>
      <c r="Q716" s="1201"/>
      <c r="R716" s="1201"/>
      <c r="S716" s="1201"/>
      <c r="T716" s="1201"/>
    </row>
    <row r="717" spans="12:20">
      <c r="L717" s="1179"/>
      <c r="M717" s="1183"/>
      <c r="N717" s="1183"/>
      <c r="O717" s="1183"/>
      <c r="P717" s="1201"/>
      <c r="Q717" s="1201"/>
      <c r="R717" s="1201"/>
      <c r="S717" s="1201"/>
      <c r="T717" s="1201"/>
    </row>
    <row r="718" spans="12:20">
      <c r="L718" s="1179"/>
      <c r="M718" s="1183"/>
      <c r="N718" s="1183"/>
      <c r="O718" s="1183"/>
      <c r="P718" s="1201"/>
      <c r="Q718" s="1201"/>
      <c r="R718" s="1201"/>
      <c r="S718" s="1201"/>
      <c r="T718" s="1201"/>
    </row>
    <row r="719" spans="12:20">
      <c r="L719" s="1179"/>
      <c r="M719" s="1183"/>
      <c r="N719" s="1183"/>
      <c r="O719" s="1183"/>
      <c r="P719" s="1201"/>
      <c r="Q719" s="1201"/>
      <c r="R719" s="1201"/>
      <c r="S719" s="1201"/>
      <c r="T719" s="1201"/>
    </row>
    <row r="720" spans="12:20">
      <c r="L720" s="1179"/>
      <c r="M720" s="1183"/>
      <c r="N720" s="1183"/>
      <c r="O720" s="1183"/>
      <c r="P720" s="1201"/>
      <c r="Q720" s="1201"/>
      <c r="R720" s="1201"/>
      <c r="S720" s="1201"/>
      <c r="T720" s="1201"/>
    </row>
    <row r="721" spans="12:20">
      <c r="L721" s="1179"/>
      <c r="M721" s="1183"/>
      <c r="N721" s="1183"/>
      <c r="O721" s="1183"/>
      <c r="P721" s="1201"/>
      <c r="Q721" s="1201"/>
      <c r="R721" s="1201"/>
      <c r="S721" s="1201"/>
      <c r="T721" s="1201"/>
    </row>
    <row r="722" spans="12:20">
      <c r="L722" s="1179"/>
      <c r="M722" s="1183"/>
      <c r="N722" s="1183"/>
      <c r="O722" s="1183"/>
      <c r="P722" s="1201"/>
      <c r="Q722" s="1201"/>
      <c r="R722" s="1201"/>
      <c r="S722" s="1201"/>
      <c r="T722" s="1201"/>
    </row>
    <row r="723" spans="12:20">
      <c r="L723" s="1179"/>
      <c r="M723" s="1183"/>
      <c r="N723" s="1183"/>
      <c r="O723" s="1183"/>
      <c r="P723" s="1201"/>
      <c r="Q723" s="1201"/>
      <c r="R723" s="1201"/>
      <c r="S723" s="1201"/>
      <c r="T723" s="1201"/>
    </row>
    <row r="724" spans="12:20">
      <c r="L724" s="1179"/>
      <c r="M724" s="1183"/>
      <c r="N724" s="1183"/>
      <c r="O724" s="1183"/>
      <c r="P724" s="1201"/>
      <c r="Q724" s="1201"/>
      <c r="R724" s="1201"/>
      <c r="S724" s="1201"/>
      <c r="T724" s="1201"/>
    </row>
    <row r="725" spans="12:20">
      <c r="L725" s="1179"/>
      <c r="M725" s="1183"/>
      <c r="N725" s="1183"/>
      <c r="O725" s="1183"/>
      <c r="P725" s="1201"/>
      <c r="Q725" s="1201"/>
      <c r="R725" s="1201"/>
      <c r="S725" s="1201"/>
      <c r="T725" s="1201"/>
    </row>
    <row r="726" spans="12:20">
      <c r="L726" s="1179"/>
      <c r="M726" s="1183"/>
      <c r="N726" s="1183"/>
      <c r="O726" s="1183"/>
      <c r="P726" s="1201"/>
      <c r="Q726" s="1201"/>
      <c r="R726" s="1201"/>
      <c r="S726" s="1201"/>
      <c r="T726" s="1201"/>
    </row>
    <row r="727" spans="12:20">
      <c r="L727" s="1179"/>
      <c r="M727" s="1183"/>
      <c r="N727" s="1183"/>
      <c r="O727" s="1183"/>
      <c r="P727" s="1201"/>
      <c r="Q727" s="1201"/>
      <c r="R727" s="1201"/>
      <c r="S727" s="1201"/>
      <c r="T727" s="1201"/>
    </row>
    <row r="728" spans="12:20">
      <c r="L728" s="1179"/>
      <c r="M728" s="1183"/>
      <c r="N728" s="1183"/>
      <c r="O728" s="1183"/>
      <c r="P728" s="1201"/>
      <c r="Q728" s="1201"/>
      <c r="R728" s="1201"/>
      <c r="S728" s="1201"/>
      <c r="T728" s="1201"/>
    </row>
    <row r="729" spans="12:20">
      <c r="L729" s="1179"/>
      <c r="M729" s="1183"/>
      <c r="N729" s="1183"/>
      <c r="O729" s="1183"/>
      <c r="P729" s="1201"/>
      <c r="Q729" s="1201"/>
      <c r="R729" s="1201"/>
      <c r="S729" s="1201"/>
      <c r="T729" s="1201"/>
    </row>
    <row r="730" spans="12:20">
      <c r="L730" s="1179"/>
      <c r="M730" s="1183"/>
      <c r="N730" s="1183"/>
      <c r="O730" s="1183"/>
      <c r="P730" s="1201"/>
      <c r="Q730" s="1201"/>
      <c r="R730" s="1201"/>
      <c r="S730" s="1201"/>
      <c r="T730" s="1201"/>
    </row>
    <row r="731" spans="12:20">
      <c r="L731" s="1179"/>
      <c r="M731" s="1183"/>
      <c r="N731" s="1183"/>
      <c r="O731" s="1183"/>
      <c r="P731" s="1201"/>
      <c r="Q731" s="1201"/>
      <c r="R731" s="1201"/>
      <c r="S731" s="1201"/>
      <c r="T731" s="1201"/>
    </row>
    <row r="732" spans="12:20">
      <c r="L732" s="1179"/>
      <c r="M732" s="1183"/>
      <c r="N732" s="1183"/>
      <c r="O732" s="1183"/>
      <c r="P732" s="1201"/>
      <c r="Q732" s="1201"/>
      <c r="R732" s="1201"/>
      <c r="S732" s="1201"/>
      <c r="T732" s="1201"/>
    </row>
    <row r="733" spans="12:20">
      <c r="L733" s="1179"/>
      <c r="M733" s="1183"/>
      <c r="N733" s="1183"/>
      <c r="O733" s="1183"/>
      <c r="P733" s="1201"/>
      <c r="Q733" s="1201"/>
      <c r="R733" s="1201"/>
      <c r="S733" s="1201"/>
      <c r="T733" s="1201"/>
    </row>
    <row r="734" spans="12:20">
      <c r="L734" s="1179"/>
      <c r="M734" s="1183"/>
      <c r="N734" s="1183"/>
      <c r="O734" s="1183"/>
      <c r="P734" s="1201"/>
      <c r="Q734" s="1201"/>
      <c r="R734" s="1201"/>
      <c r="S734" s="1201"/>
      <c r="T734" s="1201"/>
    </row>
    <row r="735" spans="12:20">
      <c r="L735" s="1179"/>
      <c r="M735" s="1183"/>
      <c r="N735" s="1183"/>
      <c r="O735" s="1183"/>
      <c r="P735" s="1201"/>
      <c r="Q735" s="1201"/>
      <c r="R735" s="1201"/>
      <c r="S735" s="1201"/>
      <c r="T735" s="1201"/>
    </row>
    <row r="736" spans="12:20">
      <c r="L736" s="1179"/>
      <c r="M736" s="1183"/>
      <c r="N736" s="1183"/>
      <c r="O736" s="1183"/>
      <c r="P736" s="1201"/>
      <c r="Q736" s="1201"/>
      <c r="R736" s="1201"/>
      <c r="S736" s="1201"/>
      <c r="T736" s="1201"/>
    </row>
    <row r="737" spans="12:20">
      <c r="L737" s="1179"/>
      <c r="M737" s="1183"/>
      <c r="N737" s="1183"/>
      <c r="O737" s="1183"/>
      <c r="P737" s="1201"/>
      <c r="Q737" s="1201"/>
      <c r="R737" s="1201"/>
      <c r="S737" s="1201"/>
      <c r="T737" s="1201"/>
    </row>
    <row r="738" spans="12:20">
      <c r="L738" s="1179"/>
      <c r="M738" s="1183"/>
      <c r="N738" s="1183"/>
      <c r="O738" s="1183"/>
      <c r="P738" s="1201"/>
      <c r="Q738" s="1201"/>
      <c r="R738" s="1201"/>
      <c r="S738" s="1201"/>
      <c r="T738" s="1201"/>
    </row>
    <row r="739" spans="12:20">
      <c r="L739" s="1179"/>
      <c r="M739" s="1183"/>
      <c r="N739" s="1183"/>
      <c r="O739" s="1183"/>
      <c r="P739" s="1201"/>
      <c r="Q739" s="1201"/>
      <c r="R739" s="1201"/>
      <c r="S739" s="1201"/>
      <c r="T739" s="1201"/>
    </row>
    <row r="740" spans="12:20">
      <c r="L740" s="1179"/>
      <c r="M740" s="1183"/>
      <c r="N740" s="1183"/>
      <c r="O740" s="1183"/>
      <c r="P740" s="1201"/>
      <c r="Q740" s="1201"/>
      <c r="R740" s="1201"/>
      <c r="S740" s="1201"/>
      <c r="T740" s="1201"/>
    </row>
    <row r="741" spans="12:20">
      <c r="L741" s="1179"/>
      <c r="M741" s="1183"/>
      <c r="N741" s="1183"/>
      <c r="O741" s="1183"/>
      <c r="P741" s="1201"/>
      <c r="Q741" s="1201"/>
      <c r="R741" s="1201"/>
      <c r="S741" s="1201"/>
      <c r="T741" s="1201"/>
    </row>
    <row r="742" spans="12:20">
      <c r="L742" s="1179"/>
      <c r="M742" s="1183"/>
      <c r="N742" s="1183"/>
      <c r="O742" s="1183"/>
      <c r="P742" s="1201"/>
      <c r="Q742" s="1201"/>
      <c r="R742" s="1201"/>
      <c r="S742" s="1201"/>
      <c r="T742" s="1201"/>
    </row>
    <row r="743" spans="12:20">
      <c r="L743" s="1179"/>
      <c r="M743" s="1183"/>
      <c r="N743" s="1183"/>
      <c r="O743" s="1183"/>
      <c r="P743" s="1201"/>
      <c r="Q743" s="1201"/>
      <c r="R743" s="1201"/>
      <c r="S743" s="1201"/>
      <c r="T743" s="1201"/>
    </row>
    <row r="744" spans="12:20">
      <c r="L744" s="1179"/>
      <c r="M744" s="1183"/>
      <c r="N744" s="1183"/>
      <c r="O744" s="1183"/>
      <c r="P744" s="1201"/>
      <c r="Q744" s="1201"/>
      <c r="R744" s="1201"/>
      <c r="S744" s="1201"/>
      <c r="T744" s="1201"/>
    </row>
    <row r="745" spans="12:20">
      <c r="L745" s="1179"/>
      <c r="M745" s="1183"/>
      <c r="N745" s="1183"/>
      <c r="O745" s="1183"/>
      <c r="P745" s="1201"/>
      <c r="Q745" s="1201"/>
      <c r="R745" s="1201"/>
      <c r="S745" s="1201"/>
      <c r="T745" s="1201"/>
    </row>
    <row r="746" spans="12:20">
      <c r="L746" s="1179"/>
      <c r="M746" s="1183"/>
      <c r="N746" s="1183"/>
      <c r="O746" s="1183"/>
      <c r="P746" s="1201"/>
      <c r="Q746" s="1201"/>
      <c r="R746" s="1201"/>
      <c r="S746" s="1201"/>
      <c r="T746" s="1201"/>
    </row>
    <row r="747" spans="12:20">
      <c r="L747" s="1179"/>
      <c r="M747" s="1183"/>
      <c r="N747" s="1183"/>
      <c r="O747" s="1183"/>
      <c r="P747" s="1201"/>
      <c r="Q747" s="1201"/>
      <c r="R747" s="1201"/>
      <c r="S747" s="1201"/>
      <c r="T747" s="1201"/>
    </row>
    <row r="748" spans="12:20">
      <c r="L748" s="1179"/>
      <c r="M748" s="1183"/>
      <c r="N748" s="1183"/>
      <c r="O748" s="1183"/>
      <c r="P748" s="1201"/>
      <c r="Q748" s="1201"/>
      <c r="R748" s="1201"/>
      <c r="S748" s="1201"/>
      <c r="T748" s="1201"/>
    </row>
    <row r="749" spans="12:20">
      <c r="L749" s="1179"/>
      <c r="M749" s="1183"/>
      <c r="N749" s="1183"/>
      <c r="O749" s="1183"/>
      <c r="P749" s="1201"/>
      <c r="Q749" s="1201"/>
      <c r="R749" s="1201"/>
      <c r="S749" s="1201"/>
      <c r="T749" s="1201"/>
    </row>
    <row r="750" spans="12:20">
      <c r="L750" s="1179"/>
      <c r="M750" s="1183"/>
      <c r="N750" s="1183"/>
      <c r="O750" s="1183"/>
      <c r="P750" s="1201"/>
      <c r="Q750" s="1201"/>
      <c r="R750" s="1201"/>
      <c r="S750" s="1201"/>
      <c r="T750" s="1201"/>
    </row>
    <row r="751" spans="12:20">
      <c r="L751" s="1179"/>
      <c r="M751" s="1183"/>
      <c r="N751" s="1183"/>
      <c r="O751" s="1183"/>
      <c r="P751" s="1201"/>
      <c r="Q751" s="1201"/>
      <c r="R751" s="1201"/>
      <c r="S751" s="1201"/>
      <c r="T751" s="1201"/>
    </row>
    <row r="752" spans="12:20">
      <c r="L752" s="1179"/>
      <c r="M752" s="1183"/>
      <c r="N752" s="1183"/>
      <c r="O752" s="1183"/>
      <c r="P752" s="1201"/>
      <c r="Q752" s="1201"/>
      <c r="R752" s="1201"/>
      <c r="S752" s="1201"/>
      <c r="T752" s="1201"/>
    </row>
    <row r="753" spans="12:20">
      <c r="L753" s="1179"/>
      <c r="M753" s="1183"/>
      <c r="N753" s="1183"/>
      <c r="O753" s="1183"/>
      <c r="P753" s="1201"/>
      <c r="Q753" s="1201"/>
      <c r="R753" s="1201"/>
      <c r="S753" s="1201"/>
      <c r="T753" s="1201"/>
    </row>
    <row r="754" spans="12:20">
      <c r="L754" s="1179"/>
      <c r="M754" s="1183"/>
      <c r="N754" s="1183"/>
      <c r="O754" s="1183"/>
      <c r="P754" s="1201"/>
      <c r="Q754" s="1201"/>
      <c r="R754" s="1201"/>
      <c r="S754" s="1201"/>
      <c r="T754" s="1201"/>
    </row>
    <row r="755" spans="12:20">
      <c r="L755" s="1179"/>
      <c r="M755" s="1183"/>
      <c r="N755" s="1183"/>
      <c r="O755" s="1183"/>
      <c r="P755" s="1201"/>
      <c r="Q755" s="1201"/>
      <c r="R755" s="1201"/>
      <c r="S755" s="1201"/>
      <c r="T755" s="1201"/>
    </row>
    <row r="756" spans="12:20">
      <c r="L756" s="1179"/>
      <c r="M756" s="1183"/>
      <c r="N756" s="1183"/>
      <c r="O756" s="1183"/>
      <c r="P756" s="1201"/>
      <c r="Q756" s="1201"/>
      <c r="R756" s="1201"/>
      <c r="S756" s="1201"/>
      <c r="T756" s="1201"/>
    </row>
    <row r="757" spans="12:20">
      <c r="L757" s="1179"/>
      <c r="M757" s="1183"/>
      <c r="N757" s="1183"/>
      <c r="O757" s="1183"/>
      <c r="P757" s="1201"/>
      <c r="Q757" s="1201"/>
      <c r="R757" s="1201"/>
      <c r="S757" s="1201"/>
      <c r="T757" s="1201"/>
    </row>
    <row r="758" spans="12:20">
      <c r="L758" s="1179"/>
      <c r="M758" s="1183"/>
      <c r="N758" s="1183"/>
      <c r="O758" s="1183"/>
      <c r="P758" s="1201"/>
      <c r="Q758" s="1201"/>
      <c r="R758" s="1201"/>
      <c r="S758" s="1201"/>
      <c r="T758" s="1201"/>
    </row>
    <row r="759" spans="12:20">
      <c r="L759" s="1179"/>
      <c r="M759" s="1183"/>
      <c r="N759" s="1183"/>
      <c r="O759" s="1183"/>
      <c r="P759" s="1201"/>
      <c r="Q759" s="1201"/>
      <c r="R759" s="1201"/>
      <c r="S759" s="1201"/>
      <c r="T759" s="1201"/>
    </row>
    <row r="760" spans="12:20">
      <c r="L760" s="1179"/>
      <c r="M760" s="1183"/>
      <c r="N760" s="1183"/>
      <c r="O760" s="1183"/>
      <c r="P760" s="1201"/>
      <c r="Q760" s="1201"/>
      <c r="R760" s="1201"/>
      <c r="S760" s="1201"/>
      <c r="T760" s="1201"/>
    </row>
    <row r="761" spans="12:20">
      <c r="L761" s="1179"/>
      <c r="M761" s="1183"/>
      <c r="N761" s="1183"/>
      <c r="O761" s="1183"/>
      <c r="P761" s="1201"/>
      <c r="Q761" s="1201"/>
      <c r="R761" s="1201"/>
      <c r="S761" s="1201"/>
      <c r="T761" s="1201"/>
    </row>
    <row r="762" spans="12:20">
      <c r="L762" s="1179"/>
      <c r="M762" s="1183"/>
      <c r="N762" s="1183"/>
      <c r="O762" s="1183"/>
      <c r="P762" s="1201"/>
      <c r="Q762" s="1201"/>
      <c r="R762" s="1201"/>
      <c r="S762" s="1201"/>
      <c r="T762" s="1201"/>
    </row>
    <row r="763" spans="12:20">
      <c r="L763" s="1179"/>
      <c r="M763" s="1183"/>
      <c r="N763" s="1183"/>
      <c r="O763" s="1183"/>
      <c r="P763" s="1201"/>
      <c r="Q763" s="1201"/>
      <c r="R763" s="1201"/>
      <c r="S763" s="1201"/>
      <c r="T763" s="1201"/>
    </row>
    <row r="764" spans="12:20">
      <c r="L764" s="1179"/>
      <c r="M764" s="1183"/>
      <c r="N764" s="1183"/>
      <c r="O764" s="1183"/>
      <c r="P764" s="1201"/>
      <c r="Q764" s="1201"/>
      <c r="R764" s="1201"/>
      <c r="S764" s="1201"/>
      <c r="T764" s="1201"/>
    </row>
    <row r="765" spans="12:20">
      <c r="L765" s="1179"/>
      <c r="M765" s="1183"/>
      <c r="N765" s="1183"/>
      <c r="O765" s="1183"/>
      <c r="P765" s="1201"/>
      <c r="Q765" s="1201"/>
      <c r="R765" s="1201"/>
      <c r="S765" s="1201"/>
      <c r="T765" s="1201"/>
    </row>
    <row r="766" spans="12:20">
      <c r="L766" s="1179"/>
      <c r="M766" s="1183"/>
      <c r="N766" s="1183"/>
      <c r="O766" s="1183"/>
      <c r="P766" s="1201"/>
      <c r="Q766" s="1201"/>
      <c r="R766" s="1201"/>
      <c r="S766" s="1201"/>
      <c r="T766" s="1201"/>
    </row>
    <row r="767" spans="12:20">
      <c r="L767" s="1179"/>
      <c r="M767" s="1183"/>
      <c r="N767" s="1183"/>
      <c r="O767" s="1183"/>
      <c r="P767" s="1201"/>
      <c r="Q767" s="1201"/>
      <c r="R767" s="1201"/>
      <c r="S767" s="1201"/>
      <c r="T767" s="1201"/>
    </row>
    <row r="768" spans="12:20">
      <c r="L768" s="1179"/>
      <c r="M768" s="1183"/>
      <c r="N768" s="1183"/>
      <c r="O768" s="1183"/>
      <c r="P768" s="1201"/>
      <c r="Q768" s="1201"/>
      <c r="R768" s="1201"/>
      <c r="S768" s="1201"/>
      <c r="T768" s="1201"/>
    </row>
    <row r="769" spans="12:20">
      <c r="L769" s="1179"/>
      <c r="M769" s="1183"/>
      <c r="N769" s="1183"/>
      <c r="O769" s="1183"/>
      <c r="P769" s="1201"/>
      <c r="Q769" s="1201"/>
      <c r="R769" s="1201"/>
      <c r="S769" s="1201"/>
      <c r="T769" s="1201"/>
    </row>
    <row r="770" spans="12:20">
      <c r="L770" s="1179"/>
      <c r="M770" s="1183"/>
      <c r="N770" s="1183"/>
      <c r="O770" s="1183"/>
      <c r="P770" s="1201"/>
      <c r="Q770" s="1201"/>
      <c r="R770" s="1201"/>
      <c r="S770" s="1201"/>
      <c r="T770" s="1201"/>
    </row>
    <row r="771" spans="12:20">
      <c r="L771" s="1179"/>
      <c r="M771" s="1183"/>
      <c r="N771" s="1183"/>
      <c r="O771" s="1183"/>
      <c r="P771" s="1201"/>
      <c r="Q771" s="1201"/>
      <c r="R771" s="1201"/>
      <c r="S771" s="1201"/>
      <c r="T771" s="1201"/>
    </row>
    <row r="772" spans="12:20">
      <c r="L772" s="1179"/>
      <c r="M772" s="1183"/>
      <c r="N772" s="1183"/>
      <c r="O772" s="1183"/>
      <c r="P772" s="1201"/>
      <c r="Q772" s="1201"/>
      <c r="R772" s="1201"/>
      <c r="S772" s="1201"/>
      <c r="T772" s="1201"/>
    </row>
    <row r="773" spans="12:20">
      <c r="L773" s="1179"/>
      <c r="M773" s="1183"/>
      <c r="N773" s="1183"/>
      <c r="O773" s="1183"/>
      <c r="P773" s="1201"/>
      <c r="Q773" s="1201"/>
      <c r="R773" s="1201"/>
      <c r="S773" s="1201"/>
      <c r="T773" s="1201"/>
    </row>
    <row r="774" spans="12:20">
      <c r="L774" s="1179"/>
      <c r="M774" s="1183"/>
      <c r="N774" s="1183"/>
      <c r="O774" s="1183"/>
      <c r="P774" s="1201"/>
      <c r="Q774" s="1201"/>
      <c r="R774" s="1201"/>
      <c r="S774" s="1201"/>
      <c r="T774" s="1201"/>
    </row>
    <row r="775" spans="12:20">
      <c r="L775" s="1179"/>
      <c r="M775" s="1183"/>
      <c r="N775" s="1183"/>
      <c r="O775" s="1183"/>
      <c r="P775" s="1201"/>
      <c r="Q775" s="1201"/>
      <c r="R775" s="1201"/>
      <c r="S775" s="1201"/>
      <c r="T775" s="1201"/>
    </row>
    <row r="776" spans="12:20">
      <c r="L776" s="1179"/>
      <c r="M776" s="1183"/>
      <c r="N776" s="1183"/>
      <c r="O776" s="1183"/>
      <c r="P776" s="1201"/>
      <c r="Q776" s="1201"/>
      <c r="R776" s="1201"/>
      <c r="S776" s="1201"/>
      <c r="T776" s="1201"/>
    </row>
    <row r="777" spans="12:20">
      <c r="L777" s="1179"/>
      <c r="M777" s="1183"/>
      <c r="N777" s="1183"/>
      <c r="O777" s="1183"/>
      <c r="P777" s="1201"/>
      <c r="Q777" s="1201"/>
      <c r="R777" s="1201"/>
      <c r="S777" s="1201"/>
      <c r="T777" s="1201"/>
    </row>
    <row r="778" spans="12:20">
      <c r="L778" s="1179"/>
      <c r="M778" s="1183"/>
      <c r="N778" s="1183"/>
      <c r="O778" s="1183"/>
      <c r="P778" s="1201"/>
      <c r="Q778" s="1201"/>
      <c r="R778" s="1201"/>
      <c r="S778" s="1201"/>
      <c r="T778" s="1201"/>
    </row>
    <row r="779" spans="12:20">
      <c r="L779" s="1179"/>
      <c r="M779" s="1183"/>
      <c r="N779" s="1183"/>
      <c r="O779" s="1183"/>
      <c r="P779" s="1201"/>
      <c r="Q779" s="1201"/>
      <c r="R779" s="1201"/>
      <c r="S779" s="1201"/>
      <c r="T779" s="1201"/>
    </row>
    <row r="780" spans="12:20">
      <c r="L780" s="1179"/>
      <c r="M780" s="1183"/>
      <c r="N780" s="1183"/>
      <c r="O780" s="1183"/>
      <c r="P780" s="1201"/>
      <c r="Q780" s="1201"/>
      <c r="R780" s="1201"/>
      <c r="S780" s="1201"/>
      <c r="T780" s="1201"/>
    </row>
    <row r="781" spans="12:20">
      <c r="L781" s="1179"/>
      <c r="M781" s="1183"/>
      <c r="N781" s="1183"/>
      <c r="O781" s="1183"/>
      <c r="P781" s="1201"/>
      <c r="Q781" s="1201"/>
      <c r="R781" s="1201"/>
      <c r="S781" s="1201"/>
      <c r="T781" s="1201"/>
    </row>
    <row r="782" spans="12:20">
      <c r="L782" s="1179"/>
      <c r="M782" s="1183"/>
      <c r="N782" s="1183"/>
      <c r="O782" s="1183"/>
      <c r="P782" s="1201"/>
      <c r="Q782" s="1201"/>
      <c r="R782" s="1201"/>
      <c r="S782" s="1201"/>
      <c r="T782" s="1201"/>
    </row>
    <row r="783" spans="12:20">
      <c r="L783" s="1179"/>
      <c r="M783" s="1183"/>
      <c r="N783" s="1183"/>
      <c r="O783" s="1183"/>
      <c r="P783" s="1201"/>
      <c r="Q783" s="1201"/>
      <c r="R783" s="1201"/>
      <c r="S783" s="1201"/>
      <c r="T783" s="1201"/>
    </row>
    <row r="784" spans="12:20">
      <c r="L784" s="1179"/>
      <c r="M784" s="1183"/>
      <c r="N784" s="1183"/>
      <c r="O784" s="1183"/>
      <c r="P784" s="1201"/>
      <c r="Q784" s="1201"/>
      <c r="R784" s="1201"/>
      <c r="S784" s="1201"/>
      <c r="T784" s="1201"/>
    </row>
    <row r="785" spans="12:20">
      <c r="L785" s="1179"/>
      <c r="M785" s="1183"/>
      <c r="N785" s="1183"/>
      <c r="O785" s="1183"/>
      <c r="P785" s="1201"/>
      <c r="Q785" s="1201"/>
      <c r="R785" s="1201"/>
      <c r="S785" s="1201"/>
      <c r="T785" s="1201"/>
    </row>
    <row r="786" spans="12:20">
      <c r="L786" s="1179"/>
      <c r="M786" s="1183"/>
      <c r="N786" s="1183"/>
      <c r="O786" s="1183"/>
      <c r="P786" s="1201"/>
      <c r="Q786" s="1201"/>
      <c r="R786" s="1201"/>
      <c r="S786" s="1201"/>
      <c r="T786" s="1201"/>
    </row>
    <row r="787" spans="12:20">
      <c r="L787" s="1179"/>
      <c r="M787" s="1183"/>
      <c r="N787" s="1183"/>
      <c r="O787" s="1183"/>
      <c r="P787" s="1201"/>
      <c r="Q787" s="1201"/>
      <c r="R787" s="1201"/>
      <c r="S787" s="1201"/>
      <c r="T787" s="1201"/>
    </row>
    <row r="788" spans="12:20">
      <c r="L788" s="1179"/>
      <c r="M788" s="1183"/>
      <c r="N788" s="1183"/>
      <c r="O788" s="1183"/>
      <c r="P788" s="1201"/>
      <c r="Q788" s="1201"/>
      <c r="R788" s="1201"/>
      <c r="S788" s="1201"/>
      <c r="T788" s="1201"/>
    </row>
    <row r="789" spans="12:20">
      <c r="L789" s="1179"/>
      <c r="M789" s="1183"/>
      <c r="N789" s="1183"/>
      <c r="O789" s="1183"/>
      <c r="P789" s="1201"/>
      <c r="Q789" s="1201"/>
      <c r="R789" s="1201"/>
      <c r="S789" s="1201"/>
      <c r="T789" s="1201"/>
    </row>
    <row r="790" spans="12:20">
      <c r="L790" s="1179"/>
      <c r="M790" s="1183"/>
      <c r="N790" s="1183"/>
      <c r="O790" s="1183"/>
      <c r="P790" s="1201"/>
      <c r="Q790" s="1201"/>
      <c r="R790" s="1201"/>
      <c r="S790" s="1201"/>
      <c r="T790" s="1201"/>
    </row>
    <row r="791" spans="12:20">
      <c r="L791" s="1179"/>
      <c r="M791" s="1183"/>
      <c r="N791" s="1183"/>
      <c r="O791" s="1183"/>
      <c r="P791" s="1201"/>
      <c r="Q791" s="1201"/>
      <c r="R791" s="1201"/>
      <c r="S791" s="1201"/>
      <c r="T791" s="1201"/>
    </row>
    <row r="792" spans="12:20">
      <c r="L792" s="1179"/>
      <c r="M792" s="1183"/>
      <c r="N792" s="1183"/>
      <c r="O792" s="1183"/>
      <c r="P792" s="1201"/>
      <c r="Q792" s="1201"/>
      <c r="R792" s="1201"/>
      <c r="S792" s="1201"/>
      <c r="T792" s="1201"/>
    </row>
    <row r="793" spans="12:20">
      <c r="L793" s="1179"/>
      <c r="M793" s="1183"/>
      <c r="N793" s="1183"/>
      <c r="O793" s="1183"/>
      <c r="P793" s="1201"/>
      <c r="Q793" s="1201"/>
      <c r="R793" s="1201"/>
      <c r="S793" s="1201"/>
      <c r="T793" s="1201"/>
    </row>
    <row r="794" spans="12:20">
      <c r="L794" s="1179"/>
      <c r="M794" s="1183"/>
      <c r="N794" s="1183"/>
      <c r="O794" s="1183"/>
      <c r="P794" s="1201"/>
      <c r="Q794" s="1201"/>
      <c r="R794" s="1201"/>
      <c r="S794" s="1201"/>
      <c r="T794" s="1201"/>
    </row>
    <row r="795" spans="12:20">
      <c r="L795" s="1179"/>
      <c r="M795" s="1183"/>
      <c r="N795" s="1183"/>
      <c r="O795" s="1183"/>
      <c r="P795" s="1201"/>
      <c r="Q795" s="1201"/>
      <c r="R795" s="1201"/>
      <c r="S795" s="1201"/>
      <c r="T795" s="1201"/>
    </row>
    <row r="796" spans="12:20">
      <c r="L796" s="1179"/>
      <c r="M796" s="1183"/>
      <c r="N796" s="1183"/>
      <c r="O796" s="1183"/>
      <c r="P796" s="1201"/>
      <c r="Q796" s="1201"/>
      <c r="R796" s="1201"/>
      <c r="S796" s="1201"/>
      <c r="T796" s="1201"/>
    </row>
    <row r="797" spans="12:20">
      <c r="L797" s="1179"/>
      <c r="M797" s="1183"/>
      <c r="N797" s="1183"/>
      <c r="O797" s="1183"/>
      <c r="P797" s="1201"/>
      <c r="Q797" s="1201"/>
      <c r="R797" s="1201"/>
      <c r="S797" s="1201"/>
      <c r="T797" s="1201"/>
    </row>
    <row r="798" spans="12:20">
      <c r="L798" s="1179"/>
      <c r="M798" s="1183"/>
      <c r="N798" s="1183"/>
      <c r="O798" s="1183"/>
      <c r="P798" s="1201"/>
      <c r="Q798" s="1201"/>
      <c r="R798" s="1201"/>
      <c r="S798" s="1201"/>
      <c r="T798" s="1201"/>
    </row>
    <row r="799" spans="12:20">
      <c r="L799" s="1179"/>
      <c r="M799" s="1183"/>
      <c r="N799" s="1183"/>
      <c r="O799" s="1183"/>
      <c r="P799" s="1201"/>
      <c r="Q799" s="1201"/>
      <c r="R799" s="1201"/>
      <c r="S799" s="1201"/>
      <c r="T799" s="1201"/>
    </row>
    <row r="800" spans="12:20">
      <c r="L800" s="1179"/>
      <c r="M800" s="1183"/>
      <c r="N800" s="1183"/>
      <c r="O800" s="1183"/>
      <c r="P800" s="1201"/>
      <c r="Q800" s="1201"/>
      <c r="R800" s="1201"/>
      <c r="S800" s="1201"/>
      <c r="T800" s="1201"/>
    </row>
    <row r="801" spans="12:20">
      <c r="L801" s="1179"/>
      <c r="M801" s="1183"/>
      <c r="N801" s="1183"/>
      <c r="O801" s="1183"/>
      <c r="P801" s="1201"/>
      <c r="Q801" s="1201"/>
      <c r="R801" s="1201"/>
      <c r="S801" s="1201"/>
      <c r="T801" s="1201"/>
    </row>
    <row r="802" spans="12:20">
      <c r="L802" s="1179"/>
      <c r="M802" s="1183"/>
      <c r="N802" s="1183"/>
      <c r="O802" s="1183"/>
      <c r="P802" s="1201"/>
      <c r="Q802" s="1201"/>
      <c r="R802" s="1201"/>
      <c r="S802" s="1201"/>
      <c r="T802" s="1201"/>
    </row>
    <row r="803" spans="12:20">
      <c r="L803" s="1179"/>
      <c r="M803" s="1183"/>
      <c r="N803" s="1183"/>
      <c r="O803" s="1183"/>
      <c r="P803" s="1201"/>
      <c r="Q803" s="1201"/>
      <c r="R803" s="1201"/>
      <c r="S803" s="1201"/>
      <c r="T803" s="1201"/>
    </row>
    <row r="804" spans="12:20">
      <c r="L804" s="1179"/>
      <c r="M804" s="1183"/>
      <c r="N804" s="1183"/>
      <c r="O804" s="1183"/>
      <c r="P804" s="1201"/>
      <c r="Q804" s="1201"/>
      <c r="R804" s="1201"/>
      <c r="S804" s="1201"/>
      <c r="T804" s="1201"/>
    </row>
    <row r="805" spans="12:20">
      <c r="L805" s="1179"/>
      <c r="M805" s="1183"/>
      <c r="N805" s="1183"/>
      <c r="O805" s="1183"/>
      <c r="P805" s="1201"/>
      <c r="Q805" s="1201"/>
      <c r="R805" s="1201"/>
      <c r="S805" s="1201"/>
      <c r="T805" s="1201"/>
    </row>
    <row r="806" spans="12:20">
      <c r="L806" s="1179"/>
      <c r="M806" s="1183"/>
      <c r="N806" s="1183"/>
      <c r="O806" s="1183"/>
      <c r="P806" s="1201"/>
      <c r="Q806" s="1201"/>
      <c r="R806" s="1201"/>
      <c r="S806" s="1201"/>
      <c r="T806" s="1201"/>
    </row>
    <row r="807" spans="12:20">
      <c r="L807" s="1179"/>
      <c r="M807" s="1183"/>
      <c r="N807" s="1183"/>
      <c r="O807" s="1183"/>
      <c r="P807" s="1201"/>
      <c r="Q807" s="1201"/>
      <c r="R807" s="1201"/>
      <c r="S807" s="1201"/>
      <c r="T807" s="1201"/>
    </row>
    <row r="808" spans="12:20">
      <c r="L808" s="1179"/>
      <c r="M808" s="1183"/>
      <c r="N808" s="1183"/>
      <c r="O808" s="1183"/>
      <c r="P808" s="1201"/>
      <c r="Q808" s="1201"/>
      <c r="R808" s="1201"/>
      <c r="S808" s="1201"/>
      <c r="T808" s="1201"/>
    </row>
    <row r="809" spans="12:20">
      <c r="L809" s="1179"/>
      <c r="M809" s="1183"/>
      <c r="N809" s="1183"/>
      <c r="O809" s="1183"/>
      <c r="P809" s="1201"/>
      <c r="Q809" s="1201"/>
      <c r="R809" s="1201"/>
      <c r="S809" s="1201"/>
      <c r="T809" s="1201"/>
    </row>
    <row r="810" spans="12:20">
      <c r="L810" s="1179"/>
      <c r="M810" s="1183"/>
      <c r="N810" s="1183"/>
      <c r="O810" s="1183"/>
      <c r="P810" s="1201"/>
      <c r="Q810" s="1201"/>
      <c r="R810" s="1201"/>
      <c r="S810" s="1201"/>
      <c r="T810" s="1201"/>
    </row>
    <row r="811" spans="12:20">
      <c r="L811" s="1179"/>
      <c r="M811" s="1183"/>
      <c r="N811" s="1183"/>
      <c r="O811" s="1183"/>
      <c r="P811" s="1201"/>
      <c r="Q811" s="1201"/>
      <c r="R811" s="1201"/>
      <c r="S811" s="1201"/>
      <c r="T811" s="1201"/>
    </row>
    <row r="812" spans="12:20">
      <c r="L812" s="1179"/>
      <c r="M812" s="1183"/>
      <c r="N812" s="1183"/>
      <c r="O812" s="1183"/>
      <c r="P812" s="1201"/>
      <c r="Q812" s="1201"/>
      <c r="R812" s="1201"/>
      <c r="S812" s="1201"/>
      <c r="T812" s="1201"/>
    </row>
    <row r="813" spans="12:20">
      <c r="L813" s="1179"/>
      <c r="M813" s="1183"/>
      <c r="N813" s="1183"/>
      <c r="O813" s="1183"/>
      <c r="P813" s="1201"/>
      <c r="Q813" s="1201"/>
      <c r="R813" s="1201"/>
      <c r="S813" s="1201"/>
      <c r="T813" s="1201"/>
    </row>
    <row r="814" spans="12:20">
      <c r="L814" s="1179"/>
      <c r="M814" s="1183"/>
      <c r="N814" s="1183"/>
      <c r="O814" s="1183"/>
      <c r="P814" s="1201"/>
      <c r="Q814" s="1201"/>
      <c r="R814" s="1201"/>
      <c r="S814" s="1201"/>
      <c r="T814" s="1201"/>
    </row>
    <row r="815" spans="12:20">
      <c r="L815" s="1179"/>
      <c r="M815" s="1183"/>
      <c r="N815" s="1183"/>
      <c r="O815" s="1183"/>
      <c r="P815" s="1201"/>
      <c r="Q815" s="1201"/>
      <c r="R815" s="1201"/>
      <c r="S815" s="1201"/>
      <c r="T815" s="1201"/>
    </row>
    <row r="816" spans="12:20">
      <c r="L816" s="1179"/>
      <c r="M816" s="1183"/>
      <c r="N816" s="1183"/>
      <c r="O816" s="1183"/>
      <c r="P816" s="1201"/>
      <c r="Q816" s="1201"/>
      <c r="R816" s="1201"/>
      <c r="S816" s="1201"/>
      <c r="T816" s="1201"/>
    </row>
    <row r="817" spans="12:20">
      <c r="L817" s="1179"/>
      <c r="M817" s="1183"/>
      <c r="N817" s="1183"/>
      <c r="O817" s="1183"/>
      <c r="P817" s="1201"/>
      <c r="Q817" s="1201"/>
      <c r="R817" s="1201"/>
      <c r="S817" s="1201"/>
      <c r="T817" s="1201"/>
    </row>
    <row r="818" spans="12:20">
      <c r="L818" s="1179"/>
      <c r="M818" s="1183"/>
      <c r="N818" s="1183"/>
      <c r="O818" s="1183"/>
      <c r="P818" s="1201"/>
      <c r="Q818" s="1201"/>
      <c r="R818" s="1201"/>
      <c r="S818" s="1201"/>
      <c r="T818" s="1201"/>
    </row>
    <row r="819" spans="12:20">
      <c r="L819" s="1179"/>
      <c r="M819" s="1183"/>
      <c r="N819" s="1183"/>
      <c r="O819" s="1183"/>
      <c r="P819" s="1201"/>
      <c r="Q819" s="1201"/>
      <c r="R819" s="1201"/>
      <c r="S819" s="1201"/>
      <c r="T819" s="1201"/>
    </row>
    <row r="820" spans="12:20">
      <c r="L820" s="1179"/>
      <c r="M820" s="1183"/>
      <c r="N820" s="1183"/>
      <c r="O820" s="1183"/>
      <c r="P820" s="1201"/>
      <c r="Q820" s="1201"/>
      <c r="R820" s="1201"/>
      <c r="S820" s="1201"/>
      <c r="T820" s="1201"/>
    </row>
    <row r="821" spans="12:20">
      <c r="L821" s="1179"/>
      <c r="M821" s="1183"/>
      <c r="N821" s="1183"/>
      <c r="O821" s="1183"/>
      <c r="P821" s="1201"/>
      <c r="Q821" s="1201"/>
      <c r="R821" s="1201"/>
      <c r="S821" s="1201"/>
      <c r="T821" s="1201"/>
    </row>
    <row r="822" spans="12:20">
      <c r="L822" s="1179"/>
      <c r="M822" s="1183"/>
      <c r="N822" s="1183"/>
      <c r="O822" s="1183"/>
      <c r="P822" s="1201"/>
      <c r="Q822" s="1201"/>
      <c r="R822" s="1201"/>
      <c r="S822" s="1201"/>
      <c r="T822" s="1201"/>
    </row>
    <row r="823" spans="12:20">
      <c r="L823" s="1179"/>
      <c r="M823" s="1183"/>
      <c r="N823" s="1183"/>
      <c r="O823" s="1183"/>
      <c r="P823" s="1201"/>
      <c r="Q823" s="1201"/>
      <c r="R823" s="1201"/>
      <c r="S823" s="1201"/>
      <c r="T823" s="1201"/>
    </row>
    <row r="824" spans="12:20">
      <c r="L824" s="1179"/>
      <c r="M824" s="1183"/>
      <c r="N824" s="1183"/>
      <c r="O824" s="1183"/>
      <c r="P824" s="1201"/>
      <c r="Q824" s="1201"/>
      <c r="R824" s="1201"/>
      <c r="S824" s="1201"/>
      <c r="T824" s="1201"/>
    </row>
    <row r="825" spans="12:20">
      <c r="L825" s="1179"/>
      <c r="M825" s="1183"/>
      <c r="N825" s="1183"/>
      <c r="O825" s="1183"/>
      <c r="P825" s="1201"/>
      <c r="Q825" s="1201"/>
      <c r="R825" s="1201"/>
      <c r="S825" s="1201"/>
      <c r="T825" s="1201"/>
    </row>
    <row r="826" spans="12:20">
      <c r="L826" s="1179"/>
      <c r="M826" s="1183"/>
      <c r="N826" s="1183"/>
      <c r="O826" s="1183"/>
      <c r="P826" s="1201"/>
      <c r="Q826" s="1201"/>
      <c r="R826" s="1201"/>
      <c r="S826" s="1201"/>
      <c r="T826" s="1201"/>
    </row>
    <row r="827" spans="12:20">
      <c r="L827" s="1179"/>
      <c r="M827" s="1183"/>
      <c r="N827" s="1183"/>
      <c r="O827" s="1183"/>
      <c r="P827" s="1201"/>
      <c r="Q827" s="1201"/>
      <c r="R827" s="1201"/>
      <c r="S827" s="1201"/>
      <c r="T827" s="1201"/>
    </row>
    <row r="828" spans="12:20">
      <c r="L828" s="1179"/>
      <c r="M828" s="1183"/>
      <c r="N828" s="1183"/>
      <c r="O828" s="1183"/>
      <c r="P828" s="1201"/>
      <c r="Q828" s="1201"/>
      <c r="R828" s="1201"/>
      <c r="S828" s="1201"/>
      <c r="T828" s="1201"/>
    </row>
    <row r="829" spans="12:20">
      <c r="L829" s="1179"/>
      <c r="M829" s="1183"/>
      <c r="N829" s="1183"/>
      <c r="O829" s="1183"/>
      <c r="P829" s="1201"/>
      <c r="Q829" s="1201"/>
      <c r="R829" s="1201"/>
      <c r="S829" s="1201"/>
      <c r="T829" s="1201"/>
    </row>
    <row r="830" spans="12:20">
      <c r="L830" s="1179"/>
      <c r="M830" s="1183"/>
      <c r="N830" s="1183"/>
      <c r="O830" s="1183"/>
      <c r="P830" s="1201"/>
      <c r="Q830" s="1201"/>
      <c r="R830" s="1201"/>
      <c r="S830" s="1201"/>
      <c r="T830" s="1201"/>
    </row>
    <row r="831" spans="12:20">
      <c r="L831" s="1179"/>
      <c r="M831" s="1183"/>
      <c r="N831" s="1183"/>
      <c r="O831" s="1183"/>
      <c r="P831" s="1201"/>
      <c r="Q831" s="1201"/>
      <c r="R831" s="1201"/>
      <c r="S831" s="1201"/>
      <c r="T831" s="1201"/>
    </row>
    <row r="832" spans="12:20">
      <c r="L832" s="1179"/>
      <c r="M832" s="1183"/>
      <c r="N832" s="1183"/>
      <c r="O832" s="1183"/>
      <c r="P832" s="1201"/>
      <c r="Q832" s="1201"/>
      <c r="R832" s="1201"/>
      <c r="S832" s="1201"/>
      <c r="T832" s="1201"/>
    </row>
    <row r="833" spans="12:20">
      <c r="L833" s="1179"/>
      <c r="M833" s="1183"/>
      <c r="N833" s="1183"/>
      <c r="O833" s="1183"/>
      <c r="P833" s="1201"/>
      <c r="Q833" s="1201"/>
      <c r="R833" s="1201"/>
      <c r="S833" s="1201"/>
      <c r="T833" s="1201"/>
    </row>
    <row r="834" spans="12:20">
      <c r="L834" s="1179"/>
      <c r="M834" s="1183"/>
      <c r="N834" s="1183"/>
      <c r="O834" s="1183"/>
      <c r="P834" s="1201"/>
      <c r="Q834" s="1201"/>
      <c r="R834" s="1201"/>
      <c r="S834" s="1201"/>
      <c r="T834" s="1201"/>
    </row>
    <row r="835" spans="12:20">
      <c r="L835" s="1179"/>
      <c r="M835" s="1183"/>
      <c r="N835" s="1183"/>
      <c r="O835" s="1183"/>
      <c r="P835" s="1201"/>
      <c r="Q835" s="1201"/>
      <c r="R835" s="1201"/>
      <c r="S835" s="1201"/>
      <c r="T835" s="1201"/>
    </row>
    <row r="836" spans="12:20">
      <c r="L836" s="1179"/>
      <c r="M836" s="1183"/>
      <c r="N836" s="1183"/>
      <c r="O836" s="1183"/>
      <c r="P836" s="1201"/>
      <c r="Q836" s="1201"/>
      <c r="R836" s="1201"/>
      <c r="S836" s="1201"/>
      <c r="T836" s="1201"/>
    </row>
    <row r="837" spans="12:20">
      <c r="L837" s="1179"/>
      <c r="M837" s="1183"/>
      <c r="N837" s="1183"/>
      <c r="O837" s="1183"/>
      <c r="P837" s="1201"/>
      <c r="Q837" s="1201"/>
      <c r="R837" s="1201"/>
      <c r="S837" s="1201"/>
      <c r="T837" s="1201"/>
    </row>
    <row r="838" spans="12:20">
      <c r="L838" s="1179"/>
      <c r="M838" s="1183"/>
      <c r="N838" s="1183"/>
      <c r="O838" s="1183"/>
      <c r="P838" s="1201"/>
      <c r="Q838" s="1201"/>
      <c r="R838" s="1201"/>
      <c r="S838" s="1201"/>
      <c r="T838" s="1201"/>
    </row>
    <row r="839" spans="12:20">
      <c r="L839" s="1179"/>
      <c r="M839" s="1183"/>
      <c r="N839" s="1183"/>
      <c r="O839" s="1183"/>
      <c r="P839" s="1201"/>
      <c r="Q839" s="1201"/>
      <c r="R839" s="1201"/>
      <c r="S839" s="1201"/>
      <c r="T839" s="1201"/>
    </row>
    <row r="840" spans="12:20">
      <c r="L840" s="1179"/>
      <c r="M840" s="1183"/>
      <c r="N840" s="1183"/>
      <c r="O840" s="1183"/>
      <c r="P840" s="1201"/>
      <c r="Q840" s="1201"/>
      <c r="R840" s="1201"/>
      <c r="S840" s="1201"/>
      <c r="T840" s="1201"/>
    </row>
    <row r="841" spans="12:20">
      <c r="L841" s="1179"/>
      <c r="M841" s="1183"/>
      <c r="N841" s="1183"/>
      <c r="O841" s="1183"/>
      <c r="P841" s="1201"/>
      <c r="Q841" s="1201"/>
      <c r="R841" s="1201"/>
      <c r="S841" s="1201"/>
      <c r="T841" s="1201"/>
    </row>
    <row r="842" spans="12:20">
      <c r="L842" s="1179"/>
      <c r="M842" s="1183"/>
      <c r="N842" s="1183"/>
      <c r="O842" s="1183"/>
      <c r="P842" s="1201"/>
      <c r="Q842" s="1201"/>
      <c r="R842" s="1201"/>
      <c r="S842" s="1201"/>
      <c r="T842" s="1201"/>
    </row>
    <row r="843" spans="12:20">
      <c r="L843" s="1179"/>
      <c r="M843" s="1183"/>
      <c r="N843" s="1183"/>
      <c r="O843" s="1183"/>
      <c r="P843" s="1201"/>
      <c r="Q843" s="1201"/>
      <c r="R843" s="1201"/>
      <c r="S843" s="1201"/>
      <c r="T843" s="1201"/>
    </row>
    <row r="844" spans="12:20">
      <c r="L844" s="1179"/>
      <c r="M844" s="1183"/>
      <c r="N844" s="1183"/>
      <c r="O844" s="1183"/>
      <c r="P844" s="1201"/>
      <c r="Q844" s="1201"/>
      <c r="R844" s="1201"/>
      <c r="S844" s="1201"/>
      <c r="T844" s="1201"/>
    </row>
    <row r="845" spans="12:20">
      <c r="L845" s="1179"/>
      <c r="M845" s="1183"/>
      <c r="N845" s="1183"/>
      <c r="O845" s="1183"/>
      <c r="P845" s="1201"/>
      <c r="Q845" s="1201"/>
      <c r="R845" s="1201"/>
      <c r="S845" s="1201"/>
      <c r="T845" s="1201"/>
    </row>
    <row r="846" spans="12:20">
      <c r="L846" s="1179"/>
      <c r="M846" s="1183"/>
      <c r="N846" s="1183"/>
      <c r="O846" s="1183"/>
      <c r="P846" s="1201"/>
      <c r="Q846" s="1201"/>
      <c r="R846" s="1201"/>
      <c r="S846" s="1201"/>
      <c r="T846" s="1201"/>
    </row>
    <row r="847" spans="12:20">
      <c r="L847" s="1179"/>
      <c r="M847" s="1183"/>
      <c r="N847" s="1183"/>
      <c r="O847" s="1183"/>
      <c r="P847" s="1201"/>
      <c r="Q847" s="1201"/>
      <c r="R847" s="1201"/>
      <c r="S847" s="1201"/>
      <c r="T847" s="1201"/>
    </row>
    <row r="848" spans="12:20">
      <c r="L848" s="1179"/>
      <c r="M848" s="1183"/>
      <c r="N848" s="1183"/>
      <c r="O848" s="1183"/>
      <c r="P848" s="1201"/>
      <c r="Q848" s="1201"/>
      <c r="R848" s="1201"/>
      <c r="S848" s="1201"/>
      <c r="T848" s="1201"/>
    </row>
    <row r="849" spans="12:20">
      <c r="L849" s="1179"/>
      <c r="M849" s="1183"/>
      <c r="N849" s="1183"/>
      <c r="O849" s="1183"/>
      <c r="P849" s="1201"/>
      <c r="Q849" s="1201"/>
      <c r="R849" s="1201"/>
      <c r="S849" s="1201"/>
      <c r="T849" s="1201"/>
    </row>
    <row r="850" spans="12:20">
      <c r="L850" s="1179"/>
      <c r="M850" s="1183"/>
      <c r="N850" s="1183"/>
      <c r="O850" s="1183"/>
      <c r="P850" s="1201"/>
      <c r="Q850" s="1201"/>
      <c r="R850" s="1201"/>
      <c r="S850" s="1201"/>
      <c r="T850" s="1201"/>
    </row>
    <row r="851" spans="12:20">
      <c r="L851" s="1179"/>
      <c r="M851" s="1183"/>
      <c r="N851" s="1183"/>
      <c r="O851" s="1183"/>
      <c r="P851" s="1201"/>
      <c r="Q851" s="1201"/>
      <c r="R851" s="1201"/>
      <c r="S851" s="1201"/>
      <c r="T851" s="1201"/>
    </row>
    <row r="852" spans="12:20">
      <c r="L852" s="1179"/>
      <c r="M852" s="1183"/>
      <c r="N852" s="1183"/>
      <c r="O852" s="1183"/>
      <c r="P852" s="1201"/>
      <c r="Q852" s="1201"/>
      <c r="R852" s="1201"/>
      <c r="S852" s="1201"/>
      <c r="T852" s="1201"/>
    </row>
    <row r="853" spans="12:20">
      <c r="L853" s="1179"/>
      <c r="M853" s="1183"/>
      <c r="N853" s="1183"/>
      <c r="O853" s="1183"/>
      <c r="P853" s="1201"/>
      <c r="Q853" s="1201"/>
      <c r="R853" s="1201"/>
      <c r="S853" s="1201"/>
      <c r="T853" s="1201"/>
    </row>
    <row r="854" spans="12:20">
      <c r="L854" s="1179"/>
      <c r="M854" s="1183"/>
      <c r="N854" s="1183"/>
      <c r="O854" s="1183"/>
      <c r="P854" s="1201"/>
      <c r="Q854" s="1201"/>
      <c r="R854" s="1201"/>
      <c r="S854" s="1201"/>
      <c r="T854" s="1201"/>
    </row>
    <row r="855" spans="12:20">
      <c r="L855" s="1179"/>
      <c r="M855" s="1183"/>
      <c r="N855" s="1183"/>
      <c r="O855" s="1183"/>
      <c r="P855" s="1201"/>
      <c r="Q855" s="1201"/>
      <c r="R855" s="1201"/>
      <c r="S855" s="1201"/>
      <c r="T855" s="1201"/>
    </row>
    <row r="856" spans="12:20">
      <c r="L856" s="1179"/>
      <c r="M856" s="1183"/>
      <c r="N856" s="1183"/>
      <c r="O856" s="1183"/>
      <c r="P856" s="1201"/>
      <c r="Q856" s="1201"/>
      <c r="R856" s="1201"/>
      <c r="S856" s="1201"/>
      <c r="T856" s="1201"/>
    </row>
    <row r="857" spans="12:20">
      <c r="L857" s="1179"/>
      <c r="M857" s="1183"/>
      <c r="N857" s="1183"/>
      <c r="O857" s="1183"/>
      <c r="P857" s="1201"/>
      <c r="Q857" s="1201"/>
      <c r="R857" s="1201"/>
      <c r="S857" s="1201"/>
      <c r="T857" s="1201"/>
    </row>
    <row r="858" spans="12:20">
      <c r="L858" s="1179"/>
      <c r="M858" s="1183"/>
      <c r="N858" s="1183"/>
      <c r="O858" s="1183"/>
      <c r="P858" s="1201"/>
      <c r="Q858" s="1201"/>
      <c r="R858" s="1201"/>
      <c r="S858" s="1201"/>
      <c r="T858" s="1201"/>
    </row>
    <row r="859" spans="12:20">
      <c r="L859" s="1179"/>
      <c r="M859" s="1183"/>
      <c r="N859" s="1183"/>
      <c r="O859" s="1183"/>
      <c r="P859" s="1201"/>
      <c r="Q859" s="1201"/>
      <c r="R859" s="1201"/>
      <c r="S859" s="1201"/>
      <c r="T859" s="1201"/>
    </row>
    <row r="860" spans="12:20">
      <c r="L860" s="1179"/>
      <c r="M860" s="1183"/>
      <c r="N860" s="1183"/>
      <c r="O860" s="1183"/>
      <c r="P860" s="1201"/>
      <c r="Q860" s="1201"/>
      <c r="R860" s="1201"/>
      <c r="S860" s="1201"/>
      <c r="T860" s="1201"/>
    </row>
    <row r="861" spans="12:20">
      <c r="L861" s="1179"/>
      <c r="M861" s="1183"/>
      <c r="N861" s="1183"/>
      <c r="O861" s="1183"/>
      <c r="P861" s="1201"/>
      <c r="Q861" s="1201"/>
      <c r="R861" s="1201"/>
      <c r="S861" s="1201"/>
      <c r="T861" s="1201"/>
    </row>
    <row r="862" spans="12:20">
      <c r="L862" s="1179"/>
      <c r="M862" s="1183"/>
      <c r="N862" s="1183"/>
      <c r="O862" s="1183"/>
      <c r="P862" s="1201"/>
      <c r="Q862" s="1201"/>
      <c r="R862" s="1201"/>
      <c r="S862" s="1201"/>
      <c r="T862" s="1201"/>
    </row>
    <row r="863" spans="12:20">
      <c r="L863" s="1179"/>
      <c r="M863" s="1183"/>
      <c r="N863" s="1183"/>
      <c r="O863" s="1183"/>
      <c r="P863" s="1201"/>
      <c r="Q863" s="1201"/>
      <c r="R863" s="1201"/>
      <c r="S863" s="1201"/>
      <c r="T863" s="1201"/>
    </row>
    <row r="864" spans="12:20">
      <c r="L864" s="1179"/>
      <c r="M864" s="1183"/>
      <c r="N864" s="1183"/>
      <c r="O864" s="1183"/>
      <c r="P864" s="1201"/>
      <c r="Q864" s="1201"/>
      <c r="R864" s="1201"/>
      <c r="S864" s="1201"/>
      <c r="T864" s="1201"/>
    </row>
    <row r="865" spans="12:20">
      <c r="L865" s="1179"/>
      <c r="M865" s="1183"/>
      <c r="N865" s="1183"/>
      <c r="O865" s="1183"/>
      <c r="P865" s="1201"/>
      <c r="Q865" s="1201"/>
      <c r="R865" s="1201"/>
      <c r="S865" s="1201"/>
      <c r="T865" s="1201"/>
    </row>
    <row r="866" spans="12:20">
      <c r="L866" s="1179"/>
      <c r="M866" s="1183"/>
      <c r="N866" s="1183"/>
      <c r="O866" s="1183"/>
      <c r="P866" s="1201"/>
      <c r="Q866" s="1201"/>
      <c r="R866" s="1201"/>
      <c r="S866" s="1201"/>
      <c r="T866" s="1201"/>
    </row>
    <row r="867" spans="12:20">
      <c r="L867" s="1179"/>
      <c r="M867" s="1183"/>
      <c r="N867" s="1183"/>
      <c r="O867" s="1183"/>
      <c r="P867" s="1201"/>
      <c r="Q867" s="1201"/>
      <c r="R867" s="1201"/>
      <c r="S867" s="1201"/>
      <c r="T867" s="1201"/>
    </row>
    <row r="868" spans="12:20">
      <c r="L868" s="1179"/>
      <c r="M868" s="1183"/>
      <c r="N868" s="1183"/>
      <c r="O868" s="1183"/>
      <c r="P868" s="1201"/>
      <c r="Q868" s="1201"/>
      <c r="R868" s="1201"/>
      <c r="S868" s="1201"/>
      <c r="T868" s="1201"/>
    </row>
    <row r="869" spans="12:20">
      <c r="L869" s="1179"/>
      <c r="M869" s="1183"/>
      <c r="N869" s="1183"/>
      <c r="O869" s="1183"/>
      <c r="P869" s="1201"/>
      <c r="Q869" s="1201"/>
      <c r="R869" s="1201"/>
      <c r="S869" s="1201"/>
      <c r="T869" s="1201"/>
    </row>
    <row r="870" spans="12:20">
      <c r="L870" s="1179"/>
      <c r="M870" s="1183"/>
      <c r="N870" s="1183"/>
      <c r="O870" s="1183"/>
      <c r="P870" s="1201"/>
      <c r="Q870" s="1201"/>
      <c r="R870" s="1201"/>
      <c r="S870" s="1201"/>
      <c r="T870" s="1201"/>
    </row>
    <row r="871" spans="12:20">
      <c r="L871" s="1179"/>
      <c r="M871" s="1183"/>
      <c r="N871" s="1183"/>
      <c r="O871" s="1183"/>
      <c r="P871" s="1201"/>
      <c r="Q871" s="1201"/>
      <c r="R871" s="1201"/>
      <c r="S871" s="1201"/>
      <c r="T871" s="1201"/>
    </row>
    <row r="872" spans="12:20">
      <c r="L872" s="1179"/>
      <c r="M872" s="1183"/>
      <c r="N872" s="1183"/>
      <c r="O872" s="1183"/>
      <c r="P872" s="1201"/>
      <c r="Q872" s="1201"/>
      <c r="R872" s="1201"/>
      <c r="S872" s="1201"/>
      <c r="T872" s="1201"/>
    </row>
    <row r="873" spans="12:20">
      <c r="L873" s="1179"/>
      <c r="M873" s="1183"/>
      <c r="N873" s="1183"/>
      <c r="O873" s="1183"/>
      <c r="P873" s="1201"/>
      <c r="Q873" s="1201"/>
      <c r="R873" s="1201"/>
      <c r="S873" s="1201"/>
      <c r="T873" s="1201"/>
    </row>
    <row r="874" spans="12:20">
      <c r="L874" s="1179"/>
      <c r="M874" s="1183"/>
      <c r="N874" s="1183"/>
      <c r="O874" s="1183"/>
      <c r="P874" s="1201"/>
      <c r="Q874" s="1201"/>
      <c r="R874" s="1201"/>
      <c r="S874" s="1201"/>
      <c r="T874" s="1201"/>
    </row>
    <row r="875" spans="12:20">
      <c r="L875" s="1179"/>
      <c r="M875" s="1183"/>
      <c r="N875" s="1183"/>
      <c r="O875" s="1183"/>
      <c r="P875" s="1201"/>
      <c r="Q875" s="1201"/>
      <c r="R875" s="1201"/>
      <c r="S875" s="1201"/>
      <c r="T875" s="1201"/>
    </row>
    <row r="876" spans="12:20">
      <c r="L876" s="1179"/>
      <c r="M876" s="1183"/>
      <c r="N876" s="1183"/>
      <c r="O876" s="1183"/>
      <c r="P876" s="1201"/>
      <c r="Q876" s="1201"/>
      <c r="R876" s="1201"/>
      <c r="S876" s="1201"/>
      <c r="T876" s="1201"/>
    </row>
    <row r="877" spans="12:20">
      <c r="L877" s="1179"/>
      <c r="M877" s="1183"/>
      <c r="N877" s="1183"/>
      <c r="O877" s="1183"/>
      <c r="P877" s="1201"/>
      <c r="Q877" s="1201"/>
      <c r="R877" s="1201"/>
      <c r="S877" s="1201"/>
      <c r="T877" s="1201"/>
    </row>
    <row r="878" spans="12:20">
      <c r="L878" s="1179"/>
      <c r="M878" s="1183"/>
      <c r="N878" s="1183"/>
      <c r="O878" s="1183"/>
      <c r="P878" s="1201"/>
      <c r="Q878" s="1201"/>
      <c r="R878" s="1201"/>
      <c r="S878" s="1201"/>
      <c r="T878" s="1201"/>
    </row>
    <row r="879" spans="12:20">
      <c r="L879" s="1179"/>
      <c r="M879" s="1183"/>
      <c r="N879" s="1183"/>
      <c r="O879" s="1183"/>
      <c r="P879" s="1201"/>
      <c r="Q879" s="1201"/>
      <c r="R879" s="1201"/>
      <c r="S879" s="1201"/>
      <c r="T879" s="1201"/>
    </row>
    <row r="880" spans="12:20">
      <c r="L880" s="1179"/>
      <c r="M880" s="1183"/>
      <c r="N880" s="1183"/>
      <c r="O880" s="1183"/>
      <c r="P880" s="1201"/>
      <c r="Q880" s="1201"/>
      <c r="R880" s="1201"/>
      <c r="S880" s="1201"/>
      <c r="T880" s="1201"/>
    </row>
    <row r="881" spans="12:20">
      <c r="L881" s="1179"/>
      <c r="M881" s="1183"/>
      <c r="N881" s="1183"/>
      <c r="O881" s="1183"/>
      <c r="P881" s="1201"/>
      <c r="Q881" s="1201"/>
      <c r="R881" s="1201"/>
      <c r="S881" s="1201"/>
      <c r="T881" s="1201"/>
    </row>
    <row r="882" spans="12:20">
      <c r="L882" s="1179"/>
      <c r="M882" s="1183"/>
      <c r="N882" s="1183"/>
      <c r="O882" s="1183"/>
      <c r="P882" s="1201"/>
      <c r="Q882" s="1201"/>
      <c r="R882" s="1201"/>
      <c r="S882" s="1201"/>
      <c r="T882" s="1201"/>
    </row>
    <row r="883" spans="12:20">
      <c r="L883" s="1179"/>
      <c r="M883" s="1183"/>
      <c r="N883" s="1183"/>
      <c r="O883" s="1183"/>
      <c r="P883" s="1201"/>
      <c r="Q883" s="1201"/>
      <c r="R883" s="1201"/>
      <c r="S883" s="1201"/>
      <c r="T883" s="1201"/>
    </row>
    <row r="884" spans="12:20">
      <c r="L884" s="1179"/>
      <c r="M884" s="1183"/>
      <c r="N884" s="1183"/>
      <c r="O884" s="1183"/>
      <c r="P884" s="1201"/>
      <c r="Q884" s="1201"/>
      <c r="R884" s="1201"/>
      <c r="S884" s="1201"/>
      <c r="T884" s="1201"/>
    </row>
    <row r="885" spans="12:20">
      <c r="L885" s="1179"/>
      <c r="M885" s="1183"/>
      <c r="N885" s="1183"/>
      <c r="O885" s="1183"/>
      <c r="P885" s="1201"/>
      <c r="Q885" s="1201"/>
      <c r="R885" s="1201"/>
      <c r="S885" s="1201"/>
      <c r="T885" s="1201"/>
    </row>
    <row r="886" spans="12:20">
      <c r="L886" s="1179"/>
      <c r="M886" s="1183"/>
      <c r="N886" s="1183"/>
      <c r="O886" s="1183"/>
      <c r="P886" s="1201"/>
      <c r="Q886" s="1201"/>
      <c r="R886" s="1201"/>
      <c r="S886" s="1201"/>
      <c r="T886" s="1201"/>
    </row>
    <row r="887" spans="12:20">
      <c r="L887" s="1179"/>
      <c r="M887" s="1183"/>
      <c r="N887" s="1183"/>
      <c r="O887" s="1183"/>
      <c r="P887" s="1201"/>
      <c r="Q887" s="1201"/>
      <c r="R887" s="1201"/>
      <c r="S887" s="1201"/>
      <c r="T887" s="1201"/>
    </row>
    <row r="888" spans="12:20">
      <c r="L888" s="1179"/>
      <c r="M888" s="1183"/>
      <c r="N888" s="1183"/>
      <c r="O888" s="1183"/>
      <c r="P888" s="1201"/>
      <c r="Q888" s="1201"/>
      <c r="R888" s="1201"/>
      <c r="S888" s="1201"/>
      <c r="T888" s="1201"/>
    </row>
    <row r="889" spans="12:20">
      <c r="L889" s="1179"/>
      <c r="M889" s="1183"/>
      <c r="N889" s="1183"/>
      <c r="O889" s="1183"/>
      <c r="P889" s="1201"/>
      <c r="Q889" s="1201"/>
      <c r="R889" s="1201"/>
      <c r="S889" s="1201"/>
      <c r="T889" s="1201"/>
    </row>
    <row r="890" spans="12:20">
      <c r="L890" s="1179"/>
      <c r="M890" s="1183"/>
      <c r="N890" s="1183"/>
      <c r="O890" s="1183"/>
      <c r="P890" s="1201"/>
      <c r="Q890" s="1201"/>
      <c r="R890" s="1201"/>
      <c r="S890" s="1201"/>
      <c r="T890" s="1201"/>
    </row>
    <row r="891" spans="12:20">
      <c r="L891" s="1179"/>
      <c r="M891" s="1183"/>
      <c r="N891" s="1183"/>
      <c r="O891" s="1183"/>
      <c r="P891" s="1201"/>
      <c r="Q891" s="1201"/>
      <c r="R891" s="1201"/>
      <c r="S891" s="1201"/>
      <c r="T891" s="1201"/>
    </row>
    <row r="892" spans="12:20">
      <c r="L892" s="1179"/>
      <c r="M892" s="1183"/>
      <c r="N892" s="1183"/>
      <c r="O892" s="1183"/>
      <c r="P892" s="1201"/>
      <c r="Q892" s="1201"/>
      <c r="R892" s="1201"/>
      <c r="S892" s="1201"/>
      <c r="T892" s="1201"/>
    </row>
    <row r="893" spans="12:20">
      <c r="L893" s="1179"/>
      <c r="M893" s="1183"/>
      <c r="N893" s="1183"/>
      <c r="O893" s="1183"/>
      <c r="P893" s="1201"/>
      <c r="Q893" s="1201"/>
      <c r="R893" s="1201"/>
      <c r="S893" s="1201"/>
      <c r="T893" s="1201"/>
    </row>
    <row r="894" spans="12:20">
      <c r="L894" s="1179"/>
      <c r="M894" s="1183"/>
      <c r="N894" s="1183"/>
      <c r="O894" s="1183"/>
      <c r="P894" s="1201"/>
      <c r="Q894" s="1201"/>
      <c r="R894" s="1201"/>
      <c r="S894" s="1201"/>
      <c r="T894" s="1201"/>
    </row>
    <row r="895" spans="12:20">
      <c r="L895" s="1179"/>
      <c r="M895" s="1183"/>
      <c r="N895" s="1183"/>
      <c r="O895" s="1183"/>
      <c r="P895" s="1201"/>
      <c r="Q895" s="1201"/>
      <c r="R895" s="1201"/>
      <c r="S895" s="1201"/>
      <c r="T895" s="1201"/>
    </row>
    <row r="896" spans="12:20">
      <c r="L896" s="1179"/>
      <c r="M896" s="1183"/>
      <c r="N896" s="1183"/>
      <c r="O896" s="1183"/>
      <c r="P896" s="1201"/>
      <c r="Q896" s="1201"/>
      <c r="R896" s="1201"/>
      <c r="S896" s="1201"/>
      <c r="T896" s="1201"/>
    </row>
    <row r="897" spans="12:20">
      <c r="L897" s="1179"/>
      <c r="M897" s="1183"/>
      <c r="N897" s="1183"/>
      <c r="O897" s="1183"/>
      <c r="P897" s="1201"/>
      <c r="Q897" s="1201"/>
      <c r="R897" s="1201"/>
      <c r="S897" s="1201"/>
      <c r="T897" s="1201"/>
    </row>
    <row r="898" spans="12:20">
      <c r="L898" s="1179"/>
      <c r="M898" s="1183"/>
      <c r="N898" s="1183"/>
      <c r="O898" s="1183"/>
      <c r="P898" s="1201"/>
      <c r="Q898" s="1201"/>
      <c r="R898" s="1201"/>
      <c r="S898" s="1201"/>
      <c r="T898" s="1201"/>
    </row>
    <row r="899" spans="12:20">
      <c r="L899" s="1179"/>
      <c r="M899" s="1183"/>
      <c r="N899" s="1183"/>
      <c r="O899" s="1183"/>
      <c r="P899" s="1201"/>
      <c r="Q899" s="1201"/>
      <c r="R899" s="1201"/>
      <c r="S899" s="1201"/>
      <c r="T899" s="1201"/>
    </row>
    <row r="900" spans="12:20">
      <c r="L900" s="1179"/>
      <c r="M900" s="1183"/>
      <c r="N900" s="1183"/>
      <c r="O900" s="1183"/>
      <c r="P900" s="1201"/>
      <c r="Q900" s="1201"/>
      <c r="R900" s="1201"/>
      <c r="S900" s="1201"/>
      <c r="T900" s="1201"/>
    </row>
    <row r="901" spans="12:20">
      <c r="L901" s="1179"/>
      <c r="M901" s="1183"/>
      <c r="N901" s="1183"/>
      <c r="O901" s="1183"/>
      <c r="P901" s="1201"/>
      <c r="Q901" s="1201"/>
      <c r="R901" s="1201"/>
      <c r="S901" s="1201"/>
      <c r="T901" s="1201"/>
    </row>
    <row r="902" spans="12:20">
      <c r="L902" s="1179"/>
      <c r="M902" s="1183"/>
      <c r="N902" s="1183"/>
      <c r="O902" s="1183"/>
      <c r="P902" s="1201"/>
      <c r="Q902" s="1201"/>
      <c r="R902" s="1201"/>
      <c r="S902" s="1201"/>
      <c r="T902" s="1201"/>
    </row>
    <row r="903" spans="12:20">
      <c r="L903" s="1179"/>
      <c r="M903" s="1183"/>
      <c r="N903" s="1183"/>
      <c r="O903" s="1183"/>
      <c r="P903" s="1201"/>
      <c r="Q903" s="1201"/>
      <c r="R903" s="1201"/>
      <c r="S903" s="1201"/>
      <c r="T903" s="1201"/>
    </row>
    <row r="904" spans="12:20">
      <c r="L904" s="1179"/>
      <c r="M904" s="1183"/>
      <c r="N904" s="1183"/>
      <c r="O904" s="1183"/>
      <c r="P904" s="1201"/>
      <c r="Q904" s="1201"/>
      <c r="R904" s="1201"/>
      <c r="S904" s="1201"/>
      <c r="T904" s="1201"/>
    </row>
    <row r="905" spans="12:20">
      <c r="L905" s="1179"/>
      <c r="M905" s="1183"/>
      <c r="N905" s="1183"/>
      <c r="O905" s="1183"/>
      <c r="P905" s="1201"/>
      <c r="Q905" s="1201"/>
      <c r="R905" s="1201"/>
      <c r="S905" s="1201"/>
      <c r="T905" s="1201"/>
    </row>
    <row r="906" spans="12:20">
      <c r="L906" s="1179"/>
      <c r="M906" s="1183"/>
      <c r="N906" s="1183"/>
      <c r="O906" s="1183"/>
      <c r="P906" s="1201"/>
      <c r="Q906" s="1201"/>
      <c r="R906" s="1201"/>
      <c r="S906" s="1201"/>
      <c r="T906" s="1201"/>
    </row>
    <row r="907" spans="12:20">
      <c r="L907" s="1179"/>
      <c r="M907" s="1183"/>
      <c r="N907" s="1183"/>
      <c r="O907" s="1183"/>
      <c r="P907" s="1201"/>
      <c r="Q907" s="1201"/>
      <c r="R907" s="1201"/>
      <c r="S907" s="1201"/>
      <c r="T907" s="1201"/>
    </row>
    <row r="908" spans="12:20">
      <c r="L908" s="1179"/>
      <c r="M908" s="1183"/>
      <c r="N908" s="1183"/>
      <c r="O908" s="1183"/>
      <c r="P908" s="1201"/>
      <c r="Q908" s="1201"/>
      <c r="R908" s="1201"/>
      <c r="S908" s="1201"/>
      <c r="T908" s="1201"/>
    </row>
    <row r="909" spans="12:20">
      <c r="L909" s="1179"/>
      <c r="M909" s="1183"/>
      <c r="N909" s="1183"/>
      <c r="O909" s="1183"/>
      <c r="P909" s="1201"/>
      <c r="Q909" s="1201"/>
      <c r="R909" s="1201"/>
      <c r="S909" s="1201"/>
      <c r="T909" s="1201"/>
    </row>
    <row r="910" spans="12:20">
      <c r="L910" s="1179"/>
      <c r="M910" s="1183"/>
      <c r="N910" s="1183"/>
      <c r="O910" s="1183"/>
      <c r="P910" s="1201"/>
      <c r="Q910" s="1201"/>
      <c r="R910" s="1201"/>
      <c r="S910" s="1201"/>
      <c r="T910" s="1201"/>
    </row>
    <row r="911" spans="12:20">
      <c r="L911" s="1179"/>
      <c r="M911" s="1183"/>
      <c r="N911" s="1183"/>
      <c r="O911" s="1183"/>
      <c r="P911" s="1201"/>
      <c r="Q911" s="1201"/>
      <c r="R911" s="1201"/>
      <c r="S911" s="1201"/>
      <c r="T911" s="1201"/>
    </row>
    <row r="912" spans="12:20">
      <c r="L912" s="1179"/>
      <c r="M912" s="1183"/>
      <c r="N912" s="1183"/>
      <c r="O912" s="1183"/>
      <c r="P912" s="1201"/>
      <c r="Q912" s="1201"/>
      <c r="R912" s="1201"/>
      <c r="S912" s="1201"/>
      <c r="T912" s="1201"/>
    </row>
    <row r="913" spans="12:20">
      <c r="L913" s="1179"/>
      <c r="M913" s="1183"/>
      <c r="N913" s="1183"/>
      <c r="O913" s="1183"/>
      <c r="P913" s="1201"/>
      <c r="Q913" s="1201"/>
      <c r="R913" s="1201"/>
      <c r="S913" s="1201"/>
      <c r="T913" s="1201"/>
    </row>
    <row r="914" spans="12:20">
      <c r="L914" s="1179"/>
      <c r="M914" s="1183"/>
      <c r="N914" s="1183"/>
      <c r="O914" s="1183"/>
      <c r="P914" s="1201"/>
      <c r="Q914" s="1201"/>
      <c r="R914" s="1201"/>
      <c r="S914" s="1201"/>
      <c r="T914" s="1201"/>
    </row>
    <row r="915" spans="12:20">
      <c r="L915" s="1179"/>
      <c r="M915" s="1183"/>
      <c r="N915" s="1183"/>
      <c r="O915" s="1183"/>
      <c r="P915" s="1201"/>
      <c r="Q915" s="1201"/>
      <c r="R915" s="1201"/>
      <c r="S915" s="1201"/>
      <c r="T915" s="1201"/>
    </row>
    <row r="916" spans="12:20">
      <c r="L916" s="1179"/>
      <c r="M916" s="1183"/>
      <c r="N916" s="1183"/>
      <c r="O916" s="1183"/>
      <c r="P916" s="1201"/>
      <c r="Q916" s="1201"/>
      <c r="R916" s="1201"/>
      <c r="S916" s="1201"/>
      <c r="T916" s="1201"/>
    </row>
    <row r="917" spans="12:20">
      <c r="L917" s="1179"/>
      <c r="M917" s="1183"/>
      <c r="N917" s="1183"/>
      <c r="O917" s="1183"/>
      <c r="P917" s="1201"/>
      <c r="Q917" s="1201"/>
      <c r="R917" s="1201"/>
      <c r="S917" s="1201"/>
      <c r="T917" s="1201"/>
    </row>
    <row r="918" spans="12:20">
      <c r="L918" s="1179"/>
      <c r="M918" s="1183"/>
      <c r="N918" s="1183"/>
      <c r="O918" s="1183"/>
      <c r="P918" s="1201"/>
      <c r="Q918" s="1201"/>
      <c r="R918" s="1201"/>
      <c r="S918" s="1201"/>
      <c r="T918" s="1201"/>
    </row>
    <row r="919" spans="12:20">
      <c r="L919" s="1179"/>
      <c r="M919" s="1183"/>
      <c r="N919" s="1183"/>
      <c r="O919" s="1183"/>
      <c r="P919" s="1201"/>
      <c r="Q919" s="1201"/>
      <c r="R919" s="1201"/>
      <c r="S919" s="1201"/>
      <c r="T919" s="1201"/>
    </row>
    <row r="920" spans="12:20">
      <c r="L920" s="1179"/>
      <c r="M920" s="1183"/>
      <c r="N920" s="1183"/>
      <c r="O920" s="1183"/>
      <c r="P920" s="1201"/>
      <c r="Q920" s="1201"/>
      <c r="R920" s="1201"/>
      <c r="S920" s="1201"/>
      <c r="T920" s="1201"/>
    </row>
    <row r="921" spans="12:20">
      <c r="L921" s="1179"/>
      <c r="M921" s="1183"/>
      <c r="N921" s="1183"/>
      <c r="O921" s="1183"/>
      <c r="P921" s="1201"/>
      <c r="Q921" s="1201"/>
      <c r="R921" s="1201"/>
      <c r="S921" s="1201"/>
      <c r="T921" s="1201"/>
    </row>
    <row r="922" spans="12:20">
      <c r="L922" s="1179"/>
      <c r="M922" s="1183"/>
      <c r="N922" s="1183"/>
      <c r="O922" s="1183"/>
      <c r="P922" s="1201"/>
      <c r="Q922" s="1201"/>
      <c r="R922" s="1201"/>
      <c r="S922" s="1201"/>
      <c r="T922" s="1201"/>
    </row>
    <row r="923" spans="12:20">
      <c r="L923" s="1179"/>
      <c r="M923" s="1183"/>
      <c r="N923" s="1183"/>
      <c r="O923" s="1183"/>
      <c r="P923" s="1201"/>
      <c r="Q923" s="1201"/>
      <c r="R923" s="1201"/>
      <c r="S923" s="1201"/>
      <c r="T923" s="1201"/>
    </row>
    <row r="924" spans="12:20">
      <c r="L924" s="1179"/>
      <c r="M924" s="1183"/>
      <c r="N924" s="1183"/>
      <c r="O924" s="1183"/>
      <c r="P924" s="1201"/>
      <c r="Q924" s="1201"/>
      <c r="R924" s="1201"/>
      <c r="S924" s="1201"/>
      <c r="T924" s="1201"/>
    </row>
    <row r="925" spans="12:20">
      <c r="L925" s="1179"/>
      <c r="M925" s="1183"/>
      <c r="N925" s="1183"/>
      <c r="O925" s="1183"/>
      <c r="P925" s="1201"/>
      <c r="Q925" s="1201"/>
      <c r="R925" s="1201"/>
      <c r="S925" s="1201"/>
      <c r="T925" s="1201"/>
    </row>
    <row r="926" spans="12:20">
      <c r="L926" s="1179"/>
      <c r="M926" s="1183"/>
      <c r="N926" s="1183"/>
      <c r="O926" s="1183"/>
      <c r="P926" s="1201"/>
      <c r="Q926" s="1201"/>
      <c r="R926" s="1201"/>
      <c r="S926" s="1201"/>
      <c r="T926" s="1201"/>
    </row>
    <row r="927" spans="12:20">
      <c r="L927" s="1179"/>
      <c r="M927" s="1183"/>
      <c r="N927" s="1183"/>
      <c r="O927" s="1183"/>
      <c r="P927" s="1201"/>
      <c r="Q927" s="1201"/>
      <c r="R927" s="1201"/>
      <c r="S927" s="1201"/>
      <c r="T927" s="1201"/>
    </row>
    <row r="928" spans="12:20">
      <c r="L928" s="1179"/>
      <c r="M928" s="1183"/>
      <c r="N928" s="1183"/>
      <c r="O928" s="1183"/>
      <c r="P928" s="1201"/>
      <c r="Q928" s="1201"/>
      <c r="R928" s="1201"/>
      <c r="S928" s="1201"/>
      <c r="T928" s="1201"/>
    </row>
    <row r="929" spans="12:20">
      <c r="L929" s="1179"/>
      <c r="M929" s="1183"/>
      <c r="N929" s="1183"/>
      <c r="O929" s="1183"/>
      <c r="P929" s="1201"/>
      <c r="Q929" s="1201"/>
      <c r="R929" s="1201"/>
      <c r="S929" s="1201"/>
      <c r="T929" s="1201"/>
    </row>
    <row r="930" spans="12:20">
      <c r="L930" s="1179"/>
      <c r="M930" s="1183"/>
      <c r="N930" s="1183"/>
      <c r="O930" s="1183"/>
      <c r="P930" s="1201"/>
      <c r="Q930" s="1201"/>
      <c r="R930" s="1201"/>
      <c r="S930" s="1201"/>
      <c r="T930" s="1201"/>
    </row>
    <row r="931" spans="12:20">
      <c r="L931" s="1179"/>
      <c r="M931" s="1183"/>
      <c r="N931" s="1183"/>
      <c r="O931" s="1183"/>
      <c r="P931" s="1201"/>
      <c r="Q931" s="1201"/>
      <c r="R931" s="1201"/>
      <c r="S931" s="1201"/>
      <c r="T931" s="1201"/>
    </row>
    <row r="932" spans="12:20">
      <c r="L932" s="1179"/>
      <c r="M932" s="1183"/>
      <c r="N932" s="1183"/>
      <c r="O932" s="1183"/>
      <c r="P932" s="1201"/>
      <c r="Q932" s="1201"/>
      <c r="R932" s="1201"/>
      <c r="S932" s="1201"/>
      <c r="T932" s="1201"/>
    </row>
    <row r="933" spans="12:20">
      <c r="L933" s="1179"/>
      <c r="M933" s="1183"/>
      <c r="N933" s="1183"/>
      <c r="O933" s="1183"/>
      <c r="P933" s="1201"/>
      <c r="Q933" s="1201"/>
      <c r="R933" s="1201"/>
      <c r="S933" s="1201"/>
      <c r="T933" s="1201"/>
    </row>
    <row r="934" spans="12:20">
      <c r="L934" s="1179"/>
      <c r="M934" s="1183"/>
      <c r="N934" s="1183"/>
      <c r="O934" s="1183"/>
      <c r="P934" s="1201"/>
      <c r="Q934" s="1201"/>
      <c r="R934" s="1201"/>
      <c r="S934" s="1201"/>
      <c r="T934" s="1201"/>
    </row>
    <row r="935" spans="12:20">
      <c r="L935" s="1179"/>
      <c r="M935" s="1183"/>
      <c r="N935" s="1183"/>
      <c r="O935" s="1183"/>
      <c r="P935" s="1201"/>
      <c r="Q935" s="1201"/>
      <c r="R935" s="1201"/>
      <c r="S935" s="1201"/>
      <c r="T935" s="1201"/>
    </row>
    <row r="936" spans="12:20">
      <c r="L936" s="1179"/>
      <c r="M936" s="1183"/>
      <c r="N936" s="1183"/>
      <c r="O936" s="1183"/>
      <c r="P936" s="1201"/>
      <c r="Q936" s="1201"/>
      <c r="R936" s="1201"/>
      <c r="S936" s="1201"/>
      <c r="T936" s="1201"/>
    </row>
    <row r="937" spans="12:20">
      <c r="L937" s="1179"/>
      <c r="M937" s="1183"/>
      <c r="N937" s="1183"/>
      <c r="O937" s="1183"/>
      <c r="P937" s="1201"/>
      <c r="Q937" s="1201"/>
      <c r="R937" s="1201"/>
      <c r="S937" s="1201"/>
      <c r="T937" s="1201"/>
    </row>
    <row r="938" spans="12:20">
      <c r="L938" s="1179"/>
      <c r="M938" s="1183"/>
      <c r="N938" s="1183"/>
      <c r="O938" s="1183"/>
      <c r="P938" s="1201"/>
      <c r="Q938" s="1201"/>
      <c r="R938" s="1201"/>
      <c r="S938" s="1201"/>
      <c r="T938" s="1201"/>
    </row>
    <row r="939" spans="12:20">
      <c r="L939" s="1179"/>
      <c r="M939" s="1183"/>
      <c r="N939" s="1183"/>
      <c r="O939" s="1183"/>
      <c r="P939" s="1201"/>
      <c r="Q939" s="1201"/>
      <c r="R939" s="1201"/>
      <c r="S939" s="1201"/>
      <c r="T939" s="1201"/>
    </row>
    <row r="940" spans="12:20">
      <c r="L940" s="1179"/>
      <c r="M940" s="1183"/>
      <c r="N940" s="1183"/>
      <c r="O940" s="1183"/>
      <c r="P940" s="1201"/>
      <c r="Q940" s="1201"/>
      <c r="R940" s="1201"/>
      <c r="S940" s="1201"/>
      <c r="T940" s="1201"/>
    </row>
    <row r="941" spans="12:20">
      <c r="L941" s="1179"/>
      <c r="M941" s="1183"/>
      <c r="N941" s="1183"/>
      <c r="O941" s="1183"/>
      <c r="P941" s="1201"/>
      <c r="Q941" s="1201"/>
      <c r="R941" s="1201"/>
      <c r="S941" s="1201"/>
      <c r="T941" s="1201"/>
    </row>
    <row r="942" spans="12:20">
      <c r="L942" s="1179"/>
      <c r="M942" s="1183"/>
      <c r="N942" s="1183"/>
      <c r="O942" s="1183"/>
      <c r="P942" s="1201"/>
      <c r="Q942" s="1201"/>
      <c r="R942" s="1201"/>
      <c r="S942" s="1201"/>
      <c r="T942" s="1201"/>
    </row>
    <row r="943" spans="12:20">
      <c r="L943" s="1179"/>
      <c r="M943" s="1183"/>
      <c r="N943" s="1183"/>
      <c r="O943" s="1183"/>
      <c r="P943" s="1201"/>
      <c r="Q943" s="1201"/>
      <c r="R943" s="1201"/>
      <c r="S943" s="1201"/>
      <c r="T943" s="1201"/>
    </row>
    <row r="944" spans="12:20">
      <c r="L944" s="1179"/>
      <c r="M944" s="1183"/>
      <c r="N944" s="1183"/>
      <c r="O944" s="1183"/>
      <c r="P944" s="1201"/>
      <c r="Q944" s="1201"/>
      <c r="R944" s="1201"/>
      <c r="S944" s="1201"/>
      <c r="T944" s="1201"/>
    </row>
    <row r="945" spans="12:20">
      <c r="L945" s="1179"/>
      <c r="M945" s="1183"/>
      <c r="N945" s="1183"/>
      <c r="O945" s="1183"/>
      <c r="P945" s="1201"/>
      <c r="Q945" s="1201"/>
      <c r="R945" s="1201"/>
      <c r="S945" s="1201"/>
      <c r="T945" s="1201"/>
    </row>
    <row r="946" spans="12:20">
      <c r="L946" s="1179"/>
      <c r="M946" s="1183"/>
      <c r="N946" s="1183"/>
      <c r="O946" s="1183"/>
      <c r="P946" s="1201"/>
      <c r="Q946" s="1201"/>
      <c r="R946" s="1201"/>
      <c r="S946" s="1201"/>
      <c r="T946" s="1201"/>
    </row>
    <row r="947" spans="12:20">
      <c r="L947" s="1179"/>
      <c r="M947" s="1183"/>
      <c r="N947" s="1183"/>
      <c r="O947" s="1183"/>
      <c r="P947" s="1201"/>
      <c r="Q947" s="1201"/>
      <c r="R947" s="1201"/>
      <c r="S947" s="1201"/>
      <c r="T947" s="1201"/>
    </row>
    <row r="948" spans="12:20">
      <c r="L948" s="1179"/>
      <c r="M948" s="1183"/>
      <c r="N948" s="1183"/>
      <c r="O948" s="1183"/>
      <c r="P948" s="1201"/>
      <c r="Q948" s="1201"/>
      <c r="R948" s="1201"/>
      <c r="S948" s="1201"/>
      <c r="T948" s="1201"/>
    </row>
    <row r="949" spans="12:20">
      <c r="L949" s="1179"/>
      <c r="M949" s="1183"/>
      <c r="N949" s="1183"/>
      <c r="O949" s="1183"/>
      <c r="P949" s="1201"/>
      <c r="Q949" s="1201"/>
      <c r="R949" s="1201"/>
      <c r="S949" s="1201"/>
      <c r="T949" s="1201"/>
    </row>
    <row r="950" spans="12:20">
      <c r="L950" s="1179"/>
      <c r="M950" s="1183"/>
      <c r="N950" s="1183"/>
      <c r="O950" s="1183"/>
      <c r="P950" s="1201"/>
      <c r="Q950" s="1201"/>
      <c r="R950" s="1201"/>
      <c r="S950" s="1201"/>
      <c r="T950" s="1201"/>
    </row>
    <row r="951" spans="12:20">
      <c r="L951" s="1179"/>
      <c r="M951" s="1183"/>
      <c r="N951" s="1183"/>
      <c r="O951" s="1183"/>
      <c r="P951" s="1201"/>
      <c r="Q951" s="1201"/>
      <c r="R951" s="1201"/>
      <c r="S951" s="1201"/>
      <c r="T951" s="1201"/>
    </row>
    <row r="952" spans="12:20">
      <c r="L952" s="1179"/>
      <c r="M952" s="1183"/>
      <c r="N952" s="1183"/>
      <c r="O952" s="1183"/>
      <c r="P952" s="1201"/>
      <c r="Q952" s="1201"/>
      <c r="R952" s="1201"/>
      <c r="S952" s="1201"/>
      <c r="T952" s="1201"/>
    </row>
    <row r="953" spans="12:20">
      <c r="L953" s="1179"/>
      <c r="M953" s="1183"/>
      <c r="N953" s="1183"/>
      <c r="O953" s="1183"/>
      <c r="P953" s="1201"/>
      <c r="Q953" s="1201"/>
      <c r="R953" s="1201"/>
      <c r="S953" s="1201"/>
      <c r="T953" s="1201"/>
    </row>
    <row r="954" spans="12:20">
      <c r="L954" s="1179"/>
      <c r="M954" s="1183"/>
      <c r="N954" s="1183"/>
      <c r="O954" s="1183"/>
      <c r="P954" s="1201"/>
      <c r="Q954" s="1201"/>
      <c r="R954" s="1201"/>
      <c r="S954" s="1201"/>
      <c r="T954" s="1201"/>
    </row>
    <row r="955" spans="12:20">
      <c r="L955" s="1179"/>
      <c r="M955" s="1183"/>
      <c r="N955" s="1183"/>
      <c r="O955" s="1183"/>
      <c r="P955" s="1201"/>
      <c r="Q955" s="1201"/>
      <c r="R955" s="1201"/>
      <c r="S955" s="1201"/>
      <c r="T955" s="1201"/>
    </row>
    <row r="956" spans="12:20">
      <c r="L956" s="1179"/>
      <c r="M956" s="1183"/>
      <c r="N956" s="1183"/>
      <c r="O956" s="1183"/>
      <c r="P956" s="1201"/>
      <c r="Q956" s="1201"/>
      <c r="R956" s="1201"/>
      <c r="S956" s="1201"/>
      <c r="T956" s="1201"/>
    </row>
    <row r="957" spans="12:20">
      <c r="L957" s="1179"/>
      <c r="M957" s="1183"/>
      <c r="N957" s="1183"/>
      <c r="O957" s="1183"/>
      <c r="P957" s="1201"/>
      <c r="Q957" s="1201"/>
      <c r="R957" s="1201"/>
      <c r="S957" s="1201"/>
      <c r="T957" s="1201"/>
    </row>
    <row r="958" spans="12:20">
      <c r="L958" s="1179"/>
      <c r="M958" s="1183"/>
      <c r="N958" s="1183"/>
      <c r="O958" s="1183"/>
      <c r="P958" s="1201"/>
      <c r="Q958" s="1201"/>
      <c r="R958" s="1201"/>
      <c r="S958" s="1201"/>
      <c r="T958" s="1201"/>
    </row>
    <row r="959" spans="12:20">
      <c r="L959" s="1179"/>
      <c r="M959" s="1183"/>
      <c r="N959" s="1183"/>
      <c r="O959" s="1183"/>
      <c r="P959" s="1201"/>
      <c r="Q959" s="1201"/>
      <c r="R959" s="1201"/>
      <c r="S959" s="1201"/>
      <c r="T959" s="1201"/>
    </row>
    <row r="960" spans="12:20">
      <c r="L960" s="1179"/>
      <c r="M960" s="1183"/>
      <c r="N960" s="1183"/>
      <c r="O960" s="1183"/>
      <c r="P960" s="1201"/>
      <c r="Q960" s="1201"/>
      <c r="R960" s="1201"/>
      <c r="S960" s="1201"/>
      <c r="T960" s="1201"/>
    </row>
    <row r="961" spans="12:20">
      <c r="L961" s="1179"/>
      <c r="M961" s="1183"/>
      <c r="N961" s="1183"/>
      <c r="O961" s="1183"/>
      <c r="P961" s="1201"/>
      <c r="Q961" s="1201"/>
      <c r="R961" s="1201"/>
      <c r="S961" s="1201"/>
      <c r="T961" s="1201"/>
    </row>
    <row r="962" spans="12:20">
      <c r="L962" s="1179"/>
      <c r="M962" s="1183"/>
      <c r="N962" s="1183"/>
      <c r="O962" s="1183"/>
      <c r="P962" s="1201"/>
      <c r="Q962" s="1201"/>
      <c r="R962" s="1201"/>
      <c r="S962" s="1201"/>
      <c r="T962" s="1201"/>
    </row>
    <row r="963" spans="12:20">
      <c r="L963" s="1179"/>
      <c r="M963" s="1183"/>
      <c r="N963" s="1183"/>
      <c r="O963" s="1183"/>
      <c r="P963" s="1201"/>
      <c r="Q963" s="1201"/>
      <c r="R963" s="1201"/>
      <c r="S963" s="1201"/>
      <c r="T963" s="1201"/>
    </row>
    <row r="964" spans="12:20">
      <c r="L964" s="1179"/>
      <c r="M964" s="1183"/>
      <c r="N964" s="1183"/>
      <c r="O964" s="1183"/>
      <c r="P964" s="1201"/>
      <c r="Q964" s="1201"/>
      <c r="R964" s="1201"/>
      <c r="S964" s="1201"/>
      <c r="T964" s="1201"/>
    </row>
    <row r="965" spans="12:20">
      <c r="L965" s="1179"/>
      <c r="M965" s="1183"/>
      <c r="N965" s="1183"/>
      <c r="O965" s="1183"/>
      <c r="P965" s="1201"/>
      <c r="Q965" s="1201"/>
      <c r="R965" s="1201"/>
      <c r="S965" s="1201"/>
      <c r="T965" s="1201"/>
    </row>
    <row r="966" spans="12:20">
      <c r="L966" s="1179"/>
      <c r="M966" s="1183"/>
      <c r="N966" s="1183"/>
      <c r="O966" s="1183"/>
      <c r="P966" s="1201"/>
      <c r="Q966" s="1201"/>
      <c r="R966" s="1201"/>
      <c r="S966" s="1201"/>
      <c r="T966" s="1201"/>
    </row>
    <row r="967" spans="12:20">
      <c r="L967" s="1179"/>
      <c r="M967" s="1183"/>
      <c r="N967" s="1183"/>
      <c r="O967" s="1183"/>
      <c r="P967" s="1201"/>
      <c r="Q967" s="1201"/>
      <c r="R967" s="1201"/>
      <c r="S967" s="1201"/>
      <c r="T967" s="1201"/>
    </row>
    <row r="968" spans="12:20">
      <c r="L968" s="1179"/>
      <c r="M968" s="1183"/>
      <c r="N968" s="1183"/>
      <c r="O968" s="1183"/>
      <c r="P968" s="1201"/>
      <c r="Q968" s="1201"/>
      <c r="R968" s="1201"/>
      <c r="S968" s="1201"/>
      <c r="T968" s="1201"/>
    </row>
    <row r="969" spans="12:20">
      <c r="L969" s="1179"/>
      <c r="M969" s="1183"/>
      <c r="N969" s="1183"/>
      <c r="O969" s="1183"/>
      <c r="P969" s="1201"/>
      <c r="Q969" s="1201"/>
      <c r="R969" s="1201"/>
      <c r="S969" s="1201"/>
      <c r="T969" s="1201"/>
    </row>
    <row r="970" spans="12:20">
      <c r="L970" s="1179"/>
      <c r="M970" s="1183"/>
      <c r="N970" s="1183"/>
      <c r="O970" s="1183"/>
      <c r="P970" s="1201"/>
      <c r="Q970" s="1201"/>
      <c r="R970" s="1201"/>
      <c r="S970" s="1201"/>
      <c r="T970" s="1201"/>
    </row>
    <row r="971" spans="12:20">
      <c r="L971" s="1179"/>
      <c r="M971" s="1183"/>
      <c r="N971" s="1183"/>
      <c r="O971" s="1183"/>
      <c r="P971" s="1201"/>
      <c r="Q971" s="1201"/>
      <c r="R971" s="1201"/>
      <c r="S971" s="1201"/>
      <c r="T971" s="1201"/>
    </row>
    <row r="972" spans="12:20">
      <c r="L972" s="1179"/>
      <c r="M972" s="1183"/>
      <c r="N972" s="1183"/>
      <c r="O972" s="1183"/>
      <c r="P972" s="1201"/>
      <c r="Q972" s="1201"/>
      <c r="R972" s="1201"/>
      <c r="S972" s="1201"/>
      <c r="T972" s="1201"/>
    </row>
    <row r="973" spans="12:20">
      <c r="L973" s="1179"/>
      <c r="M973" s="1183"/>
      <c r="N973" s="1183"/>
      <c r="O973" s="1183"/>
      <c r="P973" s="1201"/>
      <c r="Q973" s="1201"/>
      <c r="R973" s="1201"/>
      <c r="S973" s="1201"/>
      <c r="T973" s="1201"/>
    </row>
    <row r="974" spans="12:20">
      <c r="L974" s="1179"/>
      <c r="M974" s="1183"/>
      <c r="N974" s="1183"/>
      <c r="O974" s="1183"/>
      <c r="P974" s="1201"/>
      <c r="Q974" s="1201"/>
      <c r="R974" s="1201"/>
      <c r="S974" s="1201"/>
      <c r="T974" s="1201"/>
    </row>
    <row r="975" spans="12:20">
      <c r="L975" s="1179"/>
      <c r="M975" s="1183"/>
      <c r="N975" s="1183"/>
      <c r="O975" s="1183"/>
      <c r="P975" s="1201"/>
      <c r="Q975" s="1201"/>
      <c r="R975" s="1201"/>
      <c r="S975" s="1201"/>
      <c r="T975" s="1201"/>
    </row>
    <row r="976" spans="12:20">
      <c r="L976" s="1179"/>
      <c r="M976" s="1183"/>
      <c r="N976" s="1183"/>
      <c r="O976" s="1183"/>
      <c r="P976" s="1201"/>
      <c r="Q976" s="1201"/>
      <c r="R976" s="1201"/>
      <c r="S976" s="1201"/>
      <c r="T976" s="1201"/>
    </row>
    <row r="977" spans="12:20">
      <c r="L977" s="1179"/>
      <c r="M977" s="1183"/>
      <c r="N977" s="1183"/>
      <c r="O977" s="1183"/>
      <c r="P977" s="1201"/>
      <c r="Q977" s="1201"/>
      <c r="R977" s="1201"/>
      <c r="S977" s="1201"/>
      <c r="T977" s="1201"/>
    </row>
    <row r="978" spans="12:20">
      <c r="L978" s="1179"/>
      <c r="M978" s="1183"/>
      <c r="N978" s="1183"/>
      <c r="O978" s="1183"/>
      <c r="P978" s="1201"/>
      <c r="Q978" s="1201"/>
      <c r="R978" s="1201"/>
      <c r="S978" s="1201"/>
      <c r="T978" s="1201"/>
    </row>
    <row r="979" spans="12:20">
      <c r="L979" s="1179"/>
      <c r="M979" s="1183"/>
      <c r="N979" s="1183"/>
      <c r="O979" s="1183"/>
      <c r="P979" s="1201"/>
      <c r="Q979" s="1201"/>
      <c r="R979" s="1201"/>
      <c r="S979" s="1201"/>
      <c r="T979" s="1201"/>
    </row>
    <row r="980" spans="12:20">
      <c r="L980" s="1179"/>
      <c r="M980" s="1183"/>
      <c r="N980" s="1183"/>
      <c r="O980" s="1183"/>
      <c r="P980" s="1201"/>
      <c r="Q980" s="1201"/>
      <c r="R980" s="1201"/>
      <c r="S980" s="1201"/>
      <c r="T980" s="1201"/>
    </row>
    <row r="981" spans="12:20">
      <c r="L981" s="1179"/>
      <c r="M981" s="1183"/>
      <c r="N981" s="1183"/>
      <c r="O981" s="1183"/>
      <c r="P981" s="1201"/>
      <c r="Q981" s="1201"/>
      <c r="R981" s="1201"/>
      <c r="S981" s="1201"/>
      <c r="T981" s="1201"/>
    </row>
    <row r="982" spans="12:20">
      <c r="L982" s="1179"/>
      <c r="M982" s="1183"/>
      <c r="N982" s="1183"/>
      <c r="O982" s="1183"/>
      <c r="P982" s="1201"/>
      <c r="Q982" s="1201"/>
      <c r="R982" s="1201"/>
      <c r="S982" s="1201"/>
      <c r="T982" s="1201"/>
    </row>
    <row r="983" spans="12:20">
      <c r="L983" s="1179"/>
      <c r="M983" s="1183"/>
      <c r="N983" s="1183"/>
      <c r="O983" s="1183"/>
      <c r="P983" s="1201"/>
      <c r="Q983" s="1201"/>
      <c r="R983" s="1201"/>
      <c r="S983" s="1201"/>
      <c r="T983" s="1201"/>
    </row>
    <row r="984" spans="12:20">
      <c r="L984" s="1179"/>
      <c r="M984" s="1183"/>
      <c r="N984" s="1183"/>
      <c r="O984" s="1183"/>
      <c r="P984" s="1201"/>
      <c r="Q984" s="1201"/>
      <c r="R984" s="1201"/>
      <c r="S984" s="1201"/>
      <c r="T984" s="1201"/>
    </row>
    <row r="985" spans="12:20">
      <c r="L985" s="1179"/>
      <c r="M985" s="1183"/>
      <c r="N985" s="1183"/>
      <c r="O985" s="1183"/>
      <c r="P985" s="1201"/>
      <c r="Q985" s="1201"/>
      <c r="R985" s="1201"/>
      <c r="S985" s="1201"/>
      <c r="T985" s="1201"/>
    </row>
    <row r="986" spans="12:20">
      <c r="L986" s="1179"/>
      <c r="M986" s="1183"/>
      <c r="N986" s="1183"/>
      <c r="O986" s="1183"/>
      <c r="P986" s="1201"/>
      <c r="Q986" s="1201"/>
      <c r="R986" s="1201"/>
      <c r="S986" s="1201"/>
      <c r="T986" s="1201"/>
    </row>
    <row r="987" spans="12:20">
      <c r="L987" s="1179"/>
      <c r="M987" s="1183"/>
      <c r="N987" s="1183"/>
      <c r="O987" s="1183"/>
      <c r="P987" s="1201"/>
      <c r="Q987" s="1201"/>
      <c r="R987" s="1201"/>
      <c r="S987" s="1201"/>
      <c r="T987" s="1201"/>
    </row>
    <row r="988" spans="12:20">
      <c r="L988" s="1179"/>
      <c r="M988" s="1183"/>
      <c r="N988" s="1183"/>
      <c r="O988" s="1183"/>
      <c r="P988" s="1201"/>
      <c r="Q988" s="1201"/>
      <c r="R988" s="1201"/>
      <c r="S988" s="1201"/>
      <c r="T988" s="1201"/>
    </row>
    <row r="989" spans="12:20">
      <c r="L989" s="1179"/>
      <c r="M989" s="1183"/>
      <c r="N989" s="1183"/>
      <c r="O989" s="1183"/>
      <c r="P989" s="1201"/>
      <c r="Q989" s="1201"/>
      <c r="R989" s="1201"/>
      <c r="S989" s="1201"/>
      <c r="T989" s="1201"/>
    </row>
    <row r="990" spans="12:20">
      <c r="L990" s="1179"/>
      <c r="M990" s="1183"/>
      <c r="N990" s="1183"/>
      <c r="O990" s="1183"/>
      <c r="P990" s="1201"/>
      <c r="Q990" s="1201"/>
      <c r="R990" s="1201"/>
      <c r="S990" s="1201"/>
      <c r="T990" s="1201"/>
    </row>
    <row r="991" spans="12:20">
      <c r="L991" s="1179"/>
      <c r="M991" s="1183"/>
      <c r="N991" s="1183"/>
      <c r="O991" s="1183"/>
      <c r="P991" s="1201"/>
      <c r="Q991" s="1201"/>
      <c r="R991" s="1201"/>
      <c r="S991" s="1201"/>
      <c r="T991" s="1201"/>
    </row>
    <row r="992" spans="12:20">
      <c r="L992" s="1179"/>
      <c r="M992" s="1183"/>
      <c r="N992" s="1183"/>
      <c r="O992" s="1183"/>
      <c r="P992" s="1201"/>
      <c r="Q992" s="1201"/>
      <c r="R992" s="1201"/>
      <c r="S992" s="1201"/>
      <c r="T992" s="1201"/>
    </row>
    <row r="993" spans="12:20">
      <c r="L993" s="1179"/>
      <c r="M993" s="1183"/>
      <c r="N993" s="1183"/>
      <c r="O993" s="1183"/>
      <c r="P993" s="1201"/>
      <c r="Q993" s="1201"/>
      <c r="R993" s="1201"/>
      <c r="S993" s="1201"/>
      <c r="T993" s="1201"/>
    </row>
    <row r="994" spans="12:20">
      <c r="L994" s="1179"/>
      <c r="M994" s="1183"/>
      <c r="N994" s="1183"/>
      <c r="O994" s="1183"/>
      <c r="P994" s="1201"/>
      <c r="Q994" s="1201"/>
      <c r="R994" s="1201"/>
      <c r="S994" s="1201"/>
      <c r="T994" s="1201"/>
    </row>
    <row r="995" spans="12:20">
      <c r="L995" s="1179"/>
      <c r="M995" s="1183"/>
      <c r="N995" s="1183"/>
      <c r="O995" s="1183"/>
      <c r="P995" s="1201"/>
      <c r="Q995" s="1201"/>
      <c r="R995" s="1201"/>
      <c r="S995" s="1201"/>
      <c r="T995" s="1201"/>
    </row>
    <row r="996" spans="12:20">
      <c r="L996" s="1179"/>
      <c r="M996" s="1183"/>
      <c r="N996" s="1183"/>
      <c r="O996" s="1183"/>
      <c r="P996" s="1201"/>
      <c r="Q996" s="1201"/>
      <c r="R996" s="1201"/>
      <c r="S996" s="1201"/>
      <c r="T996" s="1201"/>
    </row>
    <row r="997" spans="12:20">
      <c r="L997" s="1179"/>
      <c r="M997" s="1183"/>
      <c r="N997" s="1183"/>
      <c r="O997" s="1183"/>
      <c r="P997" s="1201"/>
      <c r="Q997" s="1201"/>
      <c r="R997" s="1201"/>
      <c r="S997" s="1201"/>
      <c r="T997" s="1201"/>
    </row>
    <row r="998" spans="12:20">
      <c r="L998" s="1179"/>
      <c r="M998" s="1183"/>
      <c r="N998" s="1183"/>
      <c r="O998" s="1183"/>
      <c r="P998" s="1201"/>
      <c r="Q998" s="1201"/>
      <c r="R998" s="1201"/>
      <c r="S998" s="1201"/>
      <c r="T998" s="1201"/>
    </row>
    <row r="999" spans="12:20">
      <c r="L999" s="1179"/>
      <c r="M999" s="1183"/>
      <c r="N999" s="1183"/>
      <c r="O999" s="1183"/>
      <c r="P999" s="1201"/>
      <c r="Q999" s="1201"/>
      <c r="R999" s="1201"/>
      <c r="S999" s="1201"/>
      <c r="T999" s="1201"/>
    </row>
    <row r="1000" spans="12:20">
      <c r="L1000" s="1179"/>
      <c r="M1000" s="1183"/>
      <c r="N1000" s="1183"/>
      <c r="O1000" s="1183"/>
      <c r="P1000" s="1201"/>
      <c r="Q1000" s="1201"/>
      <c r="R1000" s="1201"/>
      <c r="S1000" s="1201"/>
      <c r="T1000" s="1201"/>
    </row>
    <row r="1001" spans="12:20">
      <c r="L1001" s="1179"/>
      <c r="M1001" s="1183"/>
      <c r="N1001" s="1183"/>
      <c r="O1001" s="1183"/>
      <c r="P1001" s="1201"/>
      <c r="Q1001" s="1201"/>
      <c r="R1001" s="1201"/>
      <c r="S1001" s="1201"/>
      <c r="T1001" s="1201"/>
    </row>
    <row r="1002" spans="12:20">
      <c r="L1002" s="1179"/>
      <c r="M1002" s="1183"/>
      <c r="N1002" s="1183"/>
      <c r="O1002" s="1183"/>
      <c r="P1002" s="1201"/>
      <c r="Q1002" s="1201"/>
      <c r="R1002" s="1201"/>
      <c r="S1002" s="1201"/>
      <c r="T1002" s="1201"/>
    </row>
    <row r="1003" spans="12:20">
      <c r="L1003" s="1179"/>
      <c r="M1003" s="1183"/>
      <c r="N1003" s="1183"/>
      <c r="O1003" s="1183"/>
      <c r="P1003" s="1201"/>
      <c r="Q1003" s="1201"/>
      <c r="R1003" s="1201"/>
      <c r="S1003" s="1201"/>
      <c r="T1003" s="1201"/>
    </row>
    <row r="1004" spans="12:20">
      <c r="L1004" s="1179"/>
      <c r="M1004" s="1183"/>
      <c r="N1004" s="1183"/>
      <c r="O1004" s="1183"/>
      <c r="P1004" s="1201"/>
      <c r="Q1004" s="1201"/>
      <c r="R1004" s="1201"/>
      <c r="S1004" s="1201"/>
      <c r="T1004" s="1201"/>
    </row>
    <row r="1005" spans="12:20">
      <c r="L1005" s="1179"/>
      <c r="M1005" s="1183"/>
      <c r="N1005" s="1183"/>
      <c r="O1005" s="1183"/>
      <c r="P1005" s="1201"/>
      <c r="Q1005" s="1201"/>
      <c r="R1005" s="1201"/>
      <c r="S1005" s="1201"/>
      <c r="T1005" s="1201"/>
    </row>
    <row r="1006" spans="12:20">
      <c r="L1006" s="1179"/>
      <c r="M1006" s="1183"/>
      <c r="N1006" s="1183"/>
      <c r="O1006" s="1183"/>
      <c r="P1006" s="1201"/>
      <c r="Q1006" s="1201"/>
      <c r="R1006" s="1201"/>
      <c r="S1006" s="1201"/>
      <c r="T1006" s="1201"/>
    </row>
    <row r="1007" spans="12:20">
      <c r="L1007" s="1179"/>
      <c r="M1007" s="1183"/>
      <c r="N1007" s="1183"/>
      <c r="O1007" s="1183"/>
      <c r="P1007" s="1201"/>
      <c r="Q1007" s="1201"/>
      <c r="R1007" s="1201"/>
      <c r="S1007" s="1201"/>
      <c r="T1007" s="1201"/>
    </row>
    <row r="1008" spans="12:20">
      <c r="L1008" s="1179"/>
      <c r="M1008" s="1183"/>
      <c r="N1008" s="1183"/>
      <c r="O1008" s="1183"/>
      <c r="P1008" s="1201"/>
      <c r="Q1008" s="1201"/>
      <c r="R1008" s="1201"/>
      <c r="S1008" s="1201"/>
      <c r="T1008" s="1201"/>
    </row>
    <row r="1009" spans="12:20">
      <c r="L1009" s="1179"/>
      <c r="M1009" s="1183"/>
      <c r="N1009" s="1183"/>
      <c r="O1009" s="1183"/>
      <c r="P1009" s="1201"/>
      <c r="Q1009" s="1201"/>
      <c r="R1009" s="1201"/>
      <c r="S1009" s="1201"/>
      <c r="T1009" s="1201"/>
    </row>
    <row r="1010" spans="12:20">
      <c r="L1010" s="1179"/>
      <c r="M1010" s="1183"/>
      <c r="N1010" s="1183"/>
      <c r="O1010" s="1183"/>
      <c r="P1010" s="1201"/>
      <c r="Q1010" s="1201"/>
      <c r="R1010" s="1201"/>
      <c r="S1010" s="1201"/>
      <c r="T1010" s="1201"/>
    </row>
    <row r="1011" spans="12:20">
      <c r="L1011" s="1179"/>
      <c r="M1011" s="1183"/>
      <c r="N1011" s="1183"/>
      <c r="O1011" s="1183"/>
      <c r="P1011" s="1201"/>
      <c r="Q1011" s="1201"/>
      <c r="R1011" s="1201"/>
      <c r="S1011" s="1201"/>
      <c r="T1011" s="1201"/>
    </row>
    <row r="1012" spans="12:20">
      <c r="L1012" s="1179"/>
      <c r="M1012" s="1183"/>
      <c r="N1012" s="1183"/>
      <c r="O1012" s="1183"/>
      <c r="P1012" s="1201"/>
      <c r="Q1012" s="1201"/>
      <c r="R1012" s="1201"/>
      <c r="S1012" s="1201"/>
      <c r="T1012" s="1201"/>
    </row>
    <row r="1013" spans="12:20">
      <c r="L1013" s="1179"/>
      <c r="M1013" s="1183"/>
      <c r="N1013" s="1183"/>
      <c r="O1013" s="1183"/>
      <c r="P1013" s="1201"/>
      <c r="Q1013" s="1201"/>
      <c r="R1013" s="1201"/>
      <c r="S1013" s="1201"/>
      <c r="T1013" s="1201"/>
    </row>
    <row r="1014" spans="12:20">
      <c r="L1014" s="1179"/>
      <c r="M1014" s="1183"/>
      <c r="N1014" s="1183"/>
      <c r="O1014" s="1183"/>
      <c r="P1014" s="1201"/>
      <c r="Q1014" s="1201"/>
      <c r="R1014" s="1201"/>
      <c r="S1014" s="1201"/>
      <c r="T1014" s="1201"/>
    </row>
    <row r="1015" spans="12:20">
      <c r="L1015" s="1179"/>
      <c r="M1015" s="1183"/>
      <c r="N1015" s="1183"/>
      <c r="O1015" s="1183"/>
      <c r="P1015" s="1201"/>
      <c r="Q1015" s="1201"/>
      <c r="R1015" s="1201"/>
      <c r="S1015" s="1201"/>
      <c r="T1015" s="1201"/>
    </row>
    <row r="1016" spans="12:20">
      <c r="L1016" s="1179"/>
      <c r="M1016" s="1183"/>
      <c r="N1016" s="1183"/>
      <c r="O1016" s="1183"/>
      <c r="P1016" s="1201"/>
      <c r="Q1016" s="1201"/>
      <c r="R1016" s="1201"/>
      <c r="S1016" s="1201"/>
      <c r="T1016" s="1201"/>
    </row>
    <row r="1017" spans="12:20">
      <c r="L1017" s="1179"/>
      <c r="M1017" s="1183"/>
      <c r="N1017" s="1183"/>
      <c r="O1017" s="1183"/>
      <c r="P1017" s="1201"/>
      <c r="Q1017" s="1201"/>
      <c r="R1017" s="1201"/>
      <c r="S1017" s="1201"/>
      <c r="T1017" s="1201"/>
    </row>
    <row r="1018" spans="12:20">
      <c r="L1018" s="1179"/>
      <c r="M1018" s="1183"/>
      <c r="N1018" s="1183"/>
      <c r="O1018" s="1183"/>
      <c r="P1018" s="1201"/>
      <c r="Q1018" s="1201"/>
      <c r="R1018" s="1201"/>
      <c r="S1018" s="1201"/>
      <c r="T1018" s="1201"/>
    </row>
    <row r="1019" spans="12:20">
      <c r="L1019" s="1179"/>
      <c r="M1019" s="1183"/>
      <c r="N1019" s="1183"/>
      <c r="O1019" s="1183"/>
      <c r="P1019" s="1201"/>
      <c r="Q1019" s="1201"/>
      <c r="R1019" s="1201"/>
      <c r="S1019" s="1201"/>
      <c r="T1019" s="1201"/>
    </row>
    <row r="1020" spans="12:20">
      <c r="L1020" s="1179"/>
      <c r="M1020" s="1183"/>
      <c r="N1020" s="1183"/>
      <c r="O1020" s="1183"/>
      <c r="P1020" s="1201"/>
      <c r="Q1020" s="1201"/>
      <c r="R1020" s="1201"/>
      <c r="S1020" s="1201"/>
      <c r="T1020" s="1201"/>
    </row>
    <row r="1021" spans="12:20">
      <c r="L1021" s="1179"/>
      <c r="M1021" s="1183"/>
      <c r="N1021" s="1183"/>
      <c r="O1021" s="1183"/>
      <c r="P1021" s="1201"/>
      <c r="Q1021" s="1201"/>
      <c r="R1021" s="1201"/>
      <c r="S1021" s="1201"/>
      <c r="T1021" s="1201"/>
    </row>
    <row r="1022" spans="12:20">
      <c r="L1022" s="1179"/>
      <c r="M1022" s="1183"/>
      <c r="N1022" s="1183"/>
      <c r="O1022" s="1183"/>
      <c r="P1022" s="1201"/>
      <c r="Q1022" s="1201"/>
      <c r="R1022" s="1201"/>
      <c r="S1022" s="1201"/>
      <c r="T1022" s="1201"/>
    </row>
    <row r="1023" spans="12:20">
      <c r="L1023" s="1179"/>
      <c r="M1023" s="1183"/>
      <c r="N1023" s="1183"/>
      <c r="O1023" s="1183"/>
      <c r="P1023" s="1201"/>
      <c r="Q1023" s="1201"/>
      <c r="R1023" s="1201"/>
      <c r="S1023" s="1201"/>
      <c r="T1023" s="1201"/>
    </row>
    <row r="1024" spans="12:20">
      <c r="L1024" s="1179"/>
      <c r="M1024" s="1183"/>
      <c r="N1024" s="1183"/>
      <c r="O1024" s="1183"/>
      <c r="P1024" s="1201"/>
      <c r="Q1024" s="1201"/>
      <c r="R1024" s="1201"/>
      <c r="S1024" s="1201"/>
      <c r="T1024" s="1201"/>
    </row>
    <row r="1025" spans="12:20">
      <c r="L1025" s="1179"/>
      <c r="M1025" s="1183"/>
      <c r="N1025" s="1183"/>
      <c r="O1025" s="1183"/>
      <c r="P1025" s="1201"/>
      <c r="Q1025" s="1201"/>
      <c r="R1025" s="1201"/>
      <c r="S1025" s="1201"/>
      <c r="T1025" s="1201"/>
    </row>
    <row r="1026" spans="12:20">
      <c r="L1026" s="1179"/>
      <c r="M1026" s="1183"/>
      <c r="N1026" s="1183"/>
      <c r="O1026" s="1183"/>
      <c r="P1026" s="1201"/>
      <c r="Q1026" s="1201"/>
      <c r="R1026" s="1201"/>
      <c r="S1026" s="1201"/>
      <c r="T1026" s="1201"/>
    </row>
    <row r="1027" spans="12:20">
      <c r="L1027" s="1179"/>
      <c r="M1027" s="1183"/>
      <c r="N1027" s="1183"/>
      <c r="O1027" s="1183"/>
      <c r="P1027" s="1201"/>
      <c r="Q1027" s="1201"/>
      <c r="R1027" s="1201"/>
      <c r="S1027" s="1201"/>
      <c r="T1027" s="1201"/>
    </row>
    <row r="1028" spans="12:20">
      <c r="L1028" s="1179"/>
      <c r="M1028" s="1183"/>
      <c r="N1028" s="1183"/>
      <c r="O1028" s="1183"/>
      <c r="P1028" s="1201"/>
      <c r="Q1028" s="1201"/>
      <c r="R1028" s="1201"/>
      <c r="S1028" s="1201"/>
      <c r="T1028" s="1201"/>
    </row>
    <row r="1029" spans="12:20">
      <c r="L1029" s="1179"/>
      <c r="M1029" s="1183"/>
      <c r="N1029" s="1183"/>
      <c r="O1029" s="1183"/>
      <c r="P1029" s="1201"/>
      <c r="Q1029" s="1201"/>
      <c r="R1029" s="1201"/>
      <c r="S1029" s="1201"/>
      <c r="T1029" s="1201"/>
    </row>
    <row r="1030" spans="12:20">
      <c r="L1030" s="1179"/>
      <c r="M1030" s="1183"/>
      <c r="N1030" s="1183"/>
      <c r="O1030" s="1183"/>
      <c r="P1030" s="1201"/>
      <c r="Q1030" s="1201"/>
      <c r="R1030" s="1201"/>
      <c r="S1030" s="1201"/>
      <c r="T1030" s="1201"/>
    </row>
    <row r="1031" spans="12:20">
      <c r="L1031" s="1179"/>
      <c r="M1031" s="1183"/>
      <c r="N1031" s="1183"/>
      <c r="O1031" s="1183"/>
      <c r="P1031" s="1201"/>
      <c r="Q1031" s="1201"/>
      <c r="R1031" s="1201"/>
      <c r="S1031" s="1201"/>
      <c r="T1031" s="1201"/>
    </row>
    <row r="1032" spans="12:20">
      <c r="L1032" s="1179"/>
      <c r="M1032" s="1183"/>
      <c r="N1032" s="1183"/>
      <c r="O1032" s="1183"/>
      <c r="P1032" s="1201"/>
      <c r="Q1032" s="1201"/>
      <c r="R1032" s="1201"/>
      <c r="S1032" s="1201"/>
      <c r="T1032" s="1201"/>
    </row>
    <row r="1033" spans="12:20">
      <c r="L1033" s="1179"/>
      <c r="M1033" s="1183"/>
      <c r="N1033" s="1183"/>
      <c r="O1033" s="1183"/>
      <c r="P1033" s="1201"/>
      <c r="Q1033" s="1201"/>
      <c r="R1033" s="1201"/>
      <c r="S1033" s="1201"/>
      <c r="T1033" s="1201"/>
    </row>
    <row r="1034" spans="12:20">
      <c r="L1034" s="1179"/>
      <c r="M1034" s="1183"/>
      <c r="N1034" s="1183"/>
      <c r="O1034" s="1183"/>
      <c r="P1034" s="1201"/>
      <c r="Q1034" s="1201"/>
      <c r="R1034" s="1201"/>
      <c r="S1034" s="1201"/>
      <c r="T1034" s="1201"/>
    </row>
    <row r="1035" spans="12:20">
      <c r="L1035" s="1179"/>
      <c r="M1035" s="1183"/>
      <c r="N1035" s="1183"/>
      <c r="O1035" s="1183"/>
      <c r="P1035" s="1201"/>
      <c r="Q1035" s="1201"/>
      <c r="R1035" s="1201"/>
      <c r="S1035" s="1201"/>
      <c r="T1035" s="1201"/>
    </row>
    <row r="1036" spans="12:20">
      <c r="L1036" s="1179"/>
      <c r="M1036" s="1183"/>
      <c r="N1036" s="1183"/>
      <c r="O1036" s="1183"/>
      <c r="P1036" s="1201"/>
      <c r="Q1036" s="1201"/>
      <c r="R1036" s="1201"/>
      <c r="S1036" s="1201"/>
      <c r="T1036" s="1201"/>
    </row>
    <row r="1037" spans="12:20">
      <c r="L1037" s="1179"/>
      <c r="M1037" s="1183"/>
      <c r="N1037" s="1183"/>
      <c r="O1037" s="1183"/>
      <c r="P1037" s="1201"/>
      <c r="Q1037" s="1201"/>
      <c r="R1037" s="1201"/>
      <c r="S1037" s="1201"/>
      <c r="T1037" s="1201"/>
    </row>
    <row r="1038" spans="12:20">
      <c r="L1038" s="1179"/>
      <c r="M1038" s="1183"/>
      <c r="N1038" s="1183"/>
      <c r="O1038" s="1183"/>
      <c r="P1038" s="1201"/>
      <c r="Q1038" s="1201"/>
      <c r="R1038" s="1201"/>
      <c r="S1038" s="1201"/>
      <c r="T1038" s="1201"/>
    </row>
    <row r="1039" spans="12:20">
      <c r="L1039" s="1179"/>
      <c r="M1039" s="1183"/>
      <c r="N1039" s="1183"/>
      <c r="O1039" s="1183"/>
      <c r="P1039" s="1201"/>
      <c r="Q1039" s="1201"/>
      <c r="R1039" s="1201"/>
      <c r="S1039" s="1201"/>
      <c r="T1039" s="1201"/>
    </row>
    <row r="1040" spans="12:20">
      <c r="L1040" s="1179"/>
      <c r="M1040" s="1183"/>
      <c r="N1040" s="1183"/>
      <c r="O1040" s="1183"/>
      <c r="P1040" s="1201"/>
      <c r="Q1040" s="1201"/>
      <c r="R1040" s="1201"/>
      <c r="S1040" s="1201"/>
      <c r="T1040" s="1201"/>
    </row>
    <row r="1041" spans="12:20">
      <c r="L1041" s="1179"/>
      <c r="M1041" s="1183"/>
      <c r="N1041" s="1183"/>
      <c r="O1041" s="1183"/>
      <c r="P1041" s="1201"/>
      <c r="Q1041" s="1201"/>
      <c r="R1041" s="1201"/>
      <c r="S1041" s="1201"/>
      <c r="T1041" s="1201"/>
    </row>
    <row r="1042" spans="12:20">
      <c r="L1042" s="1179"/>
      <c r="M1042" s="1183"/>
      <c r="N1042" s="1183"/>
      <c r="O1042" s="1183"/>
      <c r="P1042" s="1201"/>
      <c r="Q1042" s="1201"/>
      <c r="R1042" s="1201"/>
      <c r="S1042" s="1201"/>
      <c r="T1042" s="1201"/>
    </row>
    <row r="1043" spans="12:20">
      <c r="L1043" s="1179"/>
      <c r="M1043" s="1183"/>
      <c r="N1043" s="1183"/>
      <c r="O1043" s="1183"/>
      <c r="P1043" s="1201"/>
      <c r="Q1043" s="1201"/>
      <c r="R1043" s="1201"/>
      <c r="S1043" s="1201"/>
      <c r="T1043" s="1201"/>
    </row>
    <row r="1044" spans="12:20">
      <c r="L1044" s="1179"/>
      <c r="M1044" s="1183"/>
      <c r="N1044" s="1183"/>
      <c r="O1044" s="1183"/>
      <c r="P1044" s="1201"/>
      <c r="Q1044" s="1201"/>
      <c r="R1044" s="1201"/>
      <c r="S1044" s="1201"/>
      <c r="T1044" s="1201"/>
    </row>
    <row r="1045" spans="12:20">
      <c r="L1045" s="1179"/>
      <c r="M1045" s="1183"/>
      <c r="N1045" s="1183"/>
      <c r="O1045" s="1183"/>
      <c r="P1045" s="1201"/>
      <c r="Q1045" s="1201"/>
      <c r="R1045" s="1201"/>
      <c r="S1045" s="1201"/>
      <c r="T1045" s="1201"/>
    </row>
    <row r="1046" spans="12:20">
      <c r="L1046" s="1179"/>
      <c r="M1046" s="1183"/>
      <c r="N1046" s="1183"/>
      <c r="O1046" s="1183"/>
      <c r="P1046" s="1201"/>
      <c r="Q1046" s="1201"/>
      <c r="R1046" s="1201"/>
      <c r="S1046" s="1201"/>
      <c r="T1046" s="1201"/>
    </row>
    <row r="1047" spans="12:20">
      <c r="L1047" s="1179"/>
      <c r="M1047" s="1183"/>
      <c r="N1047" s="1183"/>
      <c r="O1047" s="1183"/>
      <c r="P1047" s="1201"/>
      <c r="Q1047" s="1201"/>
      <c r="R1047" s="1201"/>
      <c r="S1047" s="1201"/>
      <c r="T1047" s="1201"/>
    </row>
    <row r="1048" spans="12:20">
      <c r="L1048" s="1179"/>
      <c r="M1048" s="1183"/>
      <c r="N1048" s="1183"/>
      <c r="O1048" s="1183"/>
      <c r="P1048" s="1201"/>
      <c r="Q1048" s="1201"/>
      <c r="R1048" s="1201"/>
      <c r="S1048" s="1201"/>
      <c r="T1048" s="1201"/>
    </row>
    <row r="1049" spans="12:20">
      <c r="L1049" s="1179"/>
      <c r="M1049" s="1183"/>
      <c r="N1049" s="1183"/>
      <c r="O1049" s="1183"/>
      <c r="P1049" s="1201"/>
      <c r="Q1049" s="1201"/>
      <c r="R1049" s="1201"/>
      <c r="S1049" s="1201"/>
      <c r="T1049" s="1201"/>
    </row>
    <row r="1050" spans="12:20">
      <c r="L1050" s="1179"/>
      <c r="M1050" s="1183"/>
      <c r="N1050" s="1183"/>
      <c r="O1050" s="1183"/>
      <c r="P1050" s="1201"/>
      <c r="Q1050" s="1201"/>
      <c r="R1050" s="1201"/>
      <c r="S1050" s="1201"/>
      <c r="T1050" s="1201"/>
    </row>
    <row r="1051" spans="12:20">
      <c r="L1051" s="1179"/>
      <c r="M1051" s="1183"/>
      <c r="N1051" s="1183"/>
      <c r="O1051" s="1183"/>
      <c r="P1051" s="1201"/>
      <c r="Q1051" s="1201"/>
      <c r="R1051" s="1201"/>
      <c r="S1051" s="1201"/>
      <c r="T1051" s="1201"/>
    </row>
    <row r="1052" spans="12:20">
      <c r="L1052" s="1179"/>
      <c r="M1052" s="1183"/>
      <c r="N1052" s="1183"/>
      <c r="O1052" s="1183"/>
      <c r="P1052" s="1201"/>
      <c r="Q1052" s="1201"/>
      <c r="R1052" s="1201"/>
      <c r="S1052" s="1201"/>
      <c r="T1052" s="1201"/>
    </row>
    <row r="1053" spans="12:20">
      <c r="L1053" s="1179"/>
      <c r="M1053" s="1183"/>
      <c r="N1053" s="1183"/>
      <c r="O1053" s="1183"/>
      <c r="P1053" s="1201"/>
      <c r="Q1053" s="1201"/>
      <c r="R1053" s="1201"/>
      <c r="S1053" s="1201"/>
      <c r="T1053" s="1201"/>
    </row>
    <row r="1054" spans="12:20">
      <c r="L1054" s="1179"/>
      <c r="M1054" s="1183"/>
      <c r="N1054" s="1183"/>
      <c r="O1054" s="1183"/>
      <c r="P1054" s="1201"/>
      <c r="Q1054" s="1201"/>
      <c r="R1054" s="1201"/>
      <c r="S1054" s="1201"/>
      <c r="T1054" s="1201"/>
    </row>
    <row r="1055" spans="12:20">
      <c r="L1055" s="1179"/>
      <c r="M1055" s="1183"/>
      <c r="N1055" s="1183"/>
      <c r="O1055" s="1183"/>
      <c r="P1055" s="1201"/>
      <c r="Q1055" s="1201"/>
      <c r="R1055" s="1201"/>
      <c r="S1055" s="1201"/>
      <c r="T1055" s="1201"/>
    </row>
    <row r="1056" spans="12:20">
      <c r="L1056" s="1179"/>
      <c r="M1056" s="1183"/>
      <c r="N1056" s="1183"/>
      <c r="O1056" s="1183"/>
      <c r="P1056" s="1201"/>
      <c r="Q1056" s="1201"/>
      <c r="R1056" s="1201"/>
      <c r="S1056" s="1201"/>
      <c r="T1056" s="1201"/>
    </row>
    <row r="1057" spans="12:20">
      <c r="L1057" s="1179"/>
      <c r="M1057" s="1183"/>
      <c r="N1057" s="1183"/>
      <c r="O1057" s="1183"/>
      <c r="P1057" s="1201"/>
      <c r="Q1057" s="1201"/>
      <c r="R1057" s="1201"/>
      <c r="S1057" s="1201"/>
      <c r="T1057" s="1201"/>
    </row>
    <row r="1058" spans="12:20">
      <c r="L1058" s="1179"/>
      <c r="M1058" s="1183"/>
      <c r="N1058" s="1183"/>
      <c r="O1058" s="1183"/>
      <c r="P1058" s="1201"/>
      <c r="Q1058" s="1201"/>
      <c r="R1058" s="1201"/>
      <c r="S1058" s="1201"/>
      <c r="T1058" s="1201"/>
    </row>
    <row r="1059" spans="12:20">
      <c r="L1059" s="1179"/>
      <c r="M1059" s="1183"/>
      <c r="N1059" s="1183"/>
      <c r="O1059" s="1183"/>
      <c r="P1059" s="1201"/>
      <c r="Q1059" s="1201"/>
      <c r="R1059" s="1201"/>
      <c r="S1059" s="1201"/>
      <c r="T1059" s="1201"/>
    </row>
    <row r="1060" spans="12:20">
      <c r="L1060" s="1179"/>
      <c r="M1060" s="1183"/>
      <c r="N1060" s="1183"/>
      <c r="O1060" s="1183"/>
      <c r="P1060" s="1201"/>
      <c r="Q1060" s="1201"/>
      <c r="R1060" s="1201"/>
      <c r="S1060" s="1201"/>
      <c r="T1060" s="1201"/>
    </row>
    <row r="1061" spans="12:20">
      <c r="L1061" s="1179"/>
      <c r="M1061" s="1183"/>
      <c r="N1061" s="1183"/>
      <c r="O1061" s="1183"/>
      <c r="P1061" s="1201"/>
      <c r="Q1061" s="1201"/>
      <c r="R1061" s="1201"/>
      <c r="S1061" s="1201"/>
      <c r="T1061" s="1201"/>
    </row>
    <row r="1062" spans="12:20">
      <c r="L1062" s="1179"/>
      <c r="M1062" s="1183"/>
      <c r="N1062" s="1183"/>
      <c r="O1062" s="1183"/>
      <c r="P1062" s="1201"/>
      <c r="Q1062" s="1201"/>
      <c r="R1062" s="1201"/>
      <c r="S1062" s="1201"/>
      <c r="T1062" s="1201"/>
    </row>
    <row r="1063" spans="12:20">
      <c r="L1063" s="1179"/>
      <c r="M1063" s="1183"/>
      <c r="N1063" s="1183"/>
      <c r="O1063" s="1183"/>
      <c r="P1063" s="1201"/>
      <c r="Q1063" s="1201"/>
      <c r="R1063" s="1201"/>
      <c r="S1063" s="1201"/>
      <c r="T1063" s="1201"/>
    </row>
    <row r="1064" spans="12:20">
      <c r="L1064" s="1179"/>
      <c r="M1064" s="1183"/>
      <c r="N1064" s="1183"/>
      <c r="O1064" s="1183"/>
      <c r="P1064" s="1201"/>
      <c r="Q1064" s="1201"/>
      <c r="R1064" s="1201"/>
      <c r="S1064" s="1201"/>
      <c r="T1064" s="1201"/>
    </row>
    <row r="1065" spans="12:20">
      <c r="L1065" s="1179"/>
      <c r="M1065" s="1183"/>
      <c r="N1065" s="1183"/>
      <c r="O1065" s="1183"/>
      <c r="P1065" s="1201"/>
      <c r="Q1065" s="1201"/>
      <c r="R1065" s="1201"/>
      <c r="S1065" s="1201"/>
      <c r="T1065" s="1201"/>
    </row>
    <row r="1066" spans="12:20">
      <c r="L1066" s="1179"/>
      <c r="M1066" s="1183"/>
      <c r="N1066" s="1183"/>
      <c r="O1066" s="1183"/>
      <c r="P1066" s="1201"/>
      <c r="Q1066" s="1201"/>
      <c r="R1066" s="1201"/>
      <c r="S1066" s="1201"/>
      <c r="T1066" s="1201"/>
    </row>
    <row r="1067" spans="12:20">
      <c r="L1067" s="1179"/>
      <c r="M1067" s="1183"/>
      <c r="N1067" s="1183"/>
      <c r="O1067" s="1183"/>
      <c r="P1067" s="1201"/>
      <c r="Q1067" s="1201"/>
      <c r="R1067" s="1201"/>
      <c r="S1067" s="1201"/>
      <c r="T1067" s="1201"/>
    </row>
    <row r="1068" spans="12:20">
      <c r="L1068" s="1179"/>
      <c r="M1068" s="1183"/>
      <c r="N1068" s="1183"/>
      <c r="O1068" s="1183"/>
      <c r="P1068" s="1201"/>
      <c r="Q1068" s="1201"/>
      <c r="R1068" s="1201"/>
      <c r="S1068" s="1201"/>
      <c r="T1068" s="1201"/>
    </row>
    <row r="1069" spans="12:20">
      <c r="L1069" s="1179"/>
      <c r="M1069" s="1183"/>
      <c r="N1069" s="1183"/>
      <c r="O1069" s="1183"/>
      <c r="P1069" s="1201"/>
      <c r="Q1069" s="1201"/>
      <c r="R1069" s="1201"/>
      <c r="S1069" s="1201"/>
      <c r="T1069" s="1201"/>
    </row>
    <row r="1070" spans="12:20">
      <c r="L1070" s="1179"/>
      <c r="M1070" s="1183"/>
      <c r="N1070" s="1183"/>
      <c r="O1070" s="1183"/>
      <c r="P1070" s="1201"/>
      <c r="Q1070" s="1201"/>
      <c r="R1070" s="1201"/>
      <c r="S1070" s="1201"/>
      <c r="T1070" s="1201"/>
    </row>
    <row r="1071" spans="12:20">
      <c r="L1071" s="1179"/>
      <c r="M1071" s="1183"/>
      <c r="N1071" s="1183"/>
      <c r="O1071" s="1183"/>
      <c r="P1071" s="1201"/>
      <c r="Q1071" s="1201"/>
      <c r="R1071" s="1201"/>
      <c r="S1071" s="1201"/>
      <c r="T1071" s="1201"/>
    </row>
    <row r="1072" spans="12:20">
      <c r="L1072" s="1179"/>
      <c r="M1072" s="1183"/>
      <c r="N1072" s="1183"/>
      <c r="O1072" s="1183"/>
      <c r="P1072" s="1201"/>
      <c r="Q1072" s="1201"/>
      <c r="R1072" s="1201"/>
      <c r="S1072" s="1201"/>
      <c r="T1072" s="1201"/>
    </row>
    <row r="1073" spans="12:20">
      <c r="L1073" s="1179"/>
      <c r="M1073" s="1183"/>
      <c r="N1073" s="1183"/>
      <c r="O1073" s="1183"/>
      <c r="P1073" s="1201"/>
      <c r="Q1073" s="1201"/>
      <c r="R1073" s="1201"/>
      <c r="S1073" s="1201"/>
      <c r="T1073" s="1201"/>
    </row>
    <row r="1074" spans="12:20">
      <c r="L1074" s="1179"/>
      <c r="M1074" s="1183"/>
      <c r="N1074" s="1183"/>
      <c r="O1074" s="1183"/>
      <c r="P1074" s="1201"/>
      <c r="Q1074" s="1201"/>
      <c r="R1074" s="1201"/>
      <c r="S1074" s="1201"/>
      <c r="T1074" s="1201"/>
    </row>
    <row r="1075" spans="12:20">
      <c r="L1075" s="1179"/>
      <c r="M1075" s="1183"/>
      <c r="N1075" s="1183"/>
      <c r="O1075" s="1183"/>
      <c r="P1075" s="1201"/>
      <c r="Q1075" s="1201"/>
      <c r="R1075" s="1201"/>
      <c r="S1075" s="1201"/>
      <c r="T1075" s="1201"/>
    </row>
    <row r="1076" spans="12:20">
      <c r="L1076" s="1179"/>
      <c r="M1076" s="1183"/>
      <c r="N1076" s="1183"/>
      <c r="O1076" s="1183"/>
      <c r="P1076" s="1201"/>
      <c r="Q1076" s="1201"/>
      <c r="R1076" s="1201"/>
      <c r="S1076" s="1201"/>
      <c r="T1076" s="1201"/>
    </row>
    <row r="1077" spans="12:20">
      <c r="L1077" s="1179"/>
      <c r="M1077" s="1183"/>
      <c r="N1077" s="1183"/>
      <c r="O1077" s="1183"/>
      <c r="P1077" s="1201"/>
      <c r="Q1077" s="1201"/>
      <c r="R1077" s="1201"/>
      <c r="S1077" s="1201"/>
      <c r="T1077" s="1201"/>
    </row>
    <row r="1078" spans="12:20">
      <c r="L1078" s="1179"/>
      <c r="M1078" s="1183"/>
      <c r="N1078" s="1183"/>
      <c r="O1078" s="1183"/>
      <c r="P1078" s="1201"/>
      <c r="Q1078" s="1201"/>
      <c r="R1078" s="1201"/>
      <c r="S1078" s="1201"/>
      <c r="T1078" s="1201"/>
    </row>
    <row r="1079" spans="12:20">
      <c r="L1079" s="1179"/>
      <c r="M1079" s="1183"/>
      <c r="N1079" s="1183"/>
      <c r="O1079" s="1183"/>
      <c r="P1079" s="1201"/>
      <c r="Q1079" s="1201"/>
      <c r="R1079" s="1201"/>
      <c r="S1079" s="1201"/>
      <c r="T1079" s="1201"/>
    </row>
    <row r="1080" spans="12:20">
      <c r="L1080" s="1179"/>
      <c r="M1080" s="1183"/>
      <c r="N1080" s="1183"/>
      <c r="O1080" s="1183"/>
      <c r="P1080" s="1201"/>
      <c r="Q1080" s="1201"/>
      <c r="R1080" s="1201"/>
      <c r="S1080" s="1201"/>
      <c r="T1080" s="1201"/>
    </row>
    <row r="1081" spans="12:20">
      <c r="L1081" s="1179"/>
      <c r="M1081" s="1183"/>
      <c r="N1081" s="1183"/>
      <c r="O1081" s="1183"/>
      <c r="P1081" s="1201"/>
      <c r="Q1081" s="1201"/>
      <c r="R1081" s="1201"/>
      <c r="S1081" s="1201"/>
      <c r="T1081" s="1201"/>
    </row>
    <row r="1082" spans="12:20">
      <c r="L1082" s="1179"/>
      <c r="M1082" s="1183"/>
      <c r="N1082" s="1183"/>
      <c r="O1082" s="1183"/>
      <c r="P1082" s="1201"/>
      <c r="Q1082" s="1201"/>
      <c r="R1082" s="1201"/>
      <c r="S1082" s="1201"/>
      <c r="T1082" s="1201"/>
    </row>
    <row r="1083" spans="12:20">
      <c r="L1083" s="1179"/>
      <c r="M1083" s="1183"/>
      <c r="N1083" s="1183"/>
      <c r="O1083" s="1183"/>
      <c r="P1083" s="1201"/>
      <c r="Q1083" s="1201"/>
      <c r="R1083" s="1201"/>
      <c r="S1083" s="1201"/>
      <c r="T1083" s="1201"/>
    </row>
    <row r="1084" spans="12:20">
      <c r="L1084" s="1179"/>
      <c r="M1084" s="1183"/>
      <c r="N1084" s="1183"/>
      <c r="O1084" s="1183"/>
      <c r="P1084" s="1201"/>
      <c r="Q1084" s="1201"/>
      <c r="R1084" s="1201"/>
      <c r="S1084" s="1201"/>
      <c r="T1084" s="1201"/>
    </row>
    <row r="1085" spans="12:20">
      <c r="L1085" s="1179"/>
      <c r="M1085" s="1183"/>
      <c r="N1085" s="1183"/>
      <c r="O1085" s="1183"/>
      <c r="P1085" s="1201"/>
      <c r="Q1085" s="1201"/>
      <c r="R1085" s="1201"/>
      <c r="S1085" s="1201"/>
      <c r="T1085" s="1201"/>
    </row>
    <row r="1086" spans="12:20">
      <c r="L1086" s="1179"/>
      <c r="M1086" s="1183"/>
      <c r="N1086" s="1183"/>
      <c r="O1086" s="1183"/>
      <c r="P1086" s="1201"/>
      <c r="Q1086" s="1201"/>
      <c r="R1086" s="1201"/>
      <c r="S1086" s="1201"/>
      <c r="T1086" s="1201"/>
    </row>
    <row r="1087" spans="12:20">
      <c r="L1087" s="1179"/>
      <c r="M1087" s="1183"/>
      <c r="N1087" s="1183"/>
      <c r="O1087" s="1183"/>
      <c r="P1087" s="1201"/>
      <c r="Q1087" s="1201"/>
      <c r="R1087" s="1201"/>
      <c r="S1087" s="1201"/>
      <c r="T1087" s="1201"/>
    </row>
    <row r="1088" spans="12:20">
      <c r="L1088" s="1179"/>
      <c r="M1088" s="1183"/>
      <c r="N1088" s="1183"/>
      <c r="O1088" s="1183"/>
      <c r="P1088" s="1201"/>
      <c r="Q1088" s="1201"/>
      <c r="R1088" s="1201"/>
      <c r="S1088" s="1201"/>
      <c r="T1088" s="1201"/>
    </row>
    <row r="1089" spans="12:20">
      <c r="L1089" s="1179"/>
      <c r="M1089" s="1183"/>
      <c r="N1089" s="1183"/>
      <c r="O1089" s="1183"/>
      <c r="P1089" s="1201"/>
      <c r="Q1089" s="1201"/>
      <c r="R1089" s="1201"/>
      <c r="S1089" s="1201"/>
      <c r="T1089" s="1201"/>
    </row>
    <row r="1090" spans="12:20">
      <c r="L1090" s="1179"/>
      <c r="M1090" s="1183"/>
      <c r="N1090" s="1183"/>
      <c r="O1090" s="1183"/>
      <c r="P1090" s="1201"/>
      <c r="Q1090" s="1201"/>
      <c r="R1090" s="1201"/>
      <c r="S1090" s="1201"/>
      <c r="T1090" s="1201"/>
    </row>
    <row r="1091" spans="12:20">
      <c r="L1091" s="1179"/>
      <c r="M1091" s="1183"/>
      <c r="N1091" s="1183"/>
      <c r="O1091" s="1183"/>
      <c r="P1091" s="1201"/>
      <c r="Q1091" s="1201"/>
      <c r="R1091" s="1201"/>
      <c r="S1091" s="1201"/>
      <c r="T1091" s="1201"/>
    </row>
    <row r="1092" spans="12:20">
      <c r="L1092" s="1179"/>
      <c r="M1092" s="1183"/>
      <c r="N1092" s="1183"/>
      <c r="O1092" s="1183"/>
      <c r="P1092" s="1201"/>
      <c r="Q1092" s="1201"/>
      <c r="R1092" s="1201"/>
      <c r="S1092" s="1201"/>
      <c r="T1092" s="1201"/>
    </row>
    <row r="1093" spans="12:20">
      <c r="L1093" s="1179"/>
      <c r="M1093" s="1183"/>
      <c r="N1093" s="1183"/>
      <c r="O1093" s="1183"/>
      <c r="P1093" s="1201"/>
      <c r="Q1093" s="1201"/>
      <c r="R1093" s="1201"/>
      <c r="S1093" s="1201"/>
      <c r="T1093" s="1201"/>
    </row>
    <row r="1094" spans="12:20">
      <c r="L1094" s="1179"/>
      <c r="M1094" s="1183"/>
      <c r="N1094" s="1183"/>
      <c r="O1094" s="1183"/>
      <c r="P1094" s="1201"/>
      <c r="Q1094" s="1201"/>
      <c r="R1094" s="1201"/>
      <c r="S1094" s="1201"/>
      <c r="T1094" s="1201"/>
    </row>
    <row r="1095" spans="12:20">
      <c r="L1095" s="1179"/>
      <c r="M1095" s="1183"/>
      <c r="N1095" s="1183"/>
      <c r="O1095" s="1183"/>
      <c r="P1095" s="1201"/>
      <c r="Q1095" s="1201"/>
      <c r="R1095" s="1201"/>
      <c r="S1095" s="1201"/>
      <c r="T1095" s="1201"/>
    </row>
    <row r="1096" spans="12:20">
      <c r="L1096" s="1179"/>
      <c r="M1096" s="1183"/>
      <c r="N1096" s="1183"/>
      <c r="O1096" s="1183"/>
      <c r="P1096" s="1201"/>
      <c r="Q1096" s="1201"/>
      <c r="R1096" s="1201"/>
      <c r="S1096" s="1201"/>
      <c r="T1096" s="1201"/>
    </row>
    <row r="1097" spans="12:20">
      <c r="L1097" s="1179"/>
      <c r="M1097" s="1183"/>
      <c r="N1097" s="1183"/>
      <c r="O1097" s="1183"/>
      <c r="P1097" s="1201"/>
      <c r="Q1097" s="1201"/>
      <c r="R1097" s="1201"/>
      <c r="S1097" s="1201"/>
      <c r="T1097" s="1201"/>
    </row>
    <row r="1098" spans="12:20">
      <c r="L1098" s="1179"/>
      <c r="M1098" s="1183"/>
      <c r="N1098" s="1183"/>
      <c r="O1098" s="1183"/>
      <c r="P1098" s="1201"/>
      <c r="Q1098" s="1201"/>
      <c r="R1098" s="1201"/>
      <c r="S1098" s="1201"/>
      <c r="T1098" s="1201"/>
    </row>
    <row r="1099" spans="12:20">
      <c r="L1099" s="1179"/>
      <c r="M1099" s="1183"/>
      <c r="N1099" s="1183"/>
      <c r="O1099" s="1183"/>
      <c r="P1099" s="1201"/>
      <c r="Q1099" s="1201"/>
      <c r="R1099" s="1201"/>
      <c r="S1099" s="1201"/>
      <c r="T1099" s="1201"/>
    </row>
    <row r="1100" spans="12:20">
      <c r="L1100" s="1179"/>
      <c r="M1100" s="1183"/>
      <c r="N1100" s="1183"/>
      <c r="O1100" s="1183"/>
      <c r="P1100" s="1201"/>
      <c r="Q1100" s="1201"/>
      <c r="R1100" s="1201"/>
      <c r="S1100" s="1201"/>
      <c r="T1100" s="1201"/>
    </row>
    <row r="1101" spans="12:20">
      <c r="L1101" s="1179"/>
      <c r="M1101" s="1183"/>
      <c r="N1101" s="1183"/>
      <c r="O1101" s="1183"/>
      <c r="P1101" s="1201"/>
      <c r="Q1101" s="1201"/>
      <c r="R1101" s="1201"/>
      <c r="S1101" s="1201"/>
      <c r="T1101" s="1201"/>
    </row>
    <row r="1102" spans="12:20">
      <c r="L1102" s="1179"/>
      <c r="M1102" s="1183"/>
      <c r="N1102" s="1183"/>
      <c r="O1102" s="1183"/>
      <c r="P1102" s="1201"/>
      <c r="Q1102" s="1201"/>
      <c r="R1102" s="1201"/>
      <c r="S1102" s="1201"/>
      <c r="T1102" s="1201"/>
    </row>
    <row r="1103" spans="12:20">
      <c r="L1103" s="1179"/>
      <c r="M1103" s="1183"/>
      <c r="N1103" s="1183"/>
      <c r="O1103" s="1183"/>
      <c r="P1103" s="1201"/>
      <c r="Q1103" s="1201"/>
      <c r="R1103" s="1201"/>
      <c r="S1103" s="1201"/>
      <c r="T1103" s="1201"/>
    </row>
    <row r="1104" spans="12:20">
      <c r="L1104" s="1179"/>
      <c r="M1104" s="1183"/>
      <c r="N1104" s="1183"/>
      <c r="O1104" s="1183"/>
      <c r="P1104" s="1201"/>
      <c r="Q1104" s="1201"/>
      <c r="R1104" s="1201"/>
      <c r="S1104" s="1201"/>
      <c r="T1104" s="1201"/>
    </row>
    <row r="1105" spans="12:20">
      <c r="L1105" s="1179"/>
      <c r="M1105" s="1183"/>
      <c r="N1105" s="1183"/>
      <c r="O1105" s="1183"/>
      <c r="P1105" s="1201"/>
      <c r="Q1105" s="1201"/>
      <c r="R1105" s="1201"/>
      <c r="S1105" s="1201"/>
      <c r="T1105" s="1201"/>
    </row>
    <row r="1106" spans="12:20">
      <c r="L1106" s="1179"/>
      <c r="M1106" s="1183"/>
      <c r="N1106" s="1183"/>
      <c r="O1106" s="1183"/>
      <c r="P1106" s="1201"/>
      <c r="Q1106" s="1201"/>
      <c r="R1106" s="1201"/>
      <c r="S1106" s="1201"/>
      <c r="T1106" s="1201"/>
    </row>
    <row r="1107" spans="12:20">
      <c r="L1107" s="1179"/>
      <c r="M1107" s="1183"/>
      <c r="N1107" s="1183"/>
      <c r="O1107" s="1183"/>
      <c r="P1107" s="1201"/>
      <c r="Q1107" s="1201"/>
      <c r="R1107" s="1201"/>
      <c r="S1107" s="1201"/>
      <c r="T1107" s="1201"/>
    </row>
    <row r="1108" spans="12:20">
      <c r="L1108" s="1179"/>
      <c r="M1108" s="1183"/>
      <c r="N1108" s="1183"/>
      <c r="O1108" s="1183"/>
      <c r="P1108" s="1201"/>
      <c r="Q1108" s="1201"/>
      <c r="R1108" s="1201"/>
      <c r="S1108" s="1201"/>
      <c r="T1108" s="1201"/>
    </row>
    <row r="1109" spans="12:20">
      <c r="L1109" s="1179"/>
      <c r="M1109" s="1183"/>
      <c r="N1109" s="1183"/>
      <c r="O1109" s="1183"/>
      <c r="P1109" s="1201"/>
      <c r="Q1109" s="1201"/>
      <c r="R1109" s="1201"/>
      <c r="S1109" s="1201"/>
      <c r="T1109" s="1201"/>
    </row>
    <row r="1110" spans="12:20">
      <c r="L1110" s="1179"/>
      <c r="M1110" s="1183"/>
      <c r="N1110" s="1183"/>
      <c r="O1110" s="1183"/>
      <c r="P1110" s="1201"/>
      <c r="Q1110" s="1201"/>
      <c r="R1110" s="1201"/>
      <c r="S1110" s="1201"/>
      <c r="T1110" s="1201"/>
    </row>
    <row r="1111" spans="12:20">
      <c r="L1111" s="1179"/>
      <c r="M1111" s="1183"/>
      <c r="N1111" s="1183"/>
      <c r="O1111" s="1183"/>
      <c r="P1111" s="1201"/>
      <c r="Q1111" s="1201"/>
      <c r="R1111" s="1201"/>
      <c r="S1111" s="1201"/>
      <c r="T1111" s="1201"/>
    </row>
    <row r="1112" spans="12:20">
      <c r="L1112" s="1179"/>
      <c r="M1112" s="1183"/>
      <c r="N1112" s="1183"/>
      <c r="O1112" s="1183"/>
      <c r="P1112" s="1201"/>
      <c r="Q1112" s="1201"/>
      <c r="R1112" s="1201"/>
      <c r="S1112" s="1201"/>
      <c r="T1112" s="1201"/>
    </row>
    <row r="1113" spans="12:20">
      <c r="L1113" s="1179"/>
      <c r="M1113" s="1183"/>
      <c r="N1113" s="1183"/>
      <c r="O1113" s="1183"/>
      <c r="P1113" s="1201"/>
      <c r="Q1113" s="1201"/>
      <c r="R1113" s="1201"/>
      <c r="S1113" s="1201"/>
      <c r="T1113" s="1201"/>
    </row>
    <row r="1114" spans="12:20">
      <c r="L1114" s="1179"/>
      <c r="M1114" s="1183"/>
      <c r="N1114" s="1183"/>
      <c r="O1114" s="1183"/>
      <c r="P1114" s="1201"/>
      <c r="Q1114" s="1201"/>
      <c r="R1114" s="1201"/>
      <c r="S1114" s="1201"/>
      <c r="T1114" s="1201"/>
    </row>
    <row r="1115" spans="12:20">
      <c r="L1115" s="1179"/>
      <c r="M1115" s="1183"/>
      <c r="N1115" s="1183"/>
      <c r="O1115" s="1183"/>
      <c r="P1115" s="1201"/>
      <c r="Q1115" s="1201"/>
      <c r="R1115" s="1201"/>
      <c r="S1115" s="1201"/>
      <c r="T1115" s="1201"/>
    </row>
    <row r="1116" spans="12:20">
      <c r="L1116" s="1179"/>
      <c r="M1116" s="1183"/>
      <c r="N1116" s="1183"/>
      <c r="O1116" s="1183"/>
      <c r="P1116" s="1201"/>
      <c r="Q1116" s="1201"/>
      <c r="R1116" s="1201"/>
      <c r="S1116" s="1201"/>
      <c r="T1116" s="1201"/>
    </row>
    <row r="1117" spans="12:20">
      <c r="L1117" s="1179"/>
      <c r="M1117" s="1183"/>
      <c r="N1117" s="1183"/>
      <c r="O1117" s="1183"/>
      <c r="P1117" s="1201"/>
      <c r="Q1117" s="1201"/>
      <c r="R1117" s="1201"/>
      <c r="S1117" s="1201"/>
      <c r="T1117" s="1201"/>
    </row>
    <row r="1118" spans="12:20">
      <c r="L1118" s="1179"/>
      <c r="M1118" s="1183"/>
      <c r="N1118" s="1183"/>
      <c r="O1118" s="1183"/>
      <c r="P1118" s="1201"/>
      <c r="Q1118" s="1201"/>
      <c r="R1118" s="1201"/>
      <c r="S1118" s="1201"/>
      <c r="T1118" s="1201"/>
    </row>
    <row r="1119" spans="12:20">
      <c r="L1119" s="1179"/>
      <c r="M1119" s="1183"/>
      <c r="N1119" s="1183"/>
      <c r="O1119" s="1183"/>
      <c r="P1119" s="1201"/>
      <c r="Q1119" s="1201"/>
      <c r="R1119" s="1201"/>
      <c r="S1119" s="1201"/>
      <c r="T1119" s="1201"/>
    </row>
    <row r="1120" spans="12:20">
      <c r="L1120" s="1179"/>
      <c r="M1120" s="1183"/>
      <c r="N1120" s="1183"/>
      <c r="O1120" s="1183"/>
      <c r="P1120" s="1201"/>
      <c r="Q1120" s="1201"/>
      <c r="R1120" s="1201"/>
      <c r="S1120" s="1201"/>
      <c r="T1120" s="1201"/>
    </row>
    <row r="1121" spans="12:20">
      <c r="L1121" s="1179"/>
      <c r="M1121" s="1183"/>
      <c r="N1121" s="1183"/>
      <c r="O1121" s="1183"/>
      <c r="P1121" s="1201"/>
      <c r="Q1121" s="1201"/>
      <c r="R1121" s="1201"/>
      <c r="S1121" s="1201"/>
      <c r="T1121" s="1201"/>
    </row>
    <row r="1122" spans="12:20">
      <c r="L1122" s="1179"/>
      <c r="M1122" s="1183"/>
      <c r="N1122" s="1183"/>
      <c r="O1122" s="1183"/>
      <c r="P1122" s="1201"/>
      <c r="Q1122" s="1201"/>
      <c r="R1122" s="1201"/>
      <c r="S1122" s="1201"/>
      <c r="T1122" s="1201"/>
    </row>
    <row r="1123" spans="12:20">
      <c r="L1123" s="1179"/>
      <c r="M1123" s="1183"/>
      <c r="N1123" s="1183"/>
      <c r="O1123" s="1183"/>
      <c r="P1123" s="1201"/>
      <c r="Q1123" s="1201"/>
      <c r="R1123" s="1201"/>
      <c r="S1123" s="1201"/>
      <c r="T1123" s="1201"/>
    </row>
    <row r="1124" spans="12:20">
      <c r="L1124" s="1179"/>
      <c r="M1124" s="1183"/>
      <c r="N1124" s="1183"/>
      <c r="O1124" s="1183"/>
      <c r="P1124" s="1201"/>
      <c r="Q1124" s="1201"/>
      <c r="R1124" s="1201"/>
      <c r="S1124" s="1201"/>
      <c r="T1124" s="1201"/>
    </row>
    <row r="1125" spans="12:20">
      <c r="L1125" s="1179"/>
      <c r="M1125" s="1183"/>
      <c r="N1125" s="1183"/>
      <c r="O1125" s="1183"/>
      <c r="P1125" s="1201"/>
      <c r="Q1125" s="1201"/>
      <c r="R1125" s="1201"/>
      <c r="S1125" s="1201"/>
      <c r="T1125" s="1201"/>
    </row>
    <row r="1126" spans="12:20">
      <c r="L1126" s="1179"/>
      <c r="M1126" s="1183"/>
      <c r="N1126" s="1183"/>
      <c r="O1126" s="1183"/>
      <c r="P1126" s="1201"/>
      <c r="Q1126" s="1201"/>
      <c r="R1126" s="1201"/>
      <c r="S1126" s="1201"/>
      <c r="T1126" s="1201"/>
    </row>
    <row r="1127" spans="12:20">
      <c r="L1127" s="1179"/>
      <c r="M1127" s="1183"/>
      <c r="N1127" s="1183"/>
      <c r="O1127" s="1183"/>
      <c r="P1127" s="1201"/>
      <c r="Q1127" s="1201"/>
      <c r="R1127" s="1201"/>
      <c r="S1127" s="1201"/>
      <c r="T1127" s="1201"/>
    </row>
    <row r="1128" spans="12:20">
      <c r="L1128" s="1179"/>
      <c r="M1128" s="1183"/>
      <c r="N1128" s="1183"/>
      <c r="O1128" s="1183"/>
      <c r="P1128" s="1201"/>
      <c r="Q1128" s="1201"/>
      <c r="R1128" s="1201"/>
      <c r="S1128" s="1201"/>
      <c r="T1128" s="1201"/>
    </row>
    <row r="1129" spans="12:20">
      <c r="L1129" s="1179"/>
      <c r="M1129" s="1183"/>
      <c r="N1129" s="1183"/>
      <c r="O1129" s="1183"/>
      <c r="P1129" s="1201"/>
      <c r="Q1129" s="1201"/>
      <c r="R1129" s="1201"/>
      <c r="S1129" s="1201"/>
      <c r="T1129" s="1201"/>
    </row>
    <row r="1130" spans="12:20">
      <c r="L1130" s="1179"/>
      <c r="M1130" s="1183"/>
      <c r="N1130" s="1183"/>
      <c r="O1130" s="1183"/>
      <c r="P1130" s="1201"/>
      <c r="Q1130" s="1201"/>
      <c r="R1130" s="1201"/>
      <c r="S1130" s="1201"/>
      <c r="T1130" s="1201"/>
    </row>
    <row r="1131" spans="12:20">
      <c r="L1131" s="1179"/>
      <c r="M1131" s="1183"/>
      <c r="N1131" s="1183"/>
      <c r="O1131" s="1183"/>
      <c r="P1131" s="1201"/>
      <c r="Q1131" s="1201"/>
      <c r="R1131" s="1201"/>
      <c r="S1131" s="1201"/>
      <c r="T1131" s="1201"/>
    </row>
    <row r="1132" spans="12:20">
      <c r="L1132" s="1179"/>
      <c r="M1132" s="1183"/>
      <c r="N1132" s="1183"/>
      <c r="O1132" s="1183"/>
      <c r="P1132" s="1201"/>
      <c r="Q1132" s="1201"/>
      <c r="R1132" s="1201"/>
      <c r="S1132" s="1201"/>
      <c r="T1132" s="1201"/>
    </row>
    <row r="1133" spans="12:20">
      <c r="L1133" s="1179"/>
      <c r="M1133" s="1183"/>
      <c r="N1133" s="1183"/>
      <c r="O1133" s="1183"/>
      <c r="P1133" s="1201"/>
      <c r="Q1133" s="1201"/>
      <c r="R1133" s="1201"/>
      <c r="S1133" s="1201"/>
      <c r="T1133" s="1201"/>
    </row>
    <row r="1134" spans="12:20">
      <c r="L1134" s="1179"/>
      <c r="M1134" s="1183"/>
      <c r="N1134" s="1183"/>
      <c r="O1134" s="1183"/>
      <c r="P1134" s="1201"/>
      <c r="Q1134" s="1201"/>
      <c r="R1134" s="1201"/>
      <c r="S1134" s="1201"/>
      <c r="T1134" s="1201"/>
    </row>
    <row r="1135" spans="12:20">
      <c r="L1135" s="1179"/>
      <c r="M1135" s="1183"/>
      <c r="N1135" s="1183"/>
      <c r="O1135" s="1183"/>
      <c r="P1135" s="1201"/>
      <c r="Q1135" s="1201"/>
      <c r="R1135" s="1201"/>
      <c r="S1135" s="1201"/>
      <c r="T1135" s="1201"/>
    </row>
    <row r="1136" spans="12:20">
      <c r="L1136" s="1179"/>
      <c r="M1136" s="1183"/>
      <c r="N1136" s="1183"/>
      <c r="O1136" s="1183"/>
      <c r="P1136" s="1201"/>
      <c r="Q1136" s="1201"/>
      <c r="R1136" s="1201"/>
      <c r="S1136" s="1201"/>
      <c r="T1136" s="1201"/>
    </row>
    <row r="1137" spans="12:20">
      <c r="L1137" s="1179"/>
      <c r="M1137" s="1183"/>
      <c r="N1137" s="1183"/>
      <c r="O1137" s="1183"/>
      <c r="P1137" s="1201"/>
      <c r="Q1137" s="1201"/>
      <c r="R1137" s="1201"/>
      <c r="S1137" s="1201"/>
      <c r="T1137" s="1201"/>
    </row>
    <row r="1138" spans="12:20">
      <c r="L1138" s="1179"/>
      <c r="M1138" s="1183"/>
      <c r="N1138" s="1183"/>
      <c r="O1138" s="1183"/>
      <c r="P1138" s="1201"/>
      <c r="Q1138" s="1201"/>
      <c r="R1138" s="1201"/>
      <c r="S1138" s="1201"/>
      <c r="T1138" s="1201"/>
    </row>
    <row r="1139" spans="12:20">
      <c r="L1139" s="1179"/>
      <c r="M1139" s="1183"/>
      <c r="N1139" s="1183"/>
      <c r="O1139" s="1183"/>
      <c r="P1139" s="1201"/>
      <c r="Q1139" s="1201"/>
      <c r="R1139" s="1201"/>
      <c r="S1139" s="1201"/>
      <c r="T1139" s="1201"/>
    </row>
    <row r="1140" spans="12:20">
      <c r="L1140" s="1179"/>
      <c r="M1140" s="1183"/>
      <c r="N1140" s="1183"/>
      <c r="O1140" s="1183"/>
      <c r="P1140" s="1201"/>
      <c r="Q1140" s="1201"/>
      <c r="R1140" s="1201"/>
      <c r="S1140" s="1201"/>
      <c r="T1140" s="1201"/>
    </row>
    <row r="1141" spans="12:20">
      <c r="L1141" s="1179"/>
      <c r="M1141" s="1183"/>
      <c r="N1141" s="1183"/>
      <c r="O1141" s="1183"/>
      <c r="P1141" s="1201"/>
      <c r="Q1141" s="1201"/>
      <c r="R1141" s="1201"/>
      <c r="S1141" s="1201"/>
      <c r="T1141" s="1201"/>
    </row>
    <row r="1142" spans="12:20">
      <c r="L1142" s="1179"/>
      <c r="M1142" s="1183"/>
      <c r="N1142" s="1183"/>
      <c r="O1142" s="1183"/>
      <c r="P1142" s="1201"/>
      <c r="Q1142" s="1201"/>
      <c r="R1142" s="1201"/>
      <c r="S1142" s="1201"/>
      <c r="T1142" s="1201"/>
    </row>
    <row r="1143" spans="12:20">
      <c r="L1143" s="1179"/>
      <c r="M1143" s="1183"/>
      <c r="N1143" s="1183"/>
      <c r="O1143" s="1183"/>
      <c r="P1143" s="1201"/>
      <c r="Q1143" s="1201"/>
      <c r="R1143" s="1201"/>
      <c r="S1143" s="1201"/>
      <c r="T1143" s="1201"/>
    </row>
    <row r="1144" spans="12:20">
      <c r="L1144" s="1179"/>
      <c r="M1144" s="1183"/>
      <c r="N1144" s="1183"/>
      <c r="O1144" s="1183"/>
      <c r="P1144" s="1201"/>
      <c r="Q1144" s="1201"/>
      <c r="R1144" s="1201"/>
      <c r="S1144" s="1201"/>
      <c r="T1144" s="1201"/>
    </row>
    <row r="1145" spans="12:20">
      <c r="L1145" s="1179"/>
      <c r="M1145" s="1183"/>
      <c r="N1145" s="1183"/>
      <c r="O1145" s="1183"/>
      <c r="P1145" s="1201"/>
      <c r="Q1145" s="1201"/>
      <c r="R1145" s="1201"/>
      <c r="S1145" s="1201"/>
      <c r="T1145" s="1201"/>
    </row>
    <row r="1146" spans="12:20">
      <c r="L1146" s="1179"/>
      <c r="M1146" s="1183"/>
      <c r="N1146" s="1183"/>
      <c r="O1146" s="1183"/>
      <c r="P1146" s="1201"/>
      <c r="Q1146" s="1201"/>
      <c r="R1146" s="1201"/>
      <c r="S1146" s="1201"/>
      <c r="T1146" s="1201"/>
    </row>
    <row r="1147" spans="12:20">
      <c r="L1147" s="1179"/>
      <c r="M1147" s="1183"/>
      <c r="N1147" s="1183"/>
      <c r="O1147" s="1183"/>
      <c r="P1147" s="1201"/>
      <c r="Q1147" s="1201"/>
      <c r="R1147" s="1201"/>
      <c r="S1147" s="1201"/>
      <c r="T1147" s="1201"/>
    </row>
    <row r="1148" spans="12:20">
      <c r="L1148" s="1179"/>
      <c r="M1148" s="1183"/>
      <c r="N1148" s="1183"/>
      <c r="O1148" s="1183"/>
      <c r="P1148" s="1201"/>
      <c r="Q1148" s="1201"/>
      <c r="R1148" s="1201"/>
      <c r="S1148" s="1201"/>
      <c r="T1148" s="1201"/>
    </row>
    <row r="1149" spans="12:20">
      <c r="L1149" s="1179"/>
      <c r="M1149" s="1183"/>
      <c r="N1149" s="1183"/>
      <c r="O1149" s="1183"/>
      <c r="P1149" s="1201"/>
      <c r="Q1149" s="1201"/>
      <c r="R1149" s="1201"/>
      <c r="S1149" s="1201"/>
      <c r="T1149" s="1201"/>
    </row>
    <row r="1150" spans="12:20">
      <c r="L1150" s="1179"/>
      <c r="M1150" s="1183"/>
      <c r="N1150" s="1183"/>
      <c r="O1150" s="1183"/>
      <c r="P1150" s="1201"/>
      <c r="Q1150" s="1201"/>
      <c r="R1150" s="1201"/>
      <c r="S1150" s="1201"/>
      <c r="T1150" s="1201"/>
    </row>
    <row r="1151" spans="12:20">
      <c r="L1151" s="1179"/>
      <c r="M1151" s="1183"/>
      <c r="N1151" s="1183"/>
      <c r="O1151" s="1183"/>
      <c r="P1151" s="1201"/>
      <c r="Q1151" s="1201"/>
      <c r="R1151" s="1201"/>
      <c r="S1151" s="1201"/>
      <c r="T1151" s="1201"/>
    </row>
    <row r="1152" spans="12:20">
      <c r="L1152" s="1179"/>
      <c r="M1152" s="1183"/>
      <c r="N1152" s="1183"/>
      <c r="O1152" s="1183"/>
      <c r="P1152" s="1201"/>
      <c r="Q1152" s="1201"/>
      <c r="R1152" s="1201"/>
      <c r="S1152" s="1201"/>
      <c r="T1152" s="1201"/>
    </row>
    <row r="1153" spans="12:20">
      <c r="L1153" s="1179"/>
      <c r="M1153" s="1183"/>
      <c r="N1153" s="1183"/>
      <c r="O1153" s="1183"/>
      <c r="P1153" s="1201"/>
      <c r="Q1153" s="1201"/>
      <c r="R1153" s="1201"/>
      <c r="S1153" s="1201"/>
      <c r="T1153" s="1201"/>
    </row>
    <row r="1154" spans="12:20">
      <c r="L1154" s="1179"/>
      <c r="M1154" s="1183"/>
      <c r="N1154" s="1183"/>
      <c r="O1154" s="1183"/>
      <c r="P1154" s="1201"/>
      <c r="Q1154" s="1201"/>
      <c r="R1154" s="1201"/>
      <c r="S1154" s="1201"/>
      <c r="T1154" s="1201"/>
    </row>
    <row r="1155" spans="12:20">
      <c r="L1155" s="1179"/>
      <c r="M1155" s="1183"/>
      <c r="N1155" s="1183"/>
      <c r="O1155" s="1183"/>
      <c r="P1155" s="1201"/>
      <c r="Q1155" s="1201"/>
      <c r="R1155" s="1201"/>
      <c r="S1155" s="1201"/>
      <c r="T1155" s="1201"/>
    </row>
    <row r="1156" spans="12:20">
      <c r="L1156" s="1179"/>
      <c r="M1156" s="1183"/>
      <c r="N1156" s="1183"/>
      <c r="O1156" s="1183"/>
      <c r="P1156" s="1201"/>
      <c r="Q1156" s="1201"/>
      <c r="R1156" s="1201"/>
      <c r="S1156" s="1201"/>
      <c r="T1156" s="1201"/>
    </row>
    <row r="1157" spans="12:20">
      <c r="L1157" s="1179"/>
      <c r="M1157" s="1183"/>
      <c r="N1157" s="1183"/>
      <c r="O1157" s="1183"/>
      <c r="P1157" s="1201"/>
      <c r="Q1157" s="1201"/>
      <c r="R1157" s="1201"/>
      <c r="S1157" s="1201"/>
      <c r="T1157" s="1201"/>
    </row>
    <row r="1158" spans="12:20">
      <c r="L1158" s="1179"/>
      <c r="M1158" s="1183"/>
      <c r="N1158" s="1183"/>
      <c r="O1158" s="1183"/>
      <c r="P1158" s="1201"/>
      <c r="Q1158" s="1201"/>
      <c r="R1158" s="1201"/>
      <c r="S1158" s="1201"/>
      <c r="T1158" s="1201"/>
    </row>
    <row r="1159" spans="12:20">
      <c r="L1159" s="1179"/>
      <c r="M1159" s="1183"/>
      <c r="N1159" s="1183"/>
      <c r="O1159" s="1183"/>
      <c r="P1159" s="1201"/>
      <c r="Q1159" s="1201"/>
      <c r="R1159" s="1201"/>
      <c r="S1159" s="1201"/>
      <c r="T1159" s="1201"/>
    </row>
    <row r="1160" spans="12:20">
      <c r="L1160" s="1179"/>
      <c r="M1160" s="1183"/>
      <c r="N1160" s="1183"/>
      <c r="O1160" s="1183"/>
      <c r="P1160" s="1201"/>
      <c r="Q1160" s="1201"/>
      <c r="R1160" s="1201"/>
      <c r="S1160" s="1201"/>
      <c r="T1160" s="1201"/>
    </row>
    <row r="1161" spans="12:20">
      <c r="L1161" s="1179"/>
      <c r="M1161" s="1183"/>
      <c r="N1161" s="1183"/>
      <c r="O1161" s="1183"/>
      <c r="P1161" s="1201"/>
      <c r="Q1161" s="1201"/>
      <c r="R1161" s="1201"/>
      <c r="S1161" s="1201"/>
      <c r="T1161" s="1201"/>
    </row>
    <row r="1162" spans="12:20">
      <c r="L1162" s="1179"/>
      <c r="M1162" s="1183"/>
      <c r="N1162" s="1183"/>
      <c r="O1162" s="1183"/>
      <c r="P1162" s="1201"/>
      <c r="Q1162" s="1201"/>
      <c r="R1162" s="1201"/>
      <c r="S1162" s="1201"/>
      <c r="T1162" s="1201"/>
    </row>
    <row r="1163" spans="12:20">
      <c r="L1163" s="1179"/>
      <c r="M1163" s="1183"/>
      <c r="N1163" s="1183"/>
      <c r="O1163" s="1183"/>
      <c r="P1163" s="1201"/>
      <c r="Q1163" s="1201"/>
      <c r="R1163" s="1201"/>
      <c r="S1163" s="1201"/>
      <c r="T1163" s="1201"/>
    </row>
    <row r="1164" spans="12:20">
      <c r="L1164" s="1179"/>
      <c r="M1164" s="1183"/>
      <c r="N1164" s="1183"/>
      <c r="O1164" s="1183"/>
      <c r="P1164" s="1201"/>
      <c r="Q1164" s="1201"/>
      <c r="R1164" s="1201"/>
      <c r="S1164" s="1201"/>
      <c r="T1164" s="1201"/>
    </row>
    <row r="1165" spans="12:20">
      <c r="L1165" s="1179"/>
      <c r="M1165" s="1183"/>
      <c r="N1165" s="1183"/>
      <c r="O1165" s="1183"/>
      <c r="P1165" s="1201"/>
      <c r="Q1165" s="1201"/>
      <c r="R1165" s="1201"/>
      <c r="S1165" s="1201"/>
      <c r="T1165" s="1201"/>
    </row>
    <row r="1166" spans="12:20">
      <c r="L1166" s="1179"/>
      <c r="M1166" s="1183"/>
      <c r="N1166" s="1183"/>
      <c r="O1166" s="1183"/>
      <c r="P1166" s="1201"/>
      <c r="Q1166" s="1201"/>
      <c r="R1166" s="1201"/>
      <c r="S1166" s="1201"/>
      <c r="T1166" s="1201"/>
    </row>
    <row r="1167" spans="12:20">
      <c r="L1167" s="1179"/>
      <c r="M1167" s="1183"/>
      <c r="N1167" s="1183"/>
      <c r="O1167" s="1183"/>
      <c r="P1167" s="1201"/>
      <c r="Q1167" s="1201"/>
      <c r="R1167" s="1201"/>
      <c r="S1167" s="1201"/>
      <c r="T1167" s="1201"/>
    </row>
    <row r="1168" spans="12:20">
      <c r="L1168" s="1179"/>
      <c r="M1168" s="1183"/>
      <c r="N1168" s="1183"/>
      <c r="O1168" s="1183"/>
      <c r="P1168" s="1201"/>
      <c r="Q1168" s="1201"/>
      <c r="R1168" s="1201"/>
      <c r="S1168" s="1201"/>
      <c r="T1168" s="1201"/>
    </row>
    <row r="1169" spans="12:20">
      <c r="L1169" s="1179"/>
      <c r="M1169" s="1183"/>
      <c r="N1169" s="1183"/>
      <c r="O1169" s="1183"/>
      <c r="P1169" s="1201"/>
      <c r="Q1169" s="1201"/>
      <c r="R1169" s="1201"/>
      <c r="S1169" s="1201"/>
      <c r="T1169" s="1201"/>
    </row>
    <row r="1170" spans="12:20">
      <c r="L1170" s="1179"/>
      <c r="M1170" s="1183"/>
      <c r="N1170" s="1183"/>
      <c r="O1170" s="1183"/>
      <c r="P1170" s="1201"/>
      <c r="Q1170" s="1201"/>
      <c r="R1170" s="1201"/>
      <c r="S1170" s="1201"/>
      <c r="T1170" s="1201"/>
    </row>
    <row r="1171" spans="12:20">
      <c r="L1171" s="1179"/>
      <c r="M1171" s="1183"/>
      <c r="N1171" s="1183"/>
      <c r="O1171" s="1183"/>
      <c r="P1171" s="1201"/>
      <c r="Q1171" s="1201"/>
      <c r="R1171" s="1201"/>
      <c r="S1171" s="1201"/>
      <c r="T1171" s="1201"/>
    </row>
    <row r="1172" spans="12:20">
      <c r="L1172" s="1179"/>
      <c r="M1172" s="1183"/>
      <c r="N1172" s="1183"/>
      <c r="O1172" s="1183"/>
      <c r="P1172" s="1201"/>
      <c r="Q1172" s="1201"/>
      <c r="R1172" s="1201"/>
      <c r="S1172" s="1201"/>
      <c r="T1172" s="1201"/>
    </row>
    <row r="1173" spans="12:20">
      <c r="L1173" s="1179"/>
      <c r="M1173" s="1183"/>
      <c r="N1173" s="1183"/>
      <c r="O1173" s="1183"/>
      <c r="P1173" s="1201"/>
      <c r="Q1173" s="1201"/>
      <c r="R1173" s="1201"/>
      <c r="S1173" s="1201"/>
      <c r="T1173" s="1201"/>
    </row>
    <row r="1174" spans="12:20">
      <c r="L1174" s="1179"/>
      <c r="M1174" s="1183"/>
      <c r="N1174" s="1183"/>
      <c r="O1174" s="1183"/>
      <c r="P1174" s="1201"/>
      <c r="Q1174" s="1201"/>
      <c r="R1174" s="1201"/>
      <c r="S1174" s="1201"/>
      <c r="T1174" s="1201"/>
    </row>
    <row r="1175" spans="12:20">
      <c r="L1175" s="1179"/>
      <c r="M1175" s="1183"/>
      <c r="N1175" s="1183"/>
      <c r="O1175" s="1183"/>
      <c r="P1175" s="1201"/>
      <c r="Q1175" s="1201"/>
      <c r="R1175" s="1201"/>
      <c r="S1175" s="1201"/>
      <c r="T1175" s="1201"/>
    </row>
    <row r="1176" spans="12:20">
      <c r="L1176" s="1179"/>
      <c r="M1176" s="1183"/>
      <c r="N1176" s="1183"/>
      <c r="O1176" s="1183"/>
      <c r="P1176" s="1201"/>
      <c r="Q1176" s="1201"/>
      <c r="R1176" s="1201"/>
      <c r="S1176" s="1201"/>
      <c r="T1176" s="1201"/>
    </row>
    <row r="1177" spans="12:20">
      <c r="L1177" s="1179"/>
      <c r="M1177" s="1183"/>
      <c r="N1177" s="1183"/>
      <c r="O1177" s="1183"/>
      <c r="P1177" s="1201"/>
      <c r="Q1177" s="1201"/>
      <c r="R1177" s="1201"/>
      <c r="S1177" s="1201"/>
      <c r="T1177" s="1201"/>
    </row>
    <row r="1178" spans="12:20">
      <c r="L1178" s="1179"/>
      <c r="M1178" s="1183"/>
      <c r="N1178" s="1183"/>
      <c r="O1178" s="1183"/>
      <c r="P1178" s="1201"/>
      <c r="Q1178" s="1201"/>
      <c r="R1178" s="1201"/>
      <c r="S1178" s="1201"/>
      <c r="T1178" s="1201"/>
    </row>
    <row r="1179" spans="12:20">
      <c r="L1179" s="1179"/>
      <c r="M1179" s="1183"/>
      <c r="N1179" s="1183"/>
      <c r="O1179" s="1183"/>
      <c r="P1179" s="1201"/>
      <c r="Q1179" s="1201"/>
      <c r="R1179" s="1201"/>
      <c r="S1179" s="1201"/>
      <c r="T1179" s="1201"/>
    </row>
    <row r="1180" spans="12:20">
      <c r="L1180" s="1179"/>
      <c r="M1180" s="1183"/>
      <c r="N1180" s="1183"/>
      <c r="O1180" s="1183"/>
      <c r="P1180" s="1201"/>
      <c r="Q1180" s="1201"/>
      <c r="R1180" s="1201"/>
      <c r="S1180" s="1201"/>
      <c r="T1180" s="1201"/>
    </row>
    <row r="1181" spans="12:20">
      <c r="L1181" s="1179"/>
      <c r="M1181" s="1183"/>
      <c r="N1181" s="1183"/>
      <c r="O1181" s="1183"/>
      <c r="P1181" s="1201"/>
      <c r="Q1181" s="1201"/>
      <c r="R1181" s="1201"/>
      <c r="S1181" s="1201"/>
      <c r="T1181" s="1201"/>
    </row>
    <row r="1182" spans="12:20">
      <c r="L1182" s="1179"/>
      <c r="M1182" s="1183"/>
      <c r="N1182" s="1183"/>
      <c r="O1182" s="1183"/>
      <c r="P1182" s="1201"/>
      <c r="Q1182" s="1201"/>
      <c r="R1182" s="1201"/>
      <c r="S1182" s="1201"/>
      <c r="T1182" s="1201"/>
    </row>
    <row r="1183" spans="12:20">
      <c r="L1183" s="1179"/>
      <c r="M1183" s="1183"/>
      <c r="N1183" s="1183"/>
      <c r="O1183" s="1183"/>
      <c r="P1183" s="1201"/>
      <c r="Q1183" s="1201"/>
      <c r="R1183" s="1201"/>
      <c r="S1183" s="1201"/>
      <c r="T1183" s="1201"/>
    </row>
    <row r="1184" spans="12:20">
      <c r="L1184" s="1179"/>
      <c r="M1184" s="1183"/>
      <c r="N1184" s="1183"/>
      <c r="O1184" s="1183"/>
      <c r="P1184" s="1201"/>
      <c r="Q1184" s="1201"/>
      <c r="R1184" s="1201"/>
      <c r="S1184" s="1201"/>
      <c r="T1184" s="1201"/>
    </row>
    <row r="1185" spans="12:20">
      <c r="L1185" s="1179"/>
      <c r="M1185" s="1183"/>
      <c r="N1185" s="1183"/>
      <c r="O1185" s="1183"/>
      <c r="P1185" s="1201"/>
      <c r="Q1185" s="1201"/>
      <c r="R1185" s="1201"/>
      <c r="S1185" s="1201"/>
      <c r="T1185" s="1201"/>
    </row>
    <row r="1186" spans="12:20">
      <c r="L1186" s="1179"/>
      <c r="M1186" s="1183"/>
      <c r="N1186" s="1183"/>
      <c r="O1186" s="1183"/>
      <c r="P1186" s="1201"/>
      <c r="Q1186" s="1201"/>
      <c r="R1186" s="1201"/>
      <c r="S1186" s="1201"/>
      <c r="T1186" s="1201"/>
    </row>
    <row r="1187" spans="12:20">
      <c r="L1187" s="1179"/>
      <c r="M1187" s="1183"/>
      <c r="N1187" s="1183"/>
      <c r="O1187" s="1183"/>
      <c r="P1187" s="1201"/>
      <c r="Q1187" s="1201"/>
      <c r="R1187" s="1201"/>
      <c r="S1187" s="1201"/>
      <c r="T1187" s="1201"/>
    </row>
    <row r="1188" spans="12:20">
      <c r="L1188" s="1179"/>
      <c r="M1188" s="1183"/>
      <c r="N1188" s="1183"/>
      <c r="O1188" s="1183"/>
      <c r="P1188" s="1201"/>
      <c r="Q1188" s="1201"/>
      <c r="R1188" s="1201"/>
      <c r="S1188" s="1201"/>
      <c r="T1188" s="1201"/>
    </row>
    <row r="1189" spans="12:20">
      <c r="L1189" s="1179"/>
      <c r="M1189" s="1183"/>
      <c r="N1189" s="1183"/>
      <c r="O1189" s="1183"/>
      <c r="P1189" s="1201"/>
      <c r="Q1189" s="1201"/>
      <c r="R1189" s="1201"/>
      <c r="S1189" s="1201"/>
      <c r="T1189" s="1201"/>
    </row>
    <row r="1190" spans="12:20">
      <c r="L1190" s="1179"/>
      <c r="M1190" s="1183"/>
      <c r="N1190" s="1183"/>
      <c r="O1190" s="1183"/>
      <c r="P1190" s="1201"/>
      <c r="Q1190" s="1201"/>
      <c r="R1190" s="1201"/>
      <c r="S1190" s="1201"/>
      <c r="T1190" s="1201"/>
    </row>
    <row r="1191" spans="12:20">
      <c r="L1191" s="1179"/>
      <c r="M1191" s="1183"/>
      <c r="N1191" s="1183"/>
      <c r="O1191" s="1183"/>
      <c r="P1191" s="1201"/>
      <c r="Q1191" s="1201"/>
      <c r="R1191" s="1201"/>
      <c r="S1191" s="1201"/>
      <c r="T1191" s="1201"/>
    </row>
    <row r="1192" spans="12:20">
      <c r="L1192" s="1179"/>
      <c r="M1192" s="1183"/>
      <c r="N1192" s="1183"/>
      <c r="O1192" s="1183"/>
      <c r="P1192" s="1201"/>
      <c r="Q1192" s="1201"/>
      <c r="R1192" s="1201"/>
      <c r="S1192" s="1201"/>
      <c r="T1192" s="1201"/>
    </row>
    <row r="1193" spans="12:20">
      <c r="L1193" s="1179"/>
      <c r="M1193" s="1183"/>
      <c r="N1193" s="1183"/>
      <c r="O1193" s="1183"/>
      <c r="P1193" s="1201"/>
      <c r="Q1193" s="1201"/>
      <c r="R1193" s="1201"/>
      <c r="S1193" s="1201"/>
      <c r="T1193" s="1201"/>
    </row>
    <row r="1194" spans="12:20">
      <c r="L1194" s="1179"/>
      <c r="M1194" s="1183"/>
      <c r="N1194" s="1183"/>
      <c r="O1194" s="1183"/>
      <c r="P1194" s="1201"/>
      <c r="Q1194" s="1201"/>
      <c r="R1194" s="1201"/>
      <c r="S1194" s="1201"/>
      <c r="T1194" s="1201"/>
    </row>
    <row r="1195" spans="12:20">
      <c r="L1195" s="1179"/>
      <c r="M1195" s="1183"/>
      <c r="N1195" s="1183"/>
      <c r="O1195" s="1183"/>
      <c r="P1195" s="1201"/>
      <c r="Q1195" s="1201"/>
      <c r="R1195" s="1201"/>
      <c r="S1195" s="1201"/>
      <c r="T1195" s="1201"/>
    </row>
    <row r="1196" spans="12:20">
      <c r="L1196" s="1179"/>
      <c r="M1196" s="1183"/>
      <c r="N1196" s="1183"/>
      <c r="O1196" s="1183"/>
      <c r="P1196" s="1201"/>
      <c r="Q1196" s="1201"/>
      <c r="R1196" s="1201"/>
      <c r="S1196" s="1201"/>
      <c r="T1196" s="1201"/>
    </row>
    <row r="1197" spans="12:20">
      <c r="L1197" s="1179"/>
      <c r="M1197" s="1183"/>
      <c r="N1197" s="1183"/>
      <c r="O1197" s="1183"/>
      <c r="P1197" s="1201"/>
      <c r="Q1197" s="1201"/>
      <c r="R1197" s="1201"/>
      <c r="S1197" s="1201"/>
      <c r="T1197" s="1201"/>
    </row>
    <row r="1198" spans="12:20">
      <c r="L1198" s="1179"/>
      <c r="M1198" s="1183"/>
      <c r="N1198" s="1183"/>
      <c r="O1198" s="1183"/>
      <c r="P1198" s="1201"/>
      <c r="Q1198" s="1201"/>
      <c r="R1198" s="1201"/>
      <c r="S1198" s="1201"/>
      <c r="T1198" s="1201"/>
    </row>
    <row r="1199" spans="12:20">
      <c r="L1199" s="1179"/>
      <c r="M1199" s="1183"/>
      <c r="N1199" s="1183"/>
      <c r="O1199" s="1183"/>
      <c r="P1199" s="1201"/>
      <c r="Q1199" s="1201"/>
      <c r="R1199" s="1201"/>
      <c r="S1199" s="1201"/>
      <c r="T1199" s="1201"/>
    </row>
    <row r="1200" spans="12:20">
      <c r="L1200" s="1179"/>
      <c r="M1200" s="1183"/>
      <c r="N1200" s="1183"/>
      <c r="O1200" s="1183"/>
      <c r="P1200" s="1201"/>
      <c r="Q1200" s="1201"/>
      <c r="R1200" s="1201"/>
      <c r="S1200" s="1201"/>
      <c r="T1200" s="1201"/>
    </row>
    <row r="1201" spans="12:20">
      <c r="L1201" s="1179"/>
      <c r="M1201" s="1183"/>
      <c r="N1201" s="1183"/>
      <c r="O1201" s="1183"/>
      <c r="P1201" s="1201"/>
      <c r="Q1201" s="1201"/>
      <c r="R1201" s="1201"/>
      <c r="S1201" s="1201"/>
      <c r="T1201" s="1201"/>
    </row>
    <row r="1202" spans="12:20">
      <c r="L1202" s="1179"/>
      <c r="M1202" s="1183"/>
      <c r="N1202" s="1183"/>
      <c r="O1202" s="1183"/>
      <c r="P1202" s="1201"/>
      <c r="Q1202" s="1201"/>
      <c r="R1202" s="1201"/>
      <c r="S1202" s="1201"/>
      <c r="T1202" s="1201"/>
    </row>
    <row r="1203" spans="12:20">
      <c r="L1203" s="1179"/>
      <c r="M1203" s="1183"/>
      <c r="N1203" s="1183"/>
      <c r="O1203" s="1183"/>
      <c r="P1203" s="1201"/>
      <c r="Q1203" s="1201"/>
      <c r="R1203" s="1201"/>
      <c r="S1203" s="1201"/>
      <c r="T1203" s="1201"/>
    </row>
    <row r="1204" spans="12:20">
      <c r="L1204" s="1179"/>
      <c r="M1204" s="1183"/>
      <c r="N1204" s="1183"/>
      <c r="O1204" s="1183"/>
      <c r="P1204" s="1201"/>
      <c r="Q1204" s="1201"/>
      <c r="R1204" s="1201"/>
      <c r="S1204" s="1201"/>
      <c r="T1204" s="1201"/>
    </row>
    <row r="1205" spans="12:20">
      <c r="L1205" s="1179"/>
      <c r="M1205" s="1183"/>
      <c r="N1205" s="1183"/>
      <c r="O1205" s="1183"/>
      <c r="P1205" s="1201"/>
      <c r="Q1205" s="1201"/>
      <c r="R1205" s="1201"/>
      <c r="S1205" s="1201"/>
      <c r="T1205" s="1201"/>
    </row>
    <row r="1206" spans="12:20">
      <c r="L1206" s="1179"/>
      <c r="M1206" s="1183"/>
      <c r="N1206" s="1183"/>
      <c r="O1206" s="1183"/>
      <c r="P1206" s="1201"/>
      <c r="Q1206" s="1201"/>
      <c r="R1206" s="1201"/>
      <c r="S1206" s="1201"/>
      <c r="T1206" s="1201"/>
    </row>
    <row r="1207" spans="12:20">
      <c r="L1207" s="1179"/>
      <c r="M1207" s="1183"/>
      <c r="N1207" s="1183"/>
      <c r="O1207" s="1183"/>
      <c r="P1207" s="1201"/>
      <c r="Q1207" s="1201"/>
      <c r="R1207" s="1201"/>
      <c r="S1207" s="1201"/>
      <c r="T1207" s="1201"/>
    </row>
    <row r="1208" spans="12:20">
      <c r="L1208" s="1179"/>
      <c r="M1208" s="1183"/>
      <c r="N1208" s="1183"/>
      <c r="O1208" s="1183"/>
      <c r="P1208" s="1201"/>
      <c r="Q1208" s="1201"/>
      <c r="R1208" s="1201"/>
      <c r="S1208" s="1201"/>
      <c r="T1208" s="1201"/>
    </row>
    <row r="1209" spans="12:20">
      <c r="L1209" s="1179"/>
      <c r="M1209" s="1183"/>
      <c r="N1209" s="1183"/>
      <c r="O1209" s="1183"/>
      <c r="P1209" s="1201"/>
      <c r="Q1209" s="1201"/>
      <c r="R1209" s="1201"/>
      <c r="S1209" s="1201"/>
      <c r="T1209" s="1201"/>
    </row>
    <row r="1210" spans="12:20">
      <c r="L1210" s="1179"/>
      <c r="M1210" s="1183"/>
      <c r="N1210" s="1183"/>
      <c r="O1210" s="1183"/>
      <c r="P1210" s="1201"/>
      <c r="Q1210" s="1201"/>
      <c r="R1210" s="1201"/>
      <c r="S1210" s="1201"/>
      <c r="T1210" s="1201"/>
    </row>
    <row r="1211" spans="12:20">
      <c r="L1211" s="1179"/>
      <c r="M1211" s="1183"/>
      <c r="N1211" s="1183"/>
      <c r="O1211" s="1183"/>
      <c r="P1211" s="1201"/>
      <c r="Q1211" s="1201"/>
      <c r="R1211" s="1201"/>
      <c r="S1211" s="1201"/>
      <c r="T1211" s="1201"/>
    </row>
    <row r="1212" spans="12:20">
      <c r="L1212" s="1179"/>
      <c r="M1212" s="1183"/>
      <c r="N1212" s="1183"/>
      <c r="O1212" s="1183"/>
      <c r="P1212" s="1201"/>
      <c r="Q1212" s="1201"/>
      <c r="R1212" s="1201"/>
      <c r="S1212" s="1201"/>
      <c r="T1212" s="1201"/>
    </row>
    <row r="1213" spans="12:20">
      <c r="L1213" s="1179"/>
      <c r="M1213" s="1183"/>
      <c r="N1213" s="1183"/>
      <c r="O1213" s="1183"/>
      <c r="P1213" s="1201"/>
      <c r="Q1213" s="1201"/>
      <c r="R1213" s="1201"/>
      <c r="S1213" s="1201"/>
      <c r="T1213" s="1201"/>
    </row>
    <row r="1214" spans="12:20">
      <c r="L1214" s="1179"/>
      <c r="M1214" s="1183"/>
      <c r="N1214" s="1183"/>
      <c r="O1214" s="1183"/>
      <c r="P1214" s="1201"/>
      <c r="Q1214" s="1201"/>
      <c r="R1214" s="1201"/>
      <c r="S1214" s="1201"/>
      <c r="T1214" s="1201"/>
    </row>
    <row r="1215" spans="12:20">
      <c r="L1215" s="1179"/>
      <c r="M1215" s="1183"/>
      <c r="N1215" s="1183"/>
      <c r="O1215" s="1183"/>
      <c r="P1215" s="1201"/>
      <c r="Q1215" s="1201"/>
      <c r="R1215" s="1201"/>
      <c r="S1215" s="1201"/>
      <c r="T1215" s="1201"/>
    </row>
    <row r="1216" spans="12:20">
      <c r="L1216" s="1179"/>
      <c r="M1216" s="1183"/>
      <c r="N1216" s="1183"/>
      <c r="O1216" s="1183"/>
      <c r="P1216" s="1201"/>
      <c r="Q1216" s="1201"/>
      <c r="R1216" s="1201"/>
      <c r="S1216" s="1201"/>
      <c r="T1216" s="1201"/>
    </row>
    <row r="1217" spans="12:20">
      <c r="L1217" s="1179"/>
      <c r="M1217" s="1183"/>
      <c r="N1217" s="1183"/>
      <c r="O1217" s="1183"/>
      <c r="P1217" s="1201"/>
      <c r="Q1217" s="1201"/>
      <c r="R1217" s="1201"/>
      <c r="S1217" s="1201"/>
      <c r="T1217" s="1201"/>
    </row>
    <row r="1218" spans="12:20">
      <c r="L1218" s="1179"/>
      <c r="M1218" s="1183"/>
      <c r="N1218" s="1183"/>
      <c r="O1218" s="1183"/>
      <c r="P1218" s="1201"/>
      <c r="Q1218" s="1201"/>
      <c r="R1218" s="1201"/>
      <c r="S1218" s="1201"/>
      <c r="T1218" s="1201"/>
    </row>
    <row r="1219" spans="12:20">
      <c r="L1219" s="1179"/>
      <c r="M1219" s="1183"/>
      <c r="N1219" s="1183"/>
      <c r="O1219" s="1183"/>
      <c r="P1219" s="1201"/>
      <c r="Q1219" s="1201"/>
      <c r="R1219" s="1201"/>
      <c r="S1219" s="1201"/>
      <c r="T1219" s="1201"/>
    </row>
    <row r="1220" spans="12:20">
      <c r="L1220" s="1179"/>
      <c r="M1220" s="1183"/>
      <c r="N1220" s="1183"/>
      <c r="O1220" s="1183"/>
      <c r="P1220" s="1201"/>
      <c r="Q1220" s="1201"/>
      <c r="R1220" s="1201"/>
      <c r="S1220" s="1201"/>
      <c r="T1220" s="1201"/>
    </row>
    <row r="1221" spans="12:20">
      <c r="L1221" s="1179"/>
      <c r="M1221" s="1183"/>
      <c r="N1221" s="1183"/>
      <c r="O1221" s="1183"/>
      <c r="P1221" s="1201"/>
      <c r="Q1221" s="1201"/>
      <c r="R1221" s="1201"/>
      <c r="S1221" s="1201"/>
      <c r="T1221" s="1201"/>
    </row>
    <row r="1222" spans="12:20">
      <c r="L1222" s="1179"/>
      <c r="M1222" s="1183"/>
      <c r="N1222" s="1183"/>
      <c r="O1222" s="1183"/>
      <c r="P1222" s="1201"/>
      <c r="Q1222" s="1201"/>
      <c r="R1222" s="1201"/>
      <c r="S1222" s="1201"/>
      <c r="T1222" s="1201"/>
    </row>
    <row r="1223" spans="12:20">
      <c r="L1223" s="1179"/>
      <c r="M1223" s="1183"/>
      <c r="N1223" s="1183"/>
      <c r="O1223" s="1183"/>
      <c r="P1223" s="1201"/>
      <c r="Q1223" s="1201"/>
      <c r="R1223" s="1201"/>
      <c r="S1223" s="1201"/>
      <c r="T1223" s="1201"/>
    </row>
    <row r="1224" spans="12:20">
      <c r="L1224" s="1179"/>
      <c r="M1224" s="1183"/>
      <c r="N1224" s="1183"/>
      <c r="O1224" s="1183"/>
      <c r="P1224" s="1201"/>
      <c r="Q1224" s="1201"/>
      <c r="R1224" s="1201"/>
      <c r="S1224" s="1201"/>
      <c r="T1224" s="1201"/>
    </row>
    <row r="1225" spans="12:20">
      <c r="L1225" s="1179"/>
      <c r="M1225" s="1183"/>
      <c r="N1225" s="1183"/>
      <c r="O1225" s="1183"/>
      <c r="P1225" s="1201"/>
      <c r="Q1225" s="1201"/>
      <c r="R1225" s="1201"/>
      <c r="S1225" s="1201"/>
      <c r="T1225" s="1201"/>
    </row>
    <row r="1226" spans="12:20">
      <c r="L1226" s="1179"/>
      <c r="M1226" s="1183"/>
      <c r="N1226" s="1183"/>
      <c r="O1226" s="1183"/>
      <c r="P1226" s="1201"/>
      <c r="Q1226" s="1201"/>
      <c r="R1226" s="1201"/>
      <c r="S1226" s="1201"/>
      <c r="T1226" s="1201"/>
    </row>
    <row r="1227" spans="12:20">
      <c r="L1227" s="1179"/>
      <c r="M1227" s="1183"/>
      <c r="N1227" s="1183"/>
      <c r="O1227" s="1183"/>
      <c r="P1227" s="1201"/>
      <c r="Q1227" s="1201"/>
      <c r="R1227" s="1201"/>
      <c r="S1227" s="1201"/>
      <c r="T1227" s="1201"/>
    </row>
    <row r="1228" spans="12:20">
      <c r="L1228" s="1179"/>
      <c r="M1228" s="1183"/>
      <c r="N1228" s="1183"/>
      <c r="O1228" s="1183"/>
      <c r="P1228" s="1201"/>
      <c r="Q1228" s="1201"/>
      <c r="R1228" s="1201"/>
      <c r="S1228" s="1201"/>
      <c r="T1228" s="1201"/>
    </row>
    <row r="1229" spans="12:20">
      <c r="L1229" s="1179"/>
      <c r="M1229" s="1183"/>
      <c r="N1229" s="1183"/>
      <c r="O1229" s="1183"/>
      <c r="P1229" s="1201"/>
      <c r="Q1229" s="1201"/>
      <c r="R1229" s="1201"/>
      <c r="S1229" s="1201"/>
      <c r="T1229" s="1201"/>
    </row>
    <row r="1230" spans="12:20">
      <c r="L1230" s="1179"/>
      <c r="M1230" s="1183"/>
      <c r="N1230" s="1183"/>
      <c r="O1230" s="1183"/>
      <c r="P1230" s="1201"/>
      <c r="Q1230" s="1201"/>
      <c r="R1230" s="1201"/>
      <c r="S1230" s="1201"/>
      <c r="T1230" s="1201"/>
    </row>
    <row r="1231" spans="12:20">
      <c r="L1231" s="1179"/>
      <c r="M1231" s="1183"/>
      <c r="N1231" s="1183"/>
      <c r="O1231" s="1183"/>
      <c r="P1231" s="1201"/>
      <c r="Q1231" s="1201"/>
      <c r="R1231" s="1201"/>
      <c r="S1231" s="1201"/>
      <c r="T1231" s="1201"/>
    </row>
    <row r="1232" spans="12:20">
      <c r="L1232" s="1179"/>
      <c r="M1232" s="1183"/>
      <c r="N1232" s="1183"/>
      <c r="O1232" s="1183"/>
      <c r="P1232" s="1201"/>
      <c r="Q1232" s="1201"/>
      <c r="R1232" s="1201"/>
      <c r="S1232" s="1201"/>
      <c r="T1232" s="1201"/>
    </row>
    <row r="1233" spans="12:20">
      <c r="L1233" s="1179"/>
      <c r="M1233" s="1183"/>
      <c r="N1233" s="1183"/>
      <c r="O1233" s="1183"/>
      <c r="P1233" s="1201"/>
      <c r="Q1233" s="1201"/>
      <c r="R1233" s="1201"/>
      <c r="S1233" s="1201"/>
      <c r="T1233" s="1201"/>
    </row>
    <row r="1234" spans="12:20">
      <c r="L1234" s="1179"/>
      <c r="M1234" s="1183"/>
      <c r="N1234" s="1183"/>
      <c r="O1234" s="1183"/>
      <c r="P1234" s="1201"/>
      <c r="Q1234" s="1201"/>
      <c r="R1234" s="1201"/>
      <c r="S1234" s="1201"/>
      <c r="T1234" s="1201"/>
    </row>
    <row r="1235" spans="12:20">
      <c r="L1235" s="1179"/>
      <c r="M1235" s="1183"/>
      <c r="N1235" s="1183"/>
      <c r="O1235" s="1183"/>
      <c r="P1235" s="1201"/>
      <c r="Q1235" s="1201"/>
      <c r="R1235" s="1201"/>
      <c r="S1235" s="1201"/>
      <c r="T1235" s="1201"/>
    </row>
    <row r="1236" spans="12:20">
      <c r="L1236" s="1179"/>
      <c r="M1236" s="1183"/>
      <c r="N1236" s="1183"/>
      <c r="O1236" s="1183"/>
      <c r="P1236" s="1201"/>
      <c r="Q1236" s="1201"/>
      <c r="R1236" s="1201"/>
      <c r="S1236" s="1201"/>
      <c r="T1236" s="1201"/>
    </row>
    <row r="1237" spans="12:20">
      <c r="L1237" s="1179"/>
      <c r="M1237" s="1183"/>
      <c r="N1237" s="1183"/>
      <c r="O1237" s="1183"/>
      <c r="P1237" s="1201"/>
      <c r="Q1237" s="1201"/>
      <c r="R1237" s="1201"/>
      <c r="S1237" s="1201"/>
      <c r="T1237" s="1201"/>
    </row>
    <row r="1238" spans="12:20">
      <c r="L1238" s="1179"/>
      <c r="M1238" s="1183"/>
      <c r="N1238" s="1183"/>
      <c r="O1238" s="1183"/>
      <c r="P1238" s="1201"/>
      <c r="Q1238" s="1201"/>
      <c r="R1238" s="1201"/>
      <c r="S1238" s="1201"/>
      <c r="T1238" s="1201"/>
    </row>
    <row r="1239" spans="12:20">
      <c r="L1239" s="1179"/>
      <c r="M1239" s="1183"/>
      <c r="N1239" s="1183"/>
      <c r="O1239" s="1183"/>
      <c r="P1239" s="1201"/>
      <c r="Q1239" s="1201"/>
      <c r="R1239" s="1201"/>
      <c r="S1239" s="1201"/>
      <c r="T1239" s="1201"/>
    </row>
    <row r="1240" spans="12:20">
      <c r="L1240" s="1179"/>
      <c r="M1240" s="1183"/>
      <c r="N1240" s="1183"/>
      <c r="O1240" s="1183"/>
      <c r="P1240" s="1201"/>
      <c r="Q1240" s="1201"/>
      <c r="R1240" s="1201"/>
      <c r="S1240" s="1201"/>
      <c r="T1240" s="1201"/>
    </row>
    <row r="1241" spans="12:20">
      <c r="L1241" s="1179"/>
      <c r="M1241" s="1183"/>
      <c r="N1241" s="1183"/>
      <c r="O1241" s="1183"/>
      <c r="P1241" s="1201"/>
      <c r="Q1241" s="1201"/>
      <c r="R1241" s="1201"/>
      <c r="S1241" s="1201"/>
      <c r="T1241" s="1201"/>
    </row>
    <row r="1242" spans="12:20">
      <c r="L1242" s="1179"/>
      <c r="M1242" s="1183"/>
      <c r="N1242" s="1183"/>
      <c r="O1242" s="1183"/>
      <c r="P1242" s="1201"/>
      <c r="Q1242" s="1201"/>
      <c r="R1242" s="1201"/>
      <c r="S1242" s="1201"/>
      <c r="T1242" s="1201"/>
    </row>
    <row r="1243" spans="12:20">
      <c r="L1243" s="1179"/>
      <c r="M1243" s="1183"/>
      <c r="N1243" s="1183"/>
      <c r="O1243" s="1183"/>
      <c r="P1243" s="1201"/>
      <c r="Q1243" s="1201"/>
      <c r="R1243" s="1201"/>
      <c r="S1243" s="1201"/>
      <c r="T1243" s="1201"/>
    </row>
    <row r="1244" spans="12:20">
      <c r="L1244" s="1179"/>
      <c r="M1244" s="1183"/>
      <c r="N1244" s="1183"/>
      <c r="O1244" s="1183"/>
      <c r="P1244" s="1201"/>
      <c r="Q1244" s="1201"/>
      <c r="R1244" s="1201"/>
      <c r="S1244" s="1201"/>
      <c r="T1244" s="1201"/>
    </row>
    <row r="1245" spans="12:20">
      <c r="L1245" s="1179"/>
      <c r="M1245" s="1183"/>
      <c r="N1245" s="1183"/>
      <c r="O1245" s="1183"/>
      <c r="P1245" s="1201"/>
      <c r="Q1245" s="1201"/>
      <c r="R1245" s="1201"/>
      <c r="S1245" s="1201"/>
      <c r="T1245" s="1201"/>
    </row>
    <row r="1246" spans="12:20">
      <c r="L1246" s="1179"/>
      <c r="M1246" s="1183"/>
      <c r="N1246" s="1183"/>
      <c r="O1246" s="1183"/>
      <c r="P1246" s="1201"/>
      <c r="Q1246" s="1201"/>
      <c r="R1246" s="1201"/>
      <c r="S1246" s="1201"/>
      <c r="T1246" s="1201"/>
    </row>
    <row r="1247" spans="12:20">
      <c r="L1247" s="1179"/>
      <c r="M1247" s="1183"/>
      <c r="N1247" s="1183"/>
      <c r="O1247" s="1183"/>
      <c r="P1247" s="1201"/>
      <c r="Q1247" s="1201"/>
      <c r="R1247" s="1201"/>
      <c r="S1247" s="1201"/>
      <c r="T1247" s="1201"/>
    </row>
    <row r="1248" spans="12:20">
      <c r="L1248" s="1179"/>
      <c r="M1248" s="1183"/>
      <c r="N1248" s="1183"/>
      <c r="O1248" s="1183"/>
      <c r="P1248" s="1201"/>
      <c r="Q1248" s="1201"/>
      <c r="R1248" s="1201"/>
      <c r="S1248" s="1201"/>
      <c r="T1248" s="1201"/>
    </row>
    <row r="1249" spans="12:20">
      <c r="L1249" s="1179"/>
      <c r="M1249" s="1183"/>
      <c r="N1249" s="1183"/>
      <c r="O1249" s="1183"/>
      <c r="P1249" s="1201"/>
      <c r="Q1249" s="1201"/>
      <c r="R1249" s="1201"/>
      <c r="S1249" s="1201"/>
      <c r="T1249" s="1201"/>
    </row>
    <row r="1250" spans="12:20">
      <c r="L1250" s="1179"/>
      <c r="M1250" s="1183"/>
      <c r="N1250" s="1183"/>
      <c r="O1250" s="1183"/>
      <c r="P1250" s="1201"/>
      <c r="Q1250" s="1201"/>
      <c r="R1250" s="1201"/>
      <c r="S1250" s="1201"/>
      <c r="T1250" s="1201"/>
    </row>
    <row r="1251" spans="12:20">
      <c r="L1251" s="1179"/>
      <c r="M1251" s="1183"/>
      <c r="N1251" s="1183"/>
      <c r="O1251" s="1183"/>
      <c r="P1251" s="1201"/>
      <c r="Q1251" s="1201"/>
      <c r="R1251" s="1201"/>
      <c r="S1251" s="1201"/>
      <c r="T1251" s="1201"/>
    </row>
    <row r="1252" spans="12:20">
      <c r="L1252" s="1179"/>
      <c r="M1252" s="1183"/>
      <c r="N1252" s="1183"/>
      <c r="O1252" s="1183"/>
      <c r="P1252" s="1201"/>
      <c r="Q1252" s="1201"/>
      <c r="R1252" s="1201"/>
      <c r="S1252" s="1201"/>
      <c r="T1252" s="1201"/>
    </row>
    <row r="1253" spans="12:20">
      <c r="L1253" s="1179"/>
      <c r="M1253" s="1183"/>
      <c r="N1253" s="1183"/>
      <c r="O1253" s="1183"/>
      <c r="P1253" s="1201"/>
      <c r="Q1253" s="1201"/>
      <c r="R1253" s="1201"/>
      <c r="S1253" s="1201"/>
      <c r="T1253" s="1201"/>
    </row>
    <row r="1254" spans="12:20">
      <c r="L1254" s="1179"/>
      <c r="M1254" s="1183"/>
      <c r="N1254" s="1183"/>
      <c r="O1254" s="1183"/>
      <c r="P1254" s="1201"/>
      <c r="Q1254" s="1201"/>
      <c r="R1254" s="1201"/>
      <c r="S1254" s="1201"/>
      <c r="T1254" s="1201"/>
    </row>
    <row r="1255" spans="12:20">
      <c r="L1255" s="1179"/>
      <c r="M1255" s="1183"/>
      <c r="N1255" s="1183"/>
      <c r="O1255" s="1183"/>
      <c r="P1255" s="1201"/>
      <c r="Q1255" s="1201"/>
      <c r="R1255" s="1201"/>
      <c r="S1255" s="1201"/>
      <c r="T1255" s="1201"/>
    </row>
    <row r="1256" spans="12:20">
      <c r="L1256" s="1179"/>
      <c r="M1256" s="1183"/>
      <c r="N1256" s="1183"/>
      <c r="O1256" s="1183"/>
      <c r="P1256" s="1201"/>
      <c r="Q1256" s="1201"/>
      <c r="R1256" s="1201"/>
      <c r="S1256" s="1201"/>
      <c r="T1256" s="1201"/>
    </row>
    <row r="1257" spans="12:20">
      <c r="L1257" s="1179"/>
      <c r="M1257" s="1183"/>
      <c r="N1257" s="1183"/>
      <c r="O1257" s="1183"/>
      <c r="P1257" s="1201"/>
      <c r="Q1257" s="1201"/>
      <c r="R1257" s="1201"/>
      <c r="S1257" s="1201"/>
      <c r="T1257" s="1201"/>
    </row>
    <row r="1258" spans="12:20">
      <c r="L1258" s="1179"/>
      <c r="M1258" s="1183"/>
      <c r="N1258" s="1183"/>
      <c r="O1258" s="1183"/>
      <c r="P1258" s="1201"/>
      <c r="Q1258" s="1201"/>
      <c r="R1258" s="1201"/>
      <c r="S1258" s="1201"/>
      <c r="T1258" s="1201"/>
    </row>
    <row r="1259" spans="12:20">
      <c r="L1259" s="1179"/>
      <c r="M1259" s="1183"/>
      <c r="N1259" s="1183"/>
      <c r="O1259" s="1183"/>
      <c r="P1259" s="1201"/>
      <c r="Q1259" s="1201"/>
      <c r="R1259" s="1201"/>
      <c r="S1259" s="1201"/>
      <c r="T1259" s="1201"/>
    </row>
    <row r="1260" spans="12:20">
      <c r="L1260" s="1179"/>
      <c r="M1260" s="1183"/>
      <c r="N1260" s="1183"/>
      <c r="O1260" s="1183"/>
      <c r="P1260" s="1201"/>
      <c r="Q1260" s="1201"/>
      <c r="R1260" s="1201"/>
      <c r="S1260" s="1201"/>
      <c r="T1260" s="1201"/>
    </row>
    <row r="1261" spans="12:20">
      <c r="L1261" s="1179"/>
      <c r="M1261" s="1183"/>
      <c r="N1261" s="1183"/>
      <c r="O1261" s="1183"/>
      <c r="P1261" s="1201"/>
      <c r="Q1261" s="1201"/>
      <c r="R1261" s="1201"/>
      <c r="S1261" s="1201"/>
      <c r="T1261" s="1201"/>
    </row>
    <row r="1262" spans="12:20">
      <c r="L1262" s="1179"/>
      <c r="M1262" s="1183"/>
      <c r="N1262" s="1183"/>
      <c r="O1262" s="1183"/>
      <c r="P1262" s="1201"/>
      <c r="Q1262" s="1201"/>
      <c r="R1262" s="1201"/>
      <c r="S1262" s="1201"/>
      <c r="T1262" s="1201"/>
    </row>
    <row r="1263" spans="12:20">
      <c r="L1263" s="1179"/>
      <c r="M1263" s="1183"/>
      <c r="N1263" s="1183"/>
      <c r="O1263" s="1183"/>
      <c r="P1263" s="1201"/>
      <c r="Q1263" s="1201"/>
      <c r="R1263" s="1201"/>
      <c r="S1263" s="1201"/>
      <c r="T1263" s="1201"/>
    </row>
    <row r="1264" spans="12:20">
      <c r="L1264" s="1179"/>
      <c r="M1264" s="1183"/>
      <c r="N1264" s="1183"/>
      <c r="O1264" s="1183"/>
      <c r="P1264" s="1201"/>
      <c r="Q1264" s="1201"/>
      <c r="R1264" s="1201"/>
      <c r="S1264" s="1201"/>
      <c r="T1264" s="1201"/>
    </row>
    <row r="1265" spans="12:20">
      <c r="L1265" s="1179"/>
      <c r="M1265" s="1183"/>
      <c r="N1265" s="1183"/>
      <c r="O1265" s="1183"/>
      <c r="P1265" s="1201"/>
      <c r="Q1265" s="1201"/>
      <c r="R1265" s="1201"/>
      <c r="S1265" s="1201"/>
      <c r="T1265" s="1201"/>
    </row>
    <row r="1266" spans="12:20">
      <c r="L1266" s="1179"/>
      <c r="M1266" s="1183"/>
      <c r="N1266" s="1183"/>
      <c r="O1266" s="1183"/>
      <c r="P1266" s="1201"/>
      <c r="Q1266" s="1201"/>
      <c r="R1266" s="1201"/>
      <c r="S1266" s="1201"/>
      <c r="T1266" s="1201"/>
    </row>
    <row r="1267" spans="12:20">
      <c r="L1267" s="1179"/>
      <c r="M1267" s="1183"/>
      <c r="N1267" s="1183"/>
      <c r="O1267" s="1183"/>
      <c r="P1267" s="1201"/>
      <c r="Q1267" s="1201"/>
      <c r="R1267" s="1201"/>
      <c r="S1267" s="1201"/>
      <c r="T1267" s="1201"/>
    </row>
    <row r="1268" spans="12:20">
      <c r="L1268" s="1179"/>
      <c r="M1268" s="1183"/>
      <c r="N1268" s="1183"/>
      <c r="O1268" s="1183"/>
      <c r="P1268" s="1201"/>
      <c r="Q1268" s="1201"/>
      <c r="R1268" s="1201"/>
      <c r="S1268" s="1201"/>
      <c r="T1268" s="1201"/>
    </row>
    <row r="1269" spans="12:20">
      <c r="L1269" s="1179"/>
      <c r="M1269" s="1183"/>
      <c r="N1269" s="1183"/>
      <c r="O1269" s="1183"/>
      <c r="P1269" s="1201"/>
      <c r="Q1269" s="1201"/>
      <c r="R1269" s="1201"/>
      <c r="S1269" s="1201"/>
      <c r="T1269" s="1201"/>
    </row>
    <row r="1270" spans="12:20">
      <c r="L1270" s="1179"/>
      <c r="M1270" s="1183"/>
      <c r="N1270" s="1183"/>
      <c r="O1270" s="1183"/>
      <c r="P1270" s="1201"/>
      <c r="Q1270" s="1201"/>
      <c r="R1270" s="1201"/>
      <c r="S1270" s="1201"/>
      <c r="T1270" s="1201"/>
    </row>
    <row r="1271" spans="12:20">
      <c r="L1271" s="1179"/>
      <c r="M1271" s="1183"/>
      <c r="N1271" s="1183"/>
      <c r="O1271" s="1183"/>
      <c r="P1271" s="1201"/>
      <c r="Q1271" s="1201"/>
      <c r="R1271" s="1201"/>
      <c r="S1271" s="1201"/>
      <c r="T1271" s="1201"/>
    </row>
    <row r="1272" spans="12:20">
      <c r="L1272" s="1179"/>
      <c r="M1272" s="1183"/>
      <c r="N1272" s="1183"/>
      <c r="O1272" s="1183"/>
      <c r="P1272" s="1201"/>
      <c r="Q1272" s="1201"/>
      <c r="R1272" s="1201"/>
      <c r="S1272" s="1201"/>
      <c r="T1272" s="1201"/>
    </row>
    <row r="1273" spans="12:20">
      <c r="L1273" s="1179"/>
      <c r="M1273" s="1183"/>
      <c r="N1273" s="1183"/>
      <c r="O1273" s="1183"/>
      <c r="P1273" s="1201"/>
      <c r="Q1273" s="1201"/>
      <c r="R1273" s="1201"/>
      <c r="S1273" s="1201"/>
      <c r="T1273" s="1201"/>
    </row>
    <row r="1274" spans="12:20">
      <c r="L1274" s="1179"/>
      <c r="M1274" s="1183"/>
      <c r="N1274" s="1183"/>
      <c r="O1274" s="1183"/>
      <c r="P1274" s="1201"/>
      <c r="Q1274" s="1201"/>
      <c r="R1274" s="1201"/>
      <c r="S1274" s="1201"/>
      <c r="T1274" s="1201"/>
    </row>
    <row r="1275" spans="12:20">
      <c r="L1275" s="1179"/>
      <c r="M1275" s="1183"/>
      <c r="N1275" s="1183"/>
      <c r="O1275" s="1183"/>
      <c r="P1275" s="1201"/>
      <c r="Q1275" s="1201"/>
      <c r="R1275" s="1201"/>
      <c r="S1275" s="1201"/>
      <c r="T1275" s="1201"/>
    </row>
    <row r="1276" spans="12:20">
      <c r="L1276" s="1179"/>
      <c r="M1276" s="1183"/>
      <c r="N1276" s="1183"/>
      <c r="O1276" s="1183"/>
      <c r="P1276" s="1201"/>
      <c r="Q1276" s="1201"/>
      <c r="R1276" s="1201"/>
      <c r="S1276" s="1201"/>
      <c r="T1276" s="1201"/>
    </row>
    <row r="1277" spans="12:20">
      <c r="L1277" s="1179"/>
      <c r="M1277" s="1183"/>
      <c r="N1277" s="1183"/>
      <c r="O1277" s="1183"/>
      <c r="P1277" s="1201"/>
      <c r="Q1277" s="1201"/>
      <c r="R1277" s="1201"/>
      <c r="S1277" s="1201"/>
      <c r="T1277" s="1201"/>
    </row>
    <row r="1278" spans="12:20">
      <c r="L1278" s="1179"/>
      <c r="M1278" s="1183"/>
      <c r="N1278" s="1183"/>
      <c r="O1278" s="1183"/>
      <c r="P1278" s="1201"/>
      <c r="Q1278" s="1201"/>
      <c r="R1278" s="1201"/>
      <c r="S1278" s="1201"/>
      <c r="T1278" s="1201"/>
    </row>
    <row r="1279" spans="12:20">
      <c r="L1279" s="1179"/>
      <c r="M1279" s="1183"/>
      <c r="N1279" s="1183"/>
      <c r="O1279" s="1183"/>
      <c r="P1279" s="1201"/>
      <c r="Q1279" s="1201"/>
      <c r="R1279" s="1201"/>
      <c r="S1279" s="1201"/>
      <c r="T1279" s="1201"/>
    </row>
    <row r="1280" spans="12:20">
      <c r="L1280" s="1179"/>
      <c r="M1280" s="1183"/>
      <c r="N1280" s="1183"/>
      <c r="O1280" s="1183"/>
      <c r="P1280" s="1201"/>
      <c r="Q1280" s="1201"/>
      <c r="R1280" s="1201"/>
      <c r="S1280" s="1201"/>
      <c r="T1280" s="1201"/>
    </row>
    <row r="1281" spans="12:20">
      <c r="L1281" s="1179"/>
      <c r="M1281" s="1183"/>
      <c r="N1281" s="1183"/>
      <c r="O1281" s="1183"/>
      <c r="P1281" s="1201"/>
      <c r="Q1281" s="1201"/>
      <c r="R1281" s="1201"/>
      <c r="S1281" s="1201"/>
      <c r="T1281" s="1201"/>
    </row>
    <row r="1282" spans="12:20">
      <c r="L1282" s="1179"/>
      <c r="M1282" s="1183"/>
      <c r="N1282" s="1183"/>
      <c r="O1282" s="1183"/>
      <c r="P1282" s="1201"/>
      <c r="Q1282" s="1201"/>
      <c r="R1282" s="1201"/>
      <c r="S1282" s="1201"/>
      <c r="T1282" s="1201"/>
    </row>
    <row r="1283" spans="12:20">
      <c r="L1283" s="1179"/>
      <c r="M1283" s="1183"/>
      <c r="N1283" s="1183"/>
      <c r="O1283" s="1183"/>
      <c r="P1283" s="1201"/>
      <c r="Q1283" s="1201"/>
      <c r="R1283" s="1201"/>
      <c r="S1283" s="1201"/>
      <c r="T1283" s="1201"/>
    </row>
    <row r="1284" spans="12:20">
      <c r="L1284" s="1179"/>
      <c r="M1284" s="1183"/>
      <c r="N1284" s="1183"/>
      <c r="O1284" s="1183"/>
      <c r="P1284" s="1201"/>
      <c r="Q1284" s="1201"/>
      <c r="R1284" s="1201"/>
      <c r="S1284" s="1201"/>
      <c r="T1284" s="1201"/>
    </row>
    <row r="1285" spans="12:20">
      <c r="L1285" s="1179"/>
      <c r="M1285" s="1183"/>
      <c r="N1285" s="1183"/>
      <c r="O1285" s="1183"/>
      <c r="P1285" s="1201"/>
      <c r="Q1285" s="1201"/>
      <c r="R1285" s="1201"/>
      <c r="S1285" s="1201"/>
      <c r="T1285" s="1201"/>
    </row>
    <row r="1286" spans="12:20">
      <c r="L1286" s="1179"/>
      <c r="M1286" s="1183"/>
      <c r="N1286" s="1183"/>
      <c r="O1286" s="1183"/>
      <c r="P1286" s="1201"/>
      <c r="Q1286" s="1201"/>
      <c r="R1286" s="1201"/>
      <c r="S1286" s="1201"/>
      <c r="T1286" s="1201"/>
    </row>
    <row r="1287" spans="12:20">
      <c r="L1287" s="1179"/>
      <c r="M1287" s="1183"/>
      <c r="N1287" s="1183"/>
      <c r="O1287" s="1183"/>
      <c r="P1287" s="1201"/>
      <c r="Q1287" s="1201"/>
      <c r="R1287" s="1201"/>
      <c r="S1287" s="1201"/>
      <c r="T1287" s="1201"/>
    </row>
    <row r="1288" spans="12:20">
      <c r="L1288" s="1179"/>
      <c r="M1288" s="1183"/>
      <c r="N1288" s="1183"/>
      <c r="O1288" s="1183"/>
      <c r="P1288" s="1201"/>
      <c r="Q1288" s="1201"/>
      <c r="R1288" s="1201"/>
      <c r="S1288" s="1201"/>
      <c r="T1288" s="1201"/>
    </row>
    <row r="1289" spans="12:20">
      <c r="L1289" s="1179"/>
      <c r="M1289" s="1183"/>
      <c r="N1289" s="1183"/>
      <c r="O1289" s="1183"/>
      <c r="P1289" s="1201"/>
      <c r="Q1289" s="1201"/>
      <c r="R1289" s="1201"/>
      <c r="S1289" s="1201"/>
      <c r="T1289" s="1201"/>
    </row>
    <row r="1290" spans="12:20">
      <c r="L1290" s="1179"/>
      <c r="M1290" s="1183"/>
      <c r="N1290" s="1183"/>
      <c r="O1290" s="1183"/>
      <c r="P1290" s="1201"/>
      <c r="Q1290" s="1201"/>
      <c r="R1290" s="1201"/>
      <c r="S1290" s="1201"/>
      <c r="T1290" s="1201"/>
    </row>
    <row r="1291" spans="12:20">
      <c r="L1291" s="1179"/>
      <c r="M1291" s="1183"/>
      <c r="N1291" s="1183"/>
      <c r="O1291" s="1183"/>
      <c r="P1291" s="1201"/>
      <c r="Q1291" s="1201"/>
      <c r="R1291" s="1201"/>
      <c r="S1291" s="1201"/>
      <c r="T1291" s="1201"/>
    </row>
    <row r="1292" spans="12:20">
      <c r="L1292" s="1179"/>
      <c r="M1292" s="1183"/>
      <c r="N1292" s="1183"/>
      <c r="O1292" s="1183"/>
      <c r="P1292" s="1201"/>
      <c r="Q1292" s="1201"/>
      <c r="R1292" s="1201"/>
      <c r="S1292" s="1201"/>
      <c r="T1292" s="1201"/>
    </row>
    <row r="1293" spans="12:20">
      <c r="L1293" s="1179"/>
      <c r="M1293" s="1183"/>
      <c r="N1293" s="1183"/>
      <c r="O1293" s="1183"/>
      <c r="P1293" s="1201"/>
      <c r="Q1293" s="1201"/>
      <c r="R1293" s="1201"/>
      <c r="S1293" s="1201"/>
      <c r="T1293" s="1201"/>
    </row>
    <row r="1294" spans="12:20">
      <c r="L1294" s="1179"/>
      <c r="M1294" s="1183"/>
      <c r="N1294" s="1183"/>
      <c r="O1294" s="1183"/>
      <c r="P1294" s="1201"/>
      <c r="Q1294" s="1201"/>
      <c r="R1294" s="1201"/>
      <c r="S1294" s="1201"/>
      <c r="T1294" s="1201"/>
    </row>
    <row r="1295" spans="12:20">
      <c r="L1295" s="1179"/>
      <c r="M1295" s="1183"/>
      <c r="N1295" s="1183"/>
      <c r="O1295" s="1183"/>
      <c r="P1295" s="1201"/>
      <c r="Q1295" s="1201"/>
      <c r="R1295" s="1201"/>
      <c r="S1295" s="1201"/>
      <c r="T1295" s="1201"/>
    </row>
    <row r="1296" spans="12:20">
      <c r="L1296" s="1179"/>
      <c r="M1296" s="1183"/>
      <c r="N1296" s="1183"/>
      <c r="O1296" s="1183"/>
      <c r="P1296" s="1201"/>
      <c r="Q1296" s="1201"/>
      <c r="R1296" s="1201"/>
      <c r="S1296" s="1201"/>
      <c r="T1296" s="1201"/>
    </row>
    <row r="1297" spans="12:20">
      <c r="L1297" s="1179"/>
      <c r="M1297" s="1183"/>
      <c r="N1297" s="1183"/>
      <c r="O1297" s="1183"/>
      <c r="P1297" s="1201"/>
      <c r="Q1297" s="1201"/>
      <c r="R1297" s="1201"/>
      <c r="S1297" s="1201"/>
      <c r="T1297" s="1201"/>
    </row>
    <row r="1298" spans="12:20">
      <c r="L1298" s="1179"/>
      <c r="M1298" s="1183"/>
      <c r="N1298" s="1183"/>
      <c r="O1298" s="1183"/>
      <c r="P1298" s="1201"/>
      <c r="Q1298" s="1201"/>
      <c r="R1298" s="1201"/>
      <c r="S1298" s="1201"/>
      <c r="T1298" s="1201"/>
    </row>
    <row r="1299" spans="12:20">
      <c r="L1299" s="1179"/>
      <c r="M1299" s="1183"/>
      <c r="N1299" s="1183"/>
      <c r="O1299" s="1183"/>
      <c r="P1299" s="1201"/>
      <c r="Q1299" s="1201"/>
      <c r="R1299" s="1201"/>
      <c r="S1299" s="1201"/>
      <c r="T1299" s="1201"/>
    </row>
    <row r="1300" spans="12:20">
      <c r="L1300" s="1179"/>
      <c r="M1300" s="1183"/>
      <c r="N1300" s="1183"/>
      <c r="O1300" s="1183"/>
      <c r="P1300" s="1201"/>
      <c r="Q1300" s="1201"/>
      <c r="R1300" s="1201"/>
      <c r="S1300" s="1201"/>
      <c r="T1300" s="1201"/>
    </row>
    <row r="1301" spans="12:20">
      <c r="L1301" s="1179"/>
      <c r="M1301" s="1183"/>
      <c r="N1301" s="1183"/>
      <c r="O1301" s="1183"/>
      <c r="P1301" s="1201"/>
      <c r="Q1301" s="1201"/>
      <c r="R1301" s="1201"/>
      <c r="S1301" s="1201"/>
      <c r="T1301" s="1201"/>
    </row>
    <row r="1302" spans="12:20">
      <c r="L1302" s="1179"/>
      <c r="M1302" s="1183"/>
      <c r="N1302" s="1183"/>
      <c r="O1302" s="1183"/>
      <c r="P1302" s="1201"/>
      <c r="Q1302" s="1201"/>
      <c r="R1302" s="1201"/>
      <c r="S1302" s="1201"/>
      <c r="T1302" s="1201"/>
    </row>
    <row r="1303" spans="12:20">
      <c r="L1303" s="1179"/>
      <c r="M1303" s="1183"/>
      <c r="N1303" s="1183"/>
      <c r="O1303" s="1183"/>
      <c r="P1303" s="1201"/>
      <c r="Q1303" s="1201"/>
      <c r="R1303" s="1201"/>
      <c r="S1303" s="1201"/>
      <c r="T1303" s="1201"/>
    </row>
    <row r="1304" spans="12:20">
      <c r="L1304" s="1179"/>
      <c r="M1304" s="1183"/>
      <c r="N1304" s="1183"/>
      <c r="O1304" s="1183"/>
      <c r="P1304" s="1201"/>
      <c r="Q1304" s="1201"/>
      <c r="R1304" s="1201"/>
      <c r="S1304" s="1201"/>
      <c r="T1304" s="1201"/>
    </row>
    <row r="1305" spans="12:20">
      <c r="L1305" s="1179"/>
      <c r="M1305" s="1183"/>
      <c r="N1305" s="1183"/>
      <c r="O1305" s="1183"/>
      <c r="P1305" s="1201"/>
      <c r="Q1305" s="1201"/>
      <c r="R1305" s="1201"/>
      <c r="S1305" s="1201"/>
      <c r="T1305" s="1201"/>
    </row>
    <row r="1306" spans="12:20">
      <c r="L1306" s="1179"/>
      <c r="M1306" s="1183"/>
      <c r="N1306" s="1183"/>
      <c r="O1306" s="1183"/>
      <c r="P1306" s="1201"/>
      <c r="Q1306" s="1201"/>
      <c r="R1306" s="1201"/>
      <c r="S1306" s="1201"/>
      <c r="T1306" s="1201"/>
    </row>
    <row r="1307" spans="12:20">
      <c r="L1307" s="1179"/>
      <c r="M1307" s="1183"/>
      <c r="N1307" s="1183"/>
      <c r="O1307" s="1183"/>
      <c r="P1307" s="1201"/>
      <c r="Q1307" s="1201"/>
      <c r="R1307" s="1201"/>
      <c r="S1307" s="1201"/>
      <c r="T1307" s="1201"/>
    </row>
    <row r="1308" spans="12:20">
      <c r="L1308" s="1179"/>
      <c r="M1308" s="1183"/>
      <c r="N1308" s="1183"/>
      <c r="O1308" s="1183"/>
      <c r="P1308" s="1201"/>
      <c r="Q1308" s="1201"/>
      <c r="R1308" s="1201"/>
      <c r="S1308" s="1201"/>
      <c r="T1308" s="1201"/>
    </row>
    <row r="1309" spans="12:20">
      <c r="L1309" s="1179"/>
      <c r="M1309" s="1183"/>
      <c r="N1309" s="1183"/>
      <c r="O1309" s="1183"/>
      <c r="P1309" s="1201"/>
      <c r="Q1309" s="1201"/>
      <c r="R1309" s="1201"/>
      <c r="S1309" s="1201"/>
      <c r="T1309" s="1201"/>
    </row>
    <row r="1310" spans="12:20">
      <c r="L1310" s="1179"/>
      <c r="M1310" s="1183"/>
      <c r="N1310" s="1183"/>
      <c r="O1310" s="1183"/>
      <c r="P1310" s="1201"/>
      <c r="Q1310" s="1201"/>
      <c r="R1310" s="1201"/>
      <c r="S1310" s="1201"/>
      <c r="T1310" s="1201"/>
    </row>
    <row r="1311" spans="12:20">
      <c r="L1311" s="1179"/>
      <c r="M1311" s="1183"/>
      <c r="N1311" s="1183"/>
      <c r="O1311" s="1183"/>
      <c r="P1311" s="1201"/>
      <c r="Q1311" s="1201"/>
      <c r="R1311" s="1201"/>
      <c r="S1311" s="1201"/>
      <c r="T1311" s="1201"/>
    </row>
    <row r="1312" spans="12:20">
      <c r="L1312" s="1179"/>
      <c r="M1312" s="1183"/>
      <c r="N1312" s="1183"/>
      <c r="O1312" s="1183"/>
      <c r="P1312" s="1201"/>
      <c r="Q1312" s="1201"/>
      <c r="R1312" s="1201"/>
      <c r="S1312" s="1201"/>
      <c r="T1312" s="1201"/>
    </row>
    <row r="1313" spans="12:20">
      <c r="L1313" s="1179"/>
      <c r="M1313" s="1183"/>
      <c r="N1313" s="1183"/>
      <c r="O1313" s="1183"/>
      <c r="P1313" s="1201"/>
      <c r="Q1313" s="1201"/>
      <c r="R1313" s="1201"/>
      <c r="S1313" s="1201"/>
      <c r="T1313" s="1201"/>
    </row>
    <row r="1314" spans="12:20">
      <c r="L1314" s="1179"/>
      <c r="M1314" s="1183"/>
      <c r="N1314" s="1183"/>
      <c r="O1314" s="1183"/>
      <c r="P1314" s="1201"/>
      <c r="Q1314" s="1201"/>
      <c r="R1314" s="1201"/>
      <c r="S1314" s="1201"/>
      <c r="T1314" s="1201"/>
    </row>
    <row r="1315" spans="12:20">
      <c r="L1315" s="1179"/>
      <c r="M1315" s="1183"/>
      <c r="N1315" s="1183"/>
      <c r="O1315" s="1183"/>
      <c r="P1315" s="1201"/>
      <c r="Q1315" s="1201"/>
      <c r="R1315" s="1201"/>
      <c r="S1315" s="1201"/>
      <c r="T1315" s="1201"/>
    </row>
    <row r="1316" spans="12:20">
      <c r="L1316" s="1179"/>
      <c r="M1316" s="1183"/>
      <c r="N1316" s="1183"/>
      <c r="O1316" s="1183"/>
      <c r="P1316" s="1201"/>
      <c r="Q1316" s="1201"/>
      <c r="R1316" s="1201"/>
      <c r="S1316" s="1201"/>
      <c r="T1316" s="1201"/>
    </row>
    <row r="1317" spans="12:20">
      <c r="L1317" s="1179"/>
      <c r="M1317" s="1183"/>
      <c r="N1317" s="1183"/>
      <c r="O1317" s="1183"/>
      <c r="P1317" s="1201"/>
      <c r="Q1317" s="1201"/>
      <c r="R1317" s="1201"/>
      <c r="S1317" s="1201"/>
      <c r="T1317" s="1201"/>
    </row>
    <row r="1318" spans="12:20">
      <c r="L1318" s="1179"/>
      <c r="M1318" s="1183"/>
      <c r="N1318" s="1183"/>
      <c r="O1318" s="1183"/>
      <c r="P1318" s="1201"/>
      <c r="Q1318" s="1201"/>
      <c r="R1318" s="1201"/>
      <c r="S1318" s="1201"/>
      <c r="T1318" s="1201"/>
    </row>
    <row r="1319" spans="12:20">
      <c r="L1319" s="1179"/>
      <c r="M1319" s="1183"/>
      <c r="N1319" s="1183"/>
      <c r="O1319" s="1183"/>
      <c r="P1319" s="1201"/>
      <c r="Q1319" s="1201"/>
      <c r="R1319" s="1201"/>
      <c r="S1319" s="1201"/>
      <c r="T1319" s="1201"/>
    </row>
    <row r="1320" spans="12:20">
      <c r="L1320" s="1179"/>
      <c r="M1320" s="1183"/>
      <c r="N1320" s="1183"/>
      <c r="O1320" s="1183"/>
      <c r="P1320" s="1201"/>
      <c r="Q1320" s="1201"/>
      <c r="R1320" s="1201"/>
      <c r="S1320" s="1201"/>
      <c r="T1320" s="1201"/>
    </row>
    <row r="1321" spans="12:20">
      <c r="L1321" s="1179"/>
      <c r="M1321" s="1183"/>
      <c r="N1321" s="1183"/>
      <c r="O1321" s="1183"/>
      <c r="P1321" s="1201"/>
      <c r="Q1321" s="1201"/>
      <c r="R1321" s="1201"/>
      <c r="S1321" s="1201"/>
      <c r="T1321" s="1201"/>
    </row>
    <row r="1322" spans="12:20">
      <c r="L1322" s="1179"/>
      <c r="M1322" s="1183"/>
      <c r="N1322" s="1183"/>
      <c r="O1322" s="1183"/>
      <c r="P1322" s="1201"/>
      <c r="Q1322" s="1201"/>
      <c r="R1322" s="1201"/>
      <c r="S1322" s="1201"/>
      <c r="T1322" s="1201"/>
    </row>
    <row r="1323" spans="12:20">
      <c r="L1323" s="1179"/>
      <c r="M1323" s="1183"/>
      <c r="N1323" s="1183"/>
      <c r="O1323" s="1183"/>
      <c r="P1323" s="1201"/>
      <c r="Q1323" s="1201"/>
      <c r="R1323" s="1201"/>
      <c r="S1323" s="1201"/>
      <c r="T1323" s="1201"/>
    </row>
    <row r="1324" spans="12:20">
      <c r="L1324" s="1179"/>
      <c r="M1324" s="1183"/>
      <c r="N1324" s="1183"/>
      <c r="O1324" s="1183"/>
      <c r="P1324" s="1201"/>
      <c r="Q1324" s="1201"/>
      <c r="R1324" s="1201"/>
      <c r="S1324" s="1201"/>
      <c r="T1324" s="1201"/>
    </row>
    <row r="1325" spans="12:20">
      <c r="L1325" s="1179"/>
      <c r="M1325" s="1183"/>
      <c r="N1325" s="1183"/>
      <c r="O1325" s="1183"/>
      <c r="P1325" s="1201"/>
      <c r="Q1325" s="1201"/>
      <c r="R1325" s="1201"/>
      <c r="S1325" s="1201"/>
      <c r="T1325" s="1201"/>
    </row>
    <row r="1326" spans="12:20">
      <c r="L1326" s="1179"/>
      <c r="M1326" s="1183"/>
      <c r="N1326" s="1183"/>
      <c r="O1326" s="1183"/>
      <c r="P1326" s="1201"/>
      <c r="Q1326" s="1201"/>
      <c r="R1326" s="1201"/>
      <c r="S1326" s="1201"/>
      <c r="T1326" s="1201"/>
    </row>
    <row r="1327" spans="12:20">
      <c r="L1327" s="1179"/>
      <c r="M1327" s="1183"/>
      <c r="N1327" s="1183"/>
      <c r="O1327" s="1183"/>
      <c r="P1327" s="1201"/>
      <c r="Q1327" s="1201"/>
      <c r="R1327" s="1201"/>
      <c r="S1327" s="1201"/>
      <c r="T1327" s="1201"/>
    </row>
    <row r="1328" spans="12:20">
      <c r="L1328" s="1179"/>
      <c r="M1328" s="1183"/>
      <c r="N1328" s="1183"/>
      <c r="O1328" s="1183"/>
      <c r="P1328" s="1201"/>
      <c r="Q1328" s="1201"/>
      <c r="R1328" s="1201"/>
      <c r="S1328" s="1201"/>
      <c r="T1328" s="1201"/>
    </row>
    <row r="1329" spans="12:20">
      <c r="L1329" s="1179"/>
      <c r="M1329" s="1183"/>
      <c r="N1329" s="1183"/>
      <c r="O1329" s="1183"/>
      <c r="P1329" s="1201"/>
      <c r="Q1329" s="1201"/>
      <c r="R1329" s="1201"/>
      <c r="S1329" s="1201"/>
      <c r="T1329" s="1201"/>
    </row>
    <row r="1330" spans="12:20">
      <c r="L1330" s="1179"/>
      <c r="M1330" s="1183"/>
      <c r="N1330" s="1183"/>
      <c r="O1330" s="1183"/>
      <c r="P1330" s="1201"/>
      <c r="Q1330" s="1201"/>
      <c r="R1330" s="1201"/>
      <c r="S1330" s="1201"/>
      <c r="T1330" s="1201"/>
    </row>
    <row r="1331" spans="12:20">
      <c r="L1331" s="1179"/>
      <c r="M1331" s="1183"/>
      <c r="N1331" s="1183"/>
      <c r="O1331" s="1183"/>
      <c r="P1331" s="1201"/>
      <c r="Q1331" s="1201"/>
      <c r="R1331" s="1201"/>
      <c r="S1331" s="1201"/>
      <c r="T1331" s="1201"/>
    </row>
    <row r="1332" spans="12:20">
      <c r="L1332" s="1179"/>
      <c r="M1332" s="1183"/>
      <c r="N1332" s="1183"/>
      <c r="O1332" s="1183"/>
      <c r="P1332" s="1201"/>
      <c r="Q1332" s="1201"/>
      <c r="R1332" s="1201"/>
      <c r="S1332" s="1201"/>
      <c r="T1332" s="1201"/>
    </row>
    <row r="1333" spans="12:20">
      <c r="L1333" s="1179"/>
      <c r="M1333" s="1183"/>
      <c r="N1333" s="1183"/>
      <c r="O1333" s="1183"/>
      <c r="P1333" s="1201"/>
      <c r="Q1333" s="1201"/>
      <c r="R1333" s="1201"/>
      <c r="S1333" s="1201"/>
      <c r="T1333" s="1201"/>
    </row>
    <row r="1334" spans="12:20">
      <c r="L1334" s="1179"/>
      <c r="M1334" s="1183"/>
      <c r="N1334" s="1183"/>
      <c r="O1334" s="1183"/>
      <c r="P1334" s="1201"/>
      <c r="Q1334" s="1201"/>
      <c r="R1334" s="1201"/>
      <c r="S1334" s="1201"/>
      <c r="T1334" s="1201"/>
    </row>
    <row r="1335" spans="12:20">
      <c r="L1335" s="1179"/>
      <c r="M1335" s="1183"/>
      <c r="N1335" s="1183"/>
      <c r="O1335" s="1183"/>
      <c r="P1335" s="1201"/>
      <c r="Q1335" s="1201"/>
      <c r="R1335" s="1201"/>
      <c r="S1335" s="1201"/>
      <c r="T1335" s="1201"/>
    </row>
    <row r="1336" spans="12:20">
      <c r="L1336" s="1179"/>
      <c r="M1336" s="1183"/>
      <c r="N1336" s="1183"/>
      <c r="O1336" s="1183"/>
      <c r="P1336" s="1201"/>
      <c r="Q1336" s="1201"/>
      <c r="R1336" s="1201"/>
      <c r="S1336" s="1201"/>
      <c r="T1336" s="1201"/>
    </row>
    <row r="1337" spans="12:20">
      <c r="L1337" s="1179"/>
      <c r="M1337" s="1183"/>
      <c r="N1337" s="1183"/>
      <c r="O1337" s="1183"/>
      <c r="P1337" s="1201"/>
      <c r="Q1337" s="1201"/>
      <c r="R1337" s="1201"/>
      <c r="S1337" s="1201"/>
      <c r="T1337" s="1201"/>
    </row>
    <row r="1338" spans="12:20">
      <c r="L1338" s="1179"/>
      <c r="M1338" s="1183"/>
      <c r="N1338" s="1183"/>
      <c r="O1338" s="1183"/>
      <c r="P1338" s="1201"/>
      <c r="Q1338" s="1201"/>
      <c r="R1338" s="1201"/>
      <c r="S1338" s="1201"/>
      <c r="T1338" s="1201"/>
    </row>
    <row r="1339" spans="12:20">
      <c r="L1339" s="1179"/>
      <c r="M1339" s="1183"/>
      <c r="N1339" s="1183"/>
      <c r="O1339" s="1183"/>
      <c r="P1339" s="1201"/>
      <c r="Q1339" s="1201"/>
      <c r="R1339" s="1201"/>
      <c r="S1339" s="1201"/>
      <c r="T1339" s="1201"/>
    </row>
    <row r="1340" spans="12:20">
      <c r="L1340" s="1179"/>
      <c r="M1340" s="1183"/>
      <c r="N1340" s="1183"/>
      <c r="O1340" s="1183"/>
      <c r="P1340" s="1201"/>
      <c r="Q1340" s="1201"/>
      <c r="R1340" s="1201"/>
      <c r="S1340" s="1201"/>
      <c r="T1340" s="1201"/>
    </row>
    <row r="1341" spans="12:20">
      <c r="L1341" s="1179"/>
      <c r="M1341" s="1183"/>
      <c r="N1341" s="1183"/>
      <c r="O1341" s="1183"/>
      <c r="P1341" s="1201"/>
      <c r="Q1341" s="1201"/>
      <c r="R1341" s="1201"/>
      <c r="S1341" s="1201"/>
      <c r="T1341" s="1201"/>
    </row>
    <row r="1342" spans="12:20">
      <c r="L1342" s="1179"/>
      <c r="M1342" s="1183"/>
      <c r="N1342" s="1183"/>
      <c r="O1342" s="1183"/>
      <c r="P1342" s="1201"/>
      <c r="Q1342" s="1201"/>
      <c r="R1342" s="1201"/>
      <c r="S1342" s="1201"/>
      <c r="T1342" s="1201"/>
    </row>
    <row r="1343" spans="12:20">
      <c r="L1343" s="1179"/>
      <c r="M1343" s="1183"/>
      <c r="N1343" s="1183"/>
      <c r="O1343" s="1183"/>
      <c r="P1343" s="1201"/>
      <c r="Q1343" s="1201"/>
      <c r="R1343" s="1201"/>
      <c r="S1343" s="1201"/>
      <c r="T1343" s="1201"/>
    </row>
    <row r="1344" spans="12:20">
      <c r="L1344" s="1179"/>
      <c r="M1344" s="1183"/>
      <c r="N1344" s="1183"/>
      <c r="O1344" s="1183"/>
      <c r="P1344" s="1201"/>
      <c r="Q1344" s="1201"/>
      <c r="R1344" s="1201"/>
      <c r="S1344" s="1201"/>
      <c r="T1344" s="1201"/>
    </row>
    <row r="1345" spans="12:20">
      <c r="L1345" s="1179"/>
      <c r="M1345" s="1183"/>
      <c r="N1345" s="1183"/>
      <c r="O1345" s="1183"/>
      <c r="P1345" s="1201"/>
      <c r="Q1345" s="1201"/>
      <c r="R1345" s="1201"/>
      <c r="S1345" s="1201"/>
      <c r="T1345" s="1201"/>
    </row>
    <row r="1346" spans="12:20">
      <c r="L1346" s="1179"/>
      <c r="M1346" s="1183"/>
      <c r="N1346" s="1183"/>
      <c r="O1346" s="1183"/>
      <c r="P1346" s="1201"/>
      <c r="Q1346" s="1201"/>
      <c r="R1346" s="1201"/>
      <c r="S1346" s="1201"/>
      <c r="T1346" s="1201"/>
    </row>
    <row r="1347" spans="12:20">
      <c r="L1347" s="1179"/>
      <c r="M1347" s="1183"/>
      <c r="N1347" s="1183"/>
      <c r="O1347" s="1183"/>
      <c r="P1347" s="1201"/>
      <c r="Q1347" s="1201"/>
      <c r="R1347" s="1201"/>
      <c r="S1347" s="1201"/>
      <c r="T1347" s="1201"/>
    </row>
    <row r="1348" spans="12:20">
      <c r="L1348" s="1179"/>
      <c r="M1348" s="1183"/>
      <c r="N1348" s="1183"/>
      <c r="O1348" s="1183"/>
      <c r="P1348" s="1201"/>
      <c r="Q1348" s="1201"/>
      <c r="R1348" s="1201"/>
      <c r="S1348" s="1201"/>
      <c r="T1348" s="1201"/>
    </row>
    <row r="1349" spans="12:20">
      <c r="L1349" s="1179"/>
      <c r="M1349" s="1183"/>
      <c r="N1349" s="1183"/>
      <c r="O1349" s="1183"/>
      <c r="P1349" s="1201"/>
      <c r="Q1349" s="1201"/>
      <c r="R1349" s="1201"/>
      <c r="S1349" s="1201"/>
      <c r="T1349" s="1201"/>
    </row>
    <row r="1350" spans="12:20">
      <c r="L1350" s="1179"/>
      <c r="M1350" s="1183"/>
      <c r="N1350" s="1183"/>
      <c r="O1350" s="1183"/>
      <c r="P1350" s="1201"/>
      <c r="Q1350" s="1201"/>
      <c r="R1350" s="1201"/>
      <c r="S1350" s="1201"/>
      <c r="T1350" s="1201"/>
    </row>
    <row r="1351" spans="12:20">
      <c r="L1351" s="1179"/>
      <c r="M1351" s="1183"/>
      <c r="N1351" s="1183"/>
      <c r="O1351" s="1183"/>
      <c r="P1351" s="1201"/>
      <c r="Q1351" s="1201"/>
      <c r="R1351" s="1201"/>
      <c r="S1351" s="1201"/>
      <c r="T1351" s="1201"/>
    </row>
    <row r="1352" spans="12:20">
      <c r="L1352" s="1179"/>
      <c r="M1352" s="1183"/>
      <c r="N1352" s="1183"/>
      <c r="O1352" s="1183"/>
      <c r="P1352" s="1201"/>
      <c r="Q1352" s="1201"/>
      <c r="R1352" s="1201"/>
      <c r="S1352" s="1201"/>
      <c r="T1352" s="1201"/>
    </row>
    <row r="1353" spans="12:20">
      <c r="L1353" s="1179"/>
      <c r="M1353" s="1183"/>
      <c r="N1353" s="1183"/>
      <c r="O1353" s="1183"/>
      <c r="P1353" s="1201"/>
      <c r="Q1353" s="1201"/>
      <c r="R1353" s="1201"/>
      <c r="S1353" s="1201"/>
      <c r="T1353" s="1201"/>
    </row>
    <row r="1354" spans="12:20">
      <c r="L1354" s="1179"/>
      <c r="M1354" s="1183"/>
      <c r="N1354" s="1183"/>
      <c r="O1354" s="1183"/>
      <c r="P1354" s="1201"/>
      <c r="Q1354" s="1201"/>
      <c r="R1354" s="1201"/>
      <c r="S1354" s="1201"/>
      <c r="T1354" s="1201"/>
    </row>
    <row r="1355" spans="12:20">
      <c r="L1355" s="1179"/>
      <c r="M1355" s="1183"/>
      <c r="N1355" s="1183"/>
      <c r="O1355" s="1183"/>
      <c r="P1355" s="1201"/>
      <c r="Q1355" s="1201"/>
      <c r="R1355" s="1201"/>
      <c r="S1355" s="1201"/>
      <c r="T1355" s="1201"/>
    </row>
    <row r="1356" spans="12:20">
      <c r="L1356" s="1179"/>
      <c r="M1356" s="1183"/>
      <c r="N1356" s="1183"/>
      <c r="O1356" s="1183"/>
      <c r="P1356" s="1201"/>
      <c r="Q1356" s="1201"/>
      <c r="R1356" s="1201"/>
      <c r="S1356" s="1201"/>
      <c r="T1356" s="1201"/>
    </row>
    <row r="1357" spans="12:20">
      <c r="L1357" s="1179"/>
      <c r="M1357" s="1183"/>
      <c r="N1357" s="1183"/>
      <c r="O1357" s="1183"/>
      <c r="P1357" s="1201"/>
      <c r="Q1357" s="1201"/>
      <c r="R1357" s="1201"/>
      <c r="S1357" s="1201"/>
      <c r="T1357" s="1201"/>
    </row>
    <row r="1358" spans="12:20">
      <c r="L1358" s="1179"/>
      <c r="M1358" s="1183"/>
      <c r="N1358" s="1183"/>
      <c r="O1358" s="1183"/>
      <c r="P1358" s="1201"/>
      <c r="Q1358" s="1201"/>
      <c r="R1358" s="1201"/>
      <c r="S1358" s="1201"/>
      <c r="T1358" s="1201"/>
    </row>
    <row r="1359" spans="12:20">
      <c r="L1359" s="1179"/>
      <c r="M1359" s="1183"/>
      <c r="N1359" s="1183"/>
      <c r="O1359" s="1183"/>
      <c r="P1359" s="1201"/>
      <c r="Q1359" s="1201"/>
      <c r="R1359" s="1201"/>
      <c r="S1359" s="1201"/>
      <c r="T1359" s="1201"/>
    </row>
    <row r="1360" spans="12:20">
      <c r="L1360" s="1179"/>
      <c r="M1360" s="1183"/>
      <c r="N1360" s="1183"/>
      <c r="O1360" s="1183"/>
      <c r="P1360" s="1201"/>
      <c r="Q1360" s="1201"/>
      <c r="R1360" s="1201"/>
      <c r="S1360" s="1201"/>
      <c r="T1360" s="1201"/>
    </row>
    <row r="1361" spans="12:20">
      <c r="L1361" s="1179"/>
      <c r="M1361" s="1183"/>
      <c r="N1361" s="1183"/>
      <c r="O1361" s="1183"/>
      <c r="P1361" s="1201"/>
      <c r="Q1361" s="1201"/>
      <c r="R1361" s="1201"/>
      <c r="S1361" s="1201"/>
      <c r="T1361" s="1201"/>
    </row>
    <row r="1362" spans="12:20">
      <c r="L1362" s="1179"/>
      <c r="M1362" s="1183"/>
      <c r="N1362" s="1183"/>
      <c r="O1362" s="1183"/>
      <c r="P1362" s="1201"/>
      <c r="Q1362" s="1201"/>
      <c r="R1362" s="1201"/>
      <c r="S1362" s="1201"/>
      <c r="T1362" s="1201"/>
    </row>
    <row r="1363" spans="12:20">
      <c r="L1363" s="1179"/>
      <c r="M1363" s="1183"/>
      <c r="N1363" s="1183"/>
      <c r="O1363" s="1183"/>
      <c r="P1363" s="1201"/>
      <c r="Q1363" s="1201"/>
      <c r="R1363" s="1201"/>
      <c r="S1363" s="1201"/>
      <c r="T1363" s="1201"/>
    </row>
    <row r="1364" spans="12:20">
      <c r="L1364" s="1179"/>
      <c r="M1364" s="1183"/>
      <c r="N1364" s="1183"/>
      <c r="O1364" s="1183"/>
      <c r="P1364" s="1201"/>
      <c r="Q1364" s="1201"/>
      <c r="R1364" s="1201"/>
      <c r="S1364" s="1201"/>
      <c r="T1364" s="1201"/>
    </row>
    <row r="1365" spans="12:20">
      <c r="L1365" s="1179"/>
      <c r="M1365" s="1183"/>
      <c r="N1365" s="1183"/>
      <c r="O1365" s="1183"/>
      <c r="P1365" s="1201"/>
      <c r="Q1365" s="1201"/>
      <c r="R1365" s="1201"/>
      <c r="S1365" s="1201"/>
      <c r="T1365" s="1201"/>
    </row>
    <row r="1366" spans="12:20">
      <c r="L1366" s="1179"/>
      <c r="M1366" s="1183"/>
      <c r="N1366" s="1183"/>
      <c r="O1366" s="1183"/>
      <c r="P1366" s="1201"/>
      <c r="Q1366" s="1201"/>
      <c r="R1366" s="1201"/>
      <c r="S1366" s="1201"/>
      <c r="T1366" s="1201"/>
    </row>
    <row r="1367" spans="12:20">
      <c r="L1367" s="1179"/>
      <c r="M1367" s="1183"/>
      <c r="N1367" s="1183"/>
      <c r="O1367" s="1183"/>
      <c r="P1367" s="1201"/>
      <c r="Q1367" s="1201"/>
      <c r="R1367" s="1201"/>
      <c r="S1367" s="1201"/>
      <c r="T1367" s="1201"/>
    </row>
    <row r="1368" spans="12:20">
      <c r="L1368" s="1179"/>
      <c r="M1368" s="1183"/>
      <c r="N1368" s="1183"/>
      <c r="O1368" s="1183"/>
      <c r="P1368" s="1201"/>
      <c r="Q1368" s="1201"/>
      <c r="R1368" s="1201"/>
      <c r="S1368" s="1201"/>
      <c r="T1368" s="1201"/>
    </row>
    <row r="1369" spans="12:20">
      <c r="L1369" s="1179"/>
      <c r="M1369" s="1183"/>
      <c r="N1369" s="1183"/>
      <c r="O1369" s="1183"/>
      <c r="P1369" s="1201"/>
      <c r="Q1369" s="1201"/>
      <c r="R1369" s="1201"/>
      <c r="S1369" s="1201"/>
      <c r="T1369" s="1201"/>
    </row>
    <row r="1370" spans="12:20">
      <c r="L1370" s="1179"/>
      <c r="M1370" s="1183"/>
      <c r="N1370" s="1183"/>
      <c r="O1370" s="1183"/>
      <c r="P1370" s="1201"/>
      <c r="Q1370" s="1201"/>
      <c r="R1370" s="1201"/>
      <c r="S1370" s="1201"/>
      <c r="T1370" s="1201"/>
    </row>
    <row r="1371" spans="12:20">
      <c r="L1371" s="1179"/>
      <c r="M1371" s="1183"/>
      <c r="N1371" s="1183"/>
      <c r="O1371" s="1183"/>
      <c r="P1371" s="1201"/>
      <c r="Q1371" s="1201"/>
      <c r="R1371" s="1201"/>
      <c r="S1371" s="1201"/>
      <c r="T1371" s="1201"/>
    </row>
    <row r="1372" spans="12:20">
      <c r="L1372" s="1179"/>
      <c r="M1372" s="1183"/>
      <c r="N1372" s="1183"/>
      <c r="O1372" s="1183"/>
      <c r="P1372" s="1201"/>
      <c r="Q1372" s="1201"/>
      <c r="R1372" s="1201"/>
      <c r="S1372" s="1201"/>
      <c r="T1372" s="1201"/>
    </row>
    <row r="1373" spans="12:20">
      <c r="L1373" s="1179"/>
      <c r="M1373" s="1183"/>
      <c r="N1373" s="1183"/>
      <c r="O1373" s="1183"/>
      <c r="P1373" s="1201"/>
      <c r="Q1373" s="1201"/>
      <c r="R1373" s="1201"/>
      <c r="S1373" s="1201"/>
      <c r="T1373" s="1201"/>
    </row>
    <row r="1374" spans="12:20">
      <c r="L1374" s="1179"/>
      <c r="M1374" s="1183"/>
      <c r="N1374" s="1183"/>
      <c r="O1374" s="1183"/>
      <c r="P1374" s="1201"/>
      <c r="Q1374" s="1201"/>
      <c r="R1374" s="1201"/>
      <c r="S1374" s="1201"/>
      <c r="T1374" s="1201"/>
    </row>
    <row r="1375" spans="12:20">
      <c r="L1375" s="1179"/>
      <c r="M1375" s="1183"/>
      <c r="N1375" s="1183"/>
      <c r="O1375" s="1183"/>
      <c r="P1375" s="1201"/>
      <c r="Q1375" s="1201"/>
      <c r="R1375" s="1201"/>
      <c r="S1375" s="1201"/>
      <c r="T1375" s="1201"/>
    </row>
    <row r="1376" spans="12:20">
      <c r="L1376" s="1179"/>
      <c r="M1376" s="1183"/>
      <c r="N1376" s="1183"/>
      <c r="O1376" s="1183"/>
      <c r="P1376" s="1201"/>
      <c r="Q1376" s="1201"/>
      <c r="R1376" s="1201"/>
      <c r="S1376" s="1201"/>
      <c r="T1376" s="1201"/>
    </row>
    <row r="1377" spans="12:20">
      <c r="L1377" s="1179"/>
      <c r="M1377" s="1183"/>
      <c r="N1377" s="1183"/>
      <c r="O1377" s="1183"/>
      <c r="P1377" s="1201"/>
      <c r="Q1377" s="1201"/>
      <c r="R1377" s="1201"/>
      <c r="S1377" s="1201"/>
      <c r="T1377" s="1201"/>
    </row>
    <row r="1378" spans="12:20">
      <c r="L1378" s="1179"/>
      <c r="M1378" s="1183"/>
      <c r="N1378" s="1183"/>
      <c r="O1378" s="1183"/>
      <c r="P1378" s="1201"/>
      <c r="Q1378" s="1201"/>
      <c r="R1378" s="1201"/>
      <c r="S1378" s="1201"/>
      <c r="T1378" s="1201"/>
    </row>
    <row r="1379" spans="12:20">
      <c r="L1379" s="1179"/>
      <c r="M1379" s="1183"/>
      <c r="N1379" s="1183"/>
      <c r="O1379" s="1183"/>
      <c r="P1379" s="1201"/>
      <c r="Q1379" s="1201"/>
      <c r="R1379" s="1201"/>
      <c r="S1379" s="1201"/>
      <c r="T1379" s="1201"/>
    </row>
    <row r="1380" spans="12:20">
      <c r="L1380" s="1179"/>
      <c r="M1380" s="1183"/>
      <c r="N1380" s="1183"/>
      <c r="O1380" s="1183"/>
      <c r="P1380" s="1201"/>
      <c r="Q1380" s="1201"/>
      <c r="R1380" s="1201"/>
      <c r="S1380" s="1201"/>
      <c r="T1380" s="1201"/>
    </row>
    <row r="1381" spans="12:20">
      <c r="L1381" s="1179"/>
      <c r="M1381" s="1183"/>
      <c r="N1381" s="1183"/>
      <c r="O1381" s="1183"/>
      <c r="P1381" s="1201"/>
      <c r="Q1381" s="1201"/>
      <c r="R1381" s="1201"/>
      <c r="S1381" s="1201"/>
      <c r="T1381" s="1201"/>
    </row>
    <row r="1382" spans="12:20">
      <c r="L1382" s="1179"/>
      <c r="M1382" s="1183"/>
      <c r="N1382" s="1183"/>
      <c r="O1382" s="1183"/>
      <c r="P1382" s="1201"/>
      <c r="Q1382" s="1201"/>
      <c r="R1382" s="1201"/>
      <c r="S1382" s="1201"/>
      <c r="T1382" s="1201"/>
    </row>
    <row r="1383" spans="12:20">
      <c r="L1383" s="1179"/>
      <c r="M1383" s="1183"/>
      <c r="N1383" s="1183"/>
      <c r="O1383" s="1183"/>
      <c r="P1383" s="1201"/>
      <c r="Q1383" s="1201"/>
      <c r="R1383" s="1201"/>
      <c r="S1383" s="1201"/>
      <c r="T1383" s="1201"/>
    </row>
    <row r="1384" spans="12:20">
      <c r="L1384" s="1179"/>
      <c r="M1384" s="1183"/>
      <c r="N1384" s="1183"/>
      <c r="O1384" s="1183"/>
      <c r="P1384" s="1201"/>
      <c r="Q1384" s="1201"/>
      <c r="R1384" s="1201"/>
      <c r="S1384" s="1201"/>
      <c r="T1384" s="1201"/>
    </row>
    <row r="1385" spans="12:20">
      <c r="L1385" s="1179"/>
      <c r="M1385" s="1183"/>
      <c r="N1385" s="1183"/>
      <c r="O1385" s="1183"/>
      <c r="P1385" s="1201"/>
      <c r="Q1385" s="1201"/>
      <c r="R1385" s="1201"/>
      <c r="S1385" s="1201"/>
      <c r="T1385" s="1201"/>
    </row>
    <row r="1386" spans="12:20">
      <c r="L1386" s="1179"/>
      <c r="M1386" s="1183"/>
      <c r="N1386" s="1183"/>
      <c r="O1386" s="1183"/>
      <c r="P1386" s="1201"/>
      <c r="Q1386" s="1201"/>
      <c r="R1386" s="1201"/>
      <c r="S1386" s="1201"/>
      <c r="T1386" s="1201"/>
    </row>
    <row r="1387" spans="12:20">
      <c r="L1387" s="1179"/>
      <c r="M1387" s="1183"/>
      <c r="N1387" s="1183"/>
      <c r="O1387" s="1183"/>
      <c r="P1387" s="1201"/>
      <c r="Q1387" s="1201"/>
      <c r="R1387" s="1201"/>
      <c r="S1387" s="1201"/>
      <c r="T1387" s="1201"/>
    </row>
    <row r="1388" spans="12:20">
      <c r="L1388" s="1179"/>
      <c r="M1388" s="1183"/>
      <c r="N1388" s="1183"/>
      <c r="O1388" s="1183"/>
      <c r="P1388" s="1201"/>
      <c r="Q1388" s="1201"/>
      <c r="R1388" s="1201"/>
      <c r="S1388" s="1201"/>
      <c r="T1388" s="1201"/>
    </row>
    <row r="1389" spans="12:20">
      <c r="L1389" s="1179"/>
      <c r="M1389" s="1183"/>
      <c r="N1389" s="1183"/>
      <c r="O1389" s="1183"/>
      <c r="P1389" s="1201"/>
      <c r="Q1389" s="1201"/>
      <c r="R1389" s="1201"/>
      <c r="S1389" s="1201"/>
      <c r="T1389" s="1201"/>
    </row>
    <row r="1390" spans="12:20">
      <c r="L1390" s="1179"/>
      <c r="M1390" s="1183"/>
      <c r="N1390" s="1183"/>
      <c r="O1390" s="1183"/>
      <c r="P1390" s="1201"/>
      <c r="Q1390" s="1201"/>
      <c r="R1390" s="1201"/>
      <c r="S1390" s="1201"/>
      <c r="T1390" s="1201"/>
    </row>
    <row r="1391" spans="12:20">
      <c r="L1391" s="1179"/>
      <c r="M1391" s="1183"/>
      <c r="N1391" s="1183"/>
      <c r="O1391" s="1183"/>
      <c r="P1391" s="1201"/>
      <c r="Q1391" s="1201"/>
      <c r="R1391" s="1201"/>
      <c r="S1391" s="1201"/>
      <c r="T1391" s="1201"/>
    </row>
    <row r="1392" spans="12:20">
      <c r="L1392" s="1179"/>
      <c r="M1392" s="1183"/>
      <c r="N1392" s="1183"/>
      <c r="O1392" s="1183"/>
      <c r="P1392" s="1201"/>
      <c r="Q1392" s="1201"/>
      <c r="R1392" s="1201"/>
      <c r="S1392" s="1201"/>
      <c r="T1392" s="1201"/>
    </row>
    <row r="1393" spans="12:20">
      <c r="L1393" s="1179"/>
      <c r="M1393" s="1183"/>
      <c r="N1393" s="1183"/>
      <c r="O1393" s="1183"/>
      <c r="P1393" s="1201"/>
      <c r="Q1393" s="1201"/>
      <c r="R1393" s="1201"/>
      <c r="S1393" s="1201"/>
      <c r="T1393" s="1201"/>
    </row>
    <row r="1394" spans="12:20">
      <c r="L1394" s="1179"/>
      <c r="M1394" s="1183"/>
      <c r="N1394" s="1183"/>
      <c r="O1394" s="1183"/>
      <c r="P1394" s="1201"/>
      <c r="Q1394" s="1201"/>
      <c r="R1394" s="1201"/>
      <c r="S1394" s="1201"/>
      <c r="T1394" s="1201"/>
    </row>
    <row r="1395" spans="12:20">
      <c r="L1395" s="1179"/>
      <c r="M1395" s="1183"/>
      <c r="N1395" s="1183"/>
      <c r="O1395" s="1183"/>
      <c r="P1395" s="1201"/>
      <c r="Q1395" s="1201"/>
      <c r="R1395" s="1201"/>
      <c r="S1395" s="1201"/>
      <c r="T1395" s="1201"/>
    </row>
    <row r="1396" spans="12:20">
      <c r="L1396" s="1179"/>
      <c r="M1396" s="1183"/>
      <c r="N1396" s="1183"/>
      <c r="O1396" s="1183"/>
      <c r="P1396" s="1201"/>
      <c r="Q1396" s="1201"/>
      <c r="R1396" s="1201"/>
      <c r="S1396" s="1201"/>
      <c r="T1396" s="1201"/>
    </row>
    <row r="1397" spans="12:20">
      <c r="L1397" s="1179"/>
      <c r="M1397" s="1183"/>
      <c r="N1397" s="1183"/>
      <c r="O1397" s="1183"/>
      <c r="P1397" s="1201"/>
      <c r="Q1397" s="1201"/>
      <c r="R1397" s="1201"/>
      <c r="S1397" s="1201"/>
      <c r="T1397" s="1201"/>
    </row>
    <row r="1398" spans="12:20">
      <c r="L1398" s="1179"/>
      <c r="M1398" s="1183"/>
      <c r="N1398" s="1183"/>
      <c r="O1398" s="1183"/>
      <c r="P1398" s="1201"/>
      <c r="Q1398" s="1201"/>
      <c r="R1398" s="1201"/>
      <c r="S1398" s="1201"/>
      <c r="T1398" s="1201"/>
    </row>
    <row r="1399" spans="12:20">
      <c r="L1399" s="1179"/>
      <c r="M1399" s="1183"/>
      <c r="N1399" s="1183"/>
      <c r="O1399" s="1183"/>
      <c r="P1399" s="1201"/>
      <c r="Q1399" s="1201"/>
      <c r="R1399" s="1201"/>
      <c r="S1399" s="1201"/>
      <c r="T1399" s="1201"/>
    </row>
    <row r="1400" spans="12:20">
      <c r="L1400" s="1179"/>
      <c r="M1400" s="1183"/>
      <c r="N1400" s="1183"/>
      <c r="O1400" s="1183"/>
      <c r="P1400" s="1201"/>
      <c r="Q1400" s="1201"/>
      <c r="R1400" s="1201"/>
      <c r="S1400" s="1201"/>
      <c r="T1400" s="1201"/>
    </row>
    <row r="1401" spans="12:20">
      <c r="L1401" s="1179"/>
      <c r="M1401" s="1183"/>
      <c r="N1401" s="1183"/>
      <c r="O1401" s="1183"/>
      <c r="P1401" s="1201"/>
      <c r="Q1401" s="1201"/>
      <c r="R1401" s="1201"/>
      <c r="S1401" s="1201"/>
      <c r="T1401" s="1201"/>
    </row>
    <row r="1402" spans="12:20">
      <c r="L1402" s="1179"/>
      <c r="M1402" s="1183"/>
      <c r="N1402" s="1183"/>
      <c r="O1402" s="1183"/>
      <c r="P1402" s="1201"/>
      <c r="Q1402" s="1201"/>
      <c r="R1402" s="1201"/>
      <c r="S1402" s="1201"/>
      <c r="T1402" s="1201"/>
    </row>
    <row r="1403" spans="12:20">
      <c r="L1403" s="1179"/>
      <c r="M1403" s="1183"/>
      <c r="N1403" s="1183"/>
      <c r="O1403" s="1183"/>
      <c r="P1403" s="1201"/>
      <c r="Q1403" s="1201"/>
      <c r="R1403" s="1201"/>
      <c r="S1403" s="1201"/>
      <c r="T1403" s="1201"/>
    </row>
    <row r="1404" spans="12:20">
      <c r="L1404" s="1179"/>
      <c r="M1404" s="1183"/>
      <c r="N1404" s="1183"/>
      <c r="O1404" s="1183"/>
      <c r="P1404" s="1201"/>
      <c r="Q1404" s="1201"/>
      <c r="R1404" s="1201"/>
      <c r="S1404" s="1201"/>
      <c r="T1404" s="1201"/>
    </row>
    <row r="1405" spans="12:20">
      <c r="L1405" s="1179"/>
      <c r="M1405" s="1183"/>
      <c r="N1405" s="1183"/>
      <c r="O1405" s="1183"/>
      <c r="P1405" s="1201"/>
      <c r="Q1405" s="1201"/>
      <c r="R1405" s="1201"/>
      <c r="S1405" s="1201"/>
      <c r="T1405" s="1201"/>
    </row>
    <row r="1406" spans="12:20">
      <c r="L1406" s="1179"/>
      <c r="M1406" s="1183"/>
      <c r="N1406" s="1183"/>
      <c r="O1406" s="1183"/>
      <c r="P1406" s="1201"/>
      <c r="Q1406" s="1201"/>
      <c r="R1406" s="1201"/>
      <c r="S1406" s="1201"/>
      <c r="T1406" s="1201"/>
    </row>
    <row r="1407" spans="12:20">
      <c r="L1407" s="1179"/>
      <c r="M1407" s="1183"/>
      <c r="N1407" s="1183"/>
      <c r="O1407" s="1183"/>
      <c r="P1407" s="1201"/>
      <c r="Q1407" s="1201"/>
      <c r="R1407" s="1201"/>
      <c r="S1407" s="1201"/>
      <c r="T1407" s="1201"/>
    </row>
    <row r="1408" spans="12:20">
      <c r="L1408" s="1179"/>
      <c r="M1408" s="1183"/>
      <c r="N1408" s="1183"/>
      <c r="O1408" s="1183"/>
      <c r="P1408" s="1201"/>
      <c r="Q1408" s="1201"/>
      <c r="R1408" s="1201"/>
      <c r="S1408" s="1201"/>
      <c r="T1408" s="1201"/>
    </row>
    <row r="1409" spans="12:20">
      <c r="L1409" s="1179"/>
      <c r="M1409" s="1183"/>
      <c r="N1409" s="1183"/>
      <c r="O1409" s="1183"/>
      <c r="P1409" s="1201"/>
      <c r="Q1409" s="1201"/>
      <c r="R1409" s="1201"/>
      <c r="S1409" s="1201"/>
      <c r="T1409" s="1201"/>
    </row>
    <row r="1410" spans="12:20">
      <c r="L1410" s="1179"/>
      <c r="M1410" s="1183"/>
      <c r="N1410" s="1183"/>
      <c r="O1410" s="1183"/>
      <c r="P1410" s="1201"/>
      <c r="Q1410" s="1201"/>
      <c r="R1410" s="1201"/>
      <c r="S1410" s="1201"/>
      <c r="T1410" s="1201"/>
    </row>
    <row r="1411" spans="12:20">
      <c r="L1411" s="1179"/>
      <c r="M1411" s="1183"/>
      <c r="N1411" s="1183"/>
      <c r="O1411" s="1183"/>
      <c r="P1411" s="1201"/>
      <c r="Q1411" s="1201"/>
      <c r="R1411" s="1201"/>
      <c r="S1411" s="1201"/>
      <c r="T1411" s="1201"/>
    </row>
    <row r="1412" spans="12:20">
      <c r="L1412" s="1179"/>
      <c r="M1412" s="1183"/>
      <c r="N1412" s="1183"/>
      <c r="O1412" s="1183"/>
      <c r="P1412" s="1201"/>
      <c r="Q1412" s="1201"/>
      <c r="R1412" s="1201"/>
      <c r="S1412" s="1201"/>
      <c r="T1412" s="1201"/>
    </row>
    <row r="1413" spans="12:20">
      <c r="L1413" s="1179"/>
      <c r="M1413" s="1183"/>
      <c r="N1413" s="1183"/>
      <c r="O1413" s="1183"/>
      <c r="P1413" s="1201"/>
      <c r="Q1413" s="1201"/>
      <c r="R1413" s="1201"/>
      <c r="S1413" s="1201"/>
      <c r="T1413" s="1201"/>
    </row>
    <row r="1414" spans="12:20">
      <c r="L1414" s="1179"/>
      <c r="M1414" s="1183"/>
      <c r="N1414" s="1183"/>
      <c r="O1414" s="1183"/>
      <c r="P1414" s="1201"/>
      <c r="Q1414" s="1201"/>
      <c r="R1414" s="1201"/>
      <c r="S1414" s="1201"/>
      <c r="T1414" s="1201"/>
    </row>
    <row r="1415" spans="12:20">
      <c r="L1415" s="1179"/>
      <c r="M1415" s="1183"/>
      <c r="N1415" s="1183"/>
      <c r="O1415" s="1183"/>
      <c r="P1415" s="1201"/>
      <c r="Q1415" s="1201"/>
      <c r="R1415" s="1201"/>
      <c r="S1415" s="1201"/>
      <c r="T1415" s="1201"/>
    </row>
    <row r="1416" spans="12:20">
      <c r="L1416" s="1179"/>
      <c r="M1416" s="1183"/>
      <c r="N1416" s="1183"/>
      <c r="O1416" s="1183"/>
      <c r="P1416" s="1201"/>
      <c r="Q1416" s="1201"/>
      <c r="R1416" s="1201"/>
      <c r="S1416" s="1201"/>
      <c r="T1416" s="1201"/>
    </row>
    <row r="1417" spans="12:20">
      <c r="L1417" s="1179"/>
      <c r="M1417" s="1183"/>
      <c r="N1417" s="1183"/>
      <c r="O1417" s="1183"/>
      <c r="P1417" s="1201"/>
      <c r="Q1417" s="1201"/>
      <c r="R1417" s="1201"/>
      <c r="S1417" s="1201"/>
      <c r="T1417" s="1201"/>
    </row>
    <row r="1418" spans="12:20">
      <c r="L1418" s="1179"/>
      <c r="M1418" s="1183"/>
      <c r="N1418" s="1183"/>
      <c r="O1418" s="1183"/>
      <c r="P1418" s="1201"/>
      <c r="Q1418" s="1201"/>
      <c r="R1418" s="1201"/>
      <c r="S1418" s="1201"/>
      <c r="T1418" s="1201"/>
    </row>
    <row r="1419" spans="12:20">
      <c r="L1419" s="1179"/>
      <c r="M1419" s="1183"/>
      <c r="N1419" s="1183"/>
      <c r="O1419" s="1183"/>
      <c r="P1419" s="1201"/>
      <c r="Q1419" s="1201"/>
      <c r="R1419" s="1201"/>
      <c r="S1419" s="1201"/>
      <c r="T1419" s="1201"/>
    </row>
    <row r="1420" spans="12:20">
      <c r="L1420" s="1179"/>
      <c r="M1420" s="1183"/>
      <c r="N1420" s="1183"/>
      <c r="O1420" s="1183"/>
      <c r="P1420" s="1201"/>
      <c r="Q1420" s="1201"/>
      <c r="R1420" s="1201"/>
      <c r="S1420" s="1201"/>
      <c r="T1420" s="1201"/>
    </row>
    <row r="1421" spans="12:20">
      <c r="L1421" s="1179"/>
      <c r="M1421" s="1183"/>
      <c r="N1421" s="1183"/>
      <c r="O1421" s="1183"/>
      <c r="P1421" s="1201"/>
      <c r="Q1421" s="1201"/>
      <c r="R1421" s="1201"/>
      <c r="S1421" s="1201"/>
      <c r="T1421" s="1201"/>
    </row>
    <row r="1422" spans="12:20">
      <c r="L1422" s="1179"/>
      <c r="M1422" s="1183"/>
      <c r="N1422" s="1183"/>
      <c r="O1422" s="1183"/>
      <c r="P1422" s="1201"/>
      <c r="Q1422" s="1201"/>
      <c r="R1422" s="1201"/>
      <c r="S1422" s="1201"/>
      <c r="T1422" s="1201"/>
    </row>
    <row r="1423" spans="12:20">
      <c r="L1423" s="1179"/>
      <c r="M1423" s="1183"/>
      <c r="N1423" s="1183"/>
      <c r="O1423" s="1183"/>
      <c r="P1423" s="1201"/>
      <c r="Q1423" s="1201"/>
      <c r="R1423" s="1201"/>
      <c r="S1423" s="1201"/>
      <c r="T1423" s="1201"/>
    </row>
    <row r="1424" spans="12:20">
      <c r="L1424" s="1179"/>
      <c r="M1424" s="1183"/>
      <c r="N1424" s="1183"/>
      <c r="O1424" s="1183"/>
      <c r="P1424" s="1201"/>
      <c r="Q1424" s="1201"/>
      <c r="R1424" s="1201"/>
      <c r="S1424" s="1201"/>
      <c r="T1424" s="1201"/>
    </row>
    <row r="1425" spans="12:20">
      <c r="L1425" s="1179"/>
      <c r="M1425" s="1183"/>
      <c r="N1425" s="1183"/>
      <c r="O1425" s="1183"/>
      <c r="P1425" s="1201"/>
      <c r="Q1425" s="1201"/>
      <c r="R1425" s="1201"/>
      <c r="S1425" s="1201"/>
      <c r="T1425" s="1201"/>
    </row>
    <row r="1426" spans="12:20">
      <c r="L1426" s="1179"/>
      <c r="M1426" s="1183"/>
      <c r="N1426" s="1183"/>
      <c r="O1426" s="1183"/>
      <c r="P1426" s="1201"/>
      <c r="Q1426" s="1201"/>
      <c r="R1426" s="1201"/>
      <c r="S1426" s="1201"/>
      <c r="T1426" s="1201"/>
    </row>
    <row r="1427" spans="12:20">
      <c r="L1427" s="1179"/>
      <c r="M1427" s="1183"/>
      <c r="N1427" s="1183"/>
      <c r="O1427" s="1183"/>
      <c r="P1427" s="1201"/>
      <c r="Q1427" s="1201"/>
      <c r="R1427" s="1201"/>
      <c r="S1427" s="1201"/>
      <c r="T1427" s="1201"/>
    </row>
    <row r="1428" spans="12:20">
      <c r="L1428" s="1179"/>
      <c r="M1428" s="1183"/>
      <c r="N1428" s="1183"/>
      <c r="O1428" s="1183"/>
      <c r="P1428" s="1201"/>
      <c r="Q1428" s="1201"/>
      <c r="R1428" s="1201"/>
      <c r="S1428" s="1201"/>
      <c r="T1428" s="1201"/>
    </row>
    <row r="1429" spans="12:20">
      <c r="L1429" s="1179"/>
      <c r="M1429" s="1183"/>
      <c r="N1429" s="1183"/>
      <c r="O1429" s="1183"/>
      <c r="P1429" s="1201"/>
      <c r="Q1429" s="1201"/>
      <c r="R1429" s="1201"/>
      <c r="S1429" s="1201"/>
      <c r="T1429" s="1201"/>
    </row>
    <row r="1430" spans="12:20">
      <c r="L1430" s="1179"/>
      <c r="M1430" s="1183"/>
      <c r="N1430" s="1183"/>
      <c r="O1430" s="1183"/>
      <c r="P1430" s="1201"/>
      <c r="Q1430" s="1201"/>
      <c r="R1430" s="1201"/>
      <c r="S1430" s="1201"/>
      <c r="T1430" s="1201"/>
    </row>
    <row r="1431" spans="12:20">
      <c r="L1431" s="1179"/>
      <c r="M1431" s="1183"/>
      <c r="N1431" s="1183"/>
      <c r="O1431" s="1183"/>
      <c r="P1431" s="1201"/>
      <c r="Q1431" s="1201"/>
      <c r="R1431" s="1201"/>
      <c r="S1431" s="1201"/>
      <c r="T1431" s="1201"/>
    </row>
    <row r="1432" spans="12:20">
      <c r="L1432" s="1179"/>
      <c r="M1432" s="1183"/>
      <c r="N1432" s="1183"/>
      <c r="O1432" s="1183"/>
      <c r="P1432" s="1201"/>
      <c r="Q1432" s="1201"/>
      <c r="R1432" s="1201"/>
      <c r="S1432" s="1201"/>
      <c r="T1432" s="1201"/>
    </row>
    <row r="1433" spans="12:20">
      <c r="L1433" s="1179"/>
      <c r="M1433" s="1183"/>
      <c r="N1433" s="1183"/>
      <c r="O1433" s="1183"/>
      <c r="P1433" s="1201"/>
      <c r="Q1433" s="1201"/>
      <c r="R1433" s="1201"/>
      <c r="S1433" s="1201"/>
      <c r="T1433" s="1201"/>
    </row>
    <row r="1434" spans="12:20">
      <c r="L1434" s="1179"/>
      <c r="M1434" s="1183"/>
      <c r="N1434" s="1183"/>
      <c r="O1434" s="1183"/>
      <c r="P1434" s="1201"/>
      <c r="Q1434" s="1201"/>
      <c r="R1434" s="1201"/>
      <c r="S1434" s="1201"/>
      <c r="T1434" s="1201"/>
    </row>
    <row r="1435" spans="12:20">
      <c r="L1435" s="1179"/>
      <c r="M1435" s="1183"/>
      <c r="N1435" s="1183"/>
      <c r="O1435" s="1183"/>
      <c r="P1435" s="1201"/>
      <c r="Q1435" s="1201"/>
      <c r="R1435" s="1201"/>
      <c r="S1435" s="1201"/>
      <c r="T1435" s="1201"/>
    </row>
    <row r="1436" spans="12:20">
      <c r="L1436" s="1179"/>
      <c r="M1436" s="1183"/>
      <c r="N1436" s="1183"/>
      <c r="O1436" s="1183"/>
      <c r="P1436" s="1201"/>
      <c r="Q1436" s="1201"/>
      <c r="R1436" s="1201"/>
      <c r="S1436" s="1201"/>
      <c r="T1436" s="1201"/>
    </row>
    <row r="1437" spans="12:20">
      <c r="L1437" s="1179"/>
      <c r="M1437" s="1183"/>
      <c r="N1437" s="1183"/>
      <c r="O1437" s="1183"/>
      <c r="P1437" s="1201"/>
      <c r="Q1437" s="1201"/>
      <c r="R1437" s="1201"/>
      <c r="S1437" s="1201"/>
      <c r="T1437" s="1201"/>
    </row>
    <row r="1438" spans="12:20">
      <c r="L1438" s="1179"/>
      <c r="M1438" s="1183"/>
      <c r="N1438" s="1183"/>
      <c r="O1438" s="1183"/>
      <c r="P1438" s="1201"/>
      <c r="Q1438" s="1201"/>
      <c r="R1438" s="1201"/>
      <c r="S1438" s="1201"/>
      <c r="T1438" s="1201"/>
    </row>
    <row r="1439" spans="12:20">
      <c r="L1439" s="1179"/>
      <c r="M1439" s="1183"/>
      <c r="N1439" s="1183"/>
      <c r="O1439" s="1183"/>
      <c r="P1439" s="1201"/>
      <c r="Q1439" s="1201"/>
      <c r="R1439" s="1201"/>
      <c r="S1439" s="1201"/>
      <c r="T1439" s="1201"/>
    </row>
    <row r="1440" spans="12:20">
      <c r="L1440" s="1179"/>
      <c r="M1440" s="1183"/>
      <c r="N1440" s="1183"/>
      <c r="O1440" s="1183"/>
      <c r="P1440" s="1201"/>
      <c r="Q1440" s="1201"/>
      <c r="R1440" s="1201"/>
      <c r="S1440" s="1201"/>
      <c r="T1440" s="1201"/>
    </row>
    <row r="1441" spans="12:20">
      <c r="L1441" s="1179"/>
      <c r="M1441" s="1183"/>
      <c r="N1441" s="1183"/>
      <c r="O1441" s="1183"/>
      <c r="P1441" s="1201"/>
      <c r="Q1441" s="1201"/>
      <c r="R1441" s="1201"/>
      <c r="S1441" s="1201"/>
      <c r="T1441" s="1201"/>
    </row>
    <row r="1442" spans="12:20">
      <c r="L1442" s="1179"/>
      <c r="M1442" s="1183"/>
      <c r="N1442" s="1183"/>
      <c r="O1442" s="1183"/>
      <c r="P1442" s="1201"/>
      <c r="Q1442" s="1201"/>
      <c r="R1442" s="1201"/>
      <c r="S1442" s="1201"/>
      <c r="T1442" s="1201"/>
    </row>
    <row r="1443" spans="12:20">
      <c r="L1443" s="1179"/>
      <c r="M1443" s="1183"/>
      <c r="N1443" s="1183"/>
      <c r="O1443" s="1183"/>
      <c r="P1443" s="1201"/>
      <c r="Q1443" s="1201"/>
      <c r="R1443" s="1201"/>
      <c r="S1443" s="1201"/>
      <c r="T1443" s="1201"/>
    </row>
    <row r="1444" spans="12:20">
      <c r="L1444" s="1179"/>
      <c r="M1444" s="1183"/>
      <c r="N1444" s="1183"/>
      <c r="O1444" s="1183"/>
      <c r="P1444" s="1201"/>
      <c r="Q1444" s="1201"/>
      <c r="R1444" s="1201"/>
      <c r="S1444" s="1201"/>
      <c r="T1444" s="1201"/>
    </row>
    <row r="1445" spans="12:20">
      <c r="L1445" s="1179"/>
      <c r="M1445" s="1183"/>
      <c r="N1445" s="1183"/>
      <c r="O1445" s="1183"/>
      <c r="P1445" s="1201"/>
      <c r="Q1445" s="1201"/>
      <c r="R1445" s="1201"/>
      <c r="S1445" s="1201"/>
      <c r="T1445" s="1201"/>
    </row>
    <row r="1446" spans="12:20">
      <c r="L1446" s="1179"/>
      <c r="M1446" s="1183"/>
      <c r="N1446" s="1183"/>
      <c r="O1446" s="1183"/>
      <c r="P1446" s="1201"/>
      <c r="Q1446" s="1201"/>
      <c r="R1446" s="1201"/>
      <c r="S1446" s="1201"/>
      <c r="T1446" s="1201"/>
    </row>
    <row r="1447" spans="12:20">
      <c r="L1447" s="1179"/>
      <c r="M1447" s="1183"/>
      <c r="N1447" s="1183"/>
      <c r="O1447" s="1183"/>
      <c r="P1447" s="1201"/>
      <c r="Q1447" s="1201"/>
      <c r="R1447" s="1201"/>
      <c r="S1447" s="1201"/>
      <c r="T1447" s="1201"/>
    </row>
    <row r="1448" spans="12:20">
      <c r="L1448" s="1179"/>
      <c r="M1448" s="1183"/>
      <c r="N1448" s="1183"/>
      <c r="O1448" s="1183"/>
      <c r="P1448" s="1201"/>
      <c r="Q1448" s="1201"/>
      <c r="R1448" s="1201"/>
      <c r="S1448" s="1201"/>
      <c r="T1448" s="1201"/>
    </row>
    <row r="1449" spans="12:20">
      <c r="L1449" s="1179"/>
      <c r="M1449" s="1183"/>
      <c r="N1449" s="1183"/>
      <c r="O1449" s="1183"/>
      <c r="P1449" s="1201"/>
      <c r="Q1449" s="1201"/>
      <c r="R1449" s="1201"/>
      <c r="S1449" s="1201"/>
      <c r="T1449" s="1201"/>
    </row>
    <row r="1450" spans="12:20">
      <c r="L1450" s="1179"/>
      <c r="M1450" s="1183"/>
      <c r="N1450" s="1183"/>
      <c r="O1450" s="1183"/>
      <c r="P1450" s="1201"/>
      <c r="Q1450" s="1201"/>
      <c r="R1450" s="1201"/>
      <c r="S1450" s="1201"/>
      <c r="T1450" s="1201"/>
    </row>
    <row r="1451" spans="12:20">
      <c r="L1451" s="1179"/>
      <c r="M1451" s="1183"/>
      <c r="N1451" s="1183"/>
      <c r="O1451" s="1183"/>
      <c r="P1451" s="1201"/>
      <c r="Q1451" s="1201"/>
      <c r="R1451" s="1201"/>
      <c r="S1451" s="1201"/>
      <c r="T1451" s="1201"/>
    </row>
    <row r="1452" spans="12:20">
      <c r="L1452" s="1179"/>
      <c r="M1452" s="1183"/>
      <c r="N1452" s="1183"/>
      <c r="O1452" s="1183"/>
      <c r="P1452" s="1201"/>
      <c r="Q1452" s="1201"/>
      <c r="R1452" s="1201"/>
      <c r="S1452" s="1201"/>
      <c r="T1452" s="1201"/>
    </row>
    <row r="1453" spans="12:20">
      <c r="L1453" s="1179"/>
      <c r="M1453" s="1183"/>
      <c r="N1453" s="1183"/>
      <c r="O1453" s="1183"/>
      <c r="P1453" s="1201"/>
      <c r="Q1453" s="1201"/>
      <c r="R1453" s="1201"/>
      <c r="S1453" s="1201"/>
      <c r="T1453" s="1201"/>
    </row>
    <row r="1454" spans="12:20">
      <c r="L1454" s="1179"/>
      <c r="M1454" s="1183"/>
      <c r="N1454" s="1183"/>
      <c r="O1454" s="1183"/>
      <c r="P1454" s="1201"/>
      <c r="Q1454" s="1201"/>
      <c r="R1454" s="1201"/>
      <c r="S1454" s="1201"/>
      <c r="T1454" s="1201"/>
    </row>
    <row r="1455" spans="12:20">
      <c r="L1455" s="1179"/>
      <c r="M1455" s="1183"/>
      <c r="N1455" s="1183"/>
      <c r="O1455" s="1183"/>
      <c r="P1455" s="1201"/>
      <c r="Q1455" s="1201"/>
      <c r="R1455" s="1201"/>
      <c r="S1455" s="1201"/>
      <c r="T1455" s="1201"/>
    </row>
    <row r="1456" spans="12:20">
      <c r="L1456" s="1179"/>
      <c r="M1456" s="1183"/>
      <c r="N1456" s="1183"/>
      <c r="O1456" s="1183"/>
      <c r="P1456" s="1201"/>
      <c r="Q1456" s="1201"/>
      <c r="R1456" s="1201"/>
      <c r="S1456" s="1201"/>
      <c r="T1456" s="1201"/>
    </row>
    <row r="1457" spans="12:20">
      <c r="L1457" s="1179"/>
      <c r="M1457" s="1183"/>
      <c r="N1457" s="1183"/>
      <c r="O1457" s="1183"/>
      <c r="P1457" s="1201"/>
      <c r="Q1457" s="1201"/>
      <c r="R1457" s="1201"/>
      <c r="S1457" s="1201"/>
      <c r="T1457" s="1201"/>
    </row>
    <row r="1458" spans="12:20">
      <c r="L1458" s="1179"/>
      <c r="M1458" s="1183"/>
      <c r="N1458" s="1183"/>
      <c r="O1458" s="1183"/>
      <c r="P1458" s="1201"/>
      <c r="Q1458" s="1201"/>
      <c r="R1458" s="1201"/>
      <c r="S1458" s="1201"/>
      <c r="T1458" s="1201"/>
    </row>
    <row r="1459" spans="12:20">
      <c r="L1459" s="1179"/>
      <c r="M1459" s="1183"/>
      <c r="N1459" s="1183"/>
      <c r="O1459" s="1183"/>
      <c r="P1459" s="1201"/>
      <c r="Q1459" s="1201"/>
      <c r="R1459" s="1201"/>
      <c r="S1459" s="1201"/>
      <c r="T1459" s="1201"/>
    </row>
    <row r="1460" spans="12:20">
      <c r="L1460" s="1179"/>
      <c r="M1460" s="1183"/>
      <c r="N1460" s="1183"/>
      <c r="O1460" s="1183"/>
      <c r="P1460" s="1201"/>
      <c r="Q1460" s="1201"/>
      <c r="R1460" s="1201"/>
      <c r="S1460" s="1201"/>
      <c r="T1460" s="1201"/>
    </row>
    <row r="1461" spans="12:20">
      <c r="L1461" s="1179"/>
      <c r="M1461" s="1183"/>
      <c r="N1461" s="1183"/>
      <c r="O1461" s="1183"/>
      <c r="P1461" s="1201"/>
      <c r="Q1461" s="1201"/>
      <c r="R1461" s="1201"/>
      <c r="S1461" s="1201"/>
      <c r="T1461" s="1201"/>
    </row>
    <row r="1462" spans="12:20">
      <c r="L1462" s="1179"/>
      <c r="M1462" s="1183"/>
      <c r="N1462" s="1183"/>
      <c r="O1462" s="1183"/>
      <c r="P1462" s="1201"/>
      <c r="Q1462" s="1201"/>
      <c r="R1462" s="1201"/>
      <c r="S1462" s="1201"/>
      <c r="T1462" s="1201"/>
    </row>
    <row r="1463" spans="12:20">
      <c r="L1463" s="1179"/>
      <c r="M1463" s="1183"/>
      <c r="N1463" s="1183"/>
      <c r="O1463" s="1183"/>
      <c r="P1463" s="1201"/>
      <c r="Q1463" s="1201"/>
      <c r="R1463" s="1201"/>
      <c r="S1463" s="1201"/>
      <c r="T1463" s="1201"/>
    </row>
    <row r="1464" spans="12:20">
      <c r="L1464" s="1179"/>
      <c r="M1464" s="1183"/>
      <c r="N1464" s="1183"/>
      <c r="O1464" s="1183"/>
      <c r="P1464" s="1201"/>
      <c r="Q1464" s="1201"/>
      <c r="R1464" s="1201"/>
      <c r="S1464" s="1201"/>
      <c r="T1464" s="1201"/>
    </row>
    <row r="1465" spans="12:20">
      <c r="L1465" s="1179"/>
      <c r="M1465" s="1183"/>
      <c r="N1465" s="1183"/>
      <c r="O1465" s="1183"/>
      <c r="P1465" s="1201"/>
      <c r="Q1465" s="1201"/>
      <c r="R1465" s="1201"/>
      <c r="S1465" s="1201"/>
      <c r="T1465" s="1201"/>
    </row>
    <row r="1466" spans="12:20">
      <c r="L1466" s="1179"/>
      <c r="M1466" s="1183"/>
      <c r="N1466" s="1183"/>
      <c r="O1466" s="1183"/>
      <c r="P1466" s="1201"/>
      <c r="Q1466" s="1201"/>
      <c r="R1466" s="1201"/>
      <c r="S1466" s="1201"/>
      <c r="T1466" s="1201"/>
    </row>
    <row r="1467" spans="12:20">
      <c r="L1467" s="1179"/>
      <c r="M1467" s="1183"/>
      <c r="N1467" s="1183"/>
      <c r="O1467" s="1183"/>
      <c r="P1467" s="1201"/>
      <c r="Q1467" s="1201"/>
      <c r="R1467" s="1201"/>
      <c r="S1467" s="1201"/>
      <c r="T1467" s="1201"/>
    </row>
    <row r="1468" spans="12:20">
      <c r="L1468" s="1179"/>
      <c r="M1468" s="1183"/>
      <c r="N1468" s="1183"/>
      <c r="O1468" s="1183"/>
      <c r="P1468" s="1201"/>
      <c r="Q1468" s="1201"/>
      <c r="R1468" s="1201"/>
      <c r="S1468" s="1201"/>
      <c r="T1468" s="1201"/>
    </row>
    <row r="1469" spans="12:20">
      <c r="L1469" s="1179"/>
      <c r="M1469" s="1183"/>
      <c r="N1469" s="1183"/>
      <c r="O1469" s="1183"/>
      <c r="P1469" s="1201"/>
      <c r="Q1469" s="1201"/>
      <c r="R1469" s="1201"/>
      <c r="S1469" s="1201"/>
      <c r="T1469" s="1201"/>
    </row>
    <row r="1470" spans="12:20">
      <c r="L1470" s="1179"/>
      <c r="M1470" s="1183"/>
      <c r="N1470" s="1183"/>
      <c r="O1470" s="1183"/>
      <c r="P1470" s="1201"/>
      <c r="Q1470" s="1201"/>
      <c r="R1470" s="1201"/>
      <c r="S1470" s="1201"/>
      <c r="T1470" s="1201"/>
    </row>
    <row r="1471" spans="12:20">
      <c r="L1471" s="1179"/>
      <c r="M1471" s="1183"/>
      <c r="N1471" s="1183"/>
      <c r="O1471" s="1183"/>
      <c r="P1471" s="1201"/>
      <c r="Q1471" s="1201"/>
      <c r="R1471" s="1201"/>
      <c r="S1471" s="1201"/>
      <c r="T1471" s="1201"/>
    </row>
    <row r="1472" spans="12:20">
      <c r="L1472" s="1179"/>
      <c r="M1472" s="1183"/>
      <c r="N1472" s="1183"/>
      <c r="O1472" s="1183"/>
      <c r="P1472" s="1201"/>
      <c r="Q1472" s="1201"/>
      <c r="R1472" s="1201"/>
      <c r="S1472" s="1201"/>
      <c r="T1472" s="1201"/>
    </row>
    <row r="1473" spans="12:20">
      <c r="L1473" s="1179"/>
      <c r="M1473" s="1183"/>
      <c r="N1473" s="1183"/>
      <c r="O1473" s="1183"/>
      <c r="P1473" s="1201"/>
      <c r="Q1473" s="1201"/>
      <c r="R1473" s="1201"/>
      <c r="S1473" s="1201"/>
      <c r="T1473" s="1201"/>
    </row>
    <row r="1474" spans="12:20">
      <c r="L1474" s="1179"/>
      <c r="M1474" s="1183"/>
      <c r="N1474" s="1183"/>
      <c r="O1474" s="1183"/>
      <c r="P1474" s="1201"/>
      <c r="Q1474" s="1201"/>
      <c r="R1474" s="1201"/>
      <c r="S1474" s="1201"/>
      <c r="T1474" s="1201"/>
    </row>
    <row r="1475" spans="12:20">
      <c r="L1475" s="1179"/>
      <c r="M1475" s="1183"/>
      <c r="N1475" s="1183"/>
      <c r="O1475" s="1183"/>
      <c r="P1475" s="1201"/>
      <c r="Q1475" s="1201"/>
      <c r="R1475" s="1201"/>
      <c r="S1475" s="1201"/>
      <c r="T1475" s="1201"/>
    </row>
    <row r="1476" spans="12:20">
      <c r="L1476" s="1179"/>
      <c r="M1476" s="1183"/>
      <c r="N1476" s="1183"/>
      <c r="O1476" s="1183"/>
      <c r="P1476" s="1201"/>
      <c r="Q1476" s="1201"/>
      <c r="R1476" s="1201"/>
      <c r="S1476" s="1201"/>
      <c r="T1476" s="1201"/>
    </row>
    <row r="1477" spans="12:20">
      <c r="L1477" s="1179"/>
      <c r="M1477" s="1183"/>
      <c r="N1477" s="1183"/>
      <c r="O1477" s="1183"/>
      <c r="P1477" s="1201"/>
      <c r="Q1477" s="1201"/>
      <c r="R1477" s="1201"/>
      <c r="S1477" s="1201"/>
      <c r="T1477" s="1201"/>
    </row>
    <row r="1478" spans="12:20">
      <c r="L1478" s="1179"/>
      <c r="M1478" s="1183"/>
      <c r="N1478" s="1183"/>
      <c r="O1478" s="1183"/>
      <c r="P1478" s="1201"/>
      <c r="Q1478" s="1201"/>
      <c r="R1478" s="1201"/>
      <c r="S1478" s="1201"/>
      <c r="T1478" s="1201"/>
    </row>
    <row r="1479" spans="12:20">
      <c r="L1479" s="1179"/>
      <c r="M1479" s="1183"/>
      <c r="N1479" s="1183"/>
      <c r="O1479" s="1183"/>
      <c r="P1479" s="1201"/>
      <c r="Q1479" s="1201"/>
      <c r="R1479" s="1201"/>
      <c r="S1479" s="1201"/>
      <c r="T1479" s="1201"/>
    </row>
    <row r="1480" spans="12:20">
      <c r="L1480" s="1179"/>
      <c r="M1480" s="1183"/>
      <c r="N1480" s="1183"/>
      <c r="O1480" s="1183"/>
      <c r="P1480" s="1201"/>
      <c r="Q1480" s="1201"/>
      <c r="R1480" s="1201"/>
      <c r="S1480" s="1201"/>
      <c r="T1480" s="1201"/>
    </row>
    <row r="1481" spans="12:20">
      <c r="L1481" s="1179"/>
      <c r="M1481" s="1183"/>
      <c r="N1481" s="1183"/>
      <c r="O1481" s="1183"/>
      <c r="P1481" s="1201"/>
      <c r="Q1481" s="1201"/>
      <c r="R1481" s="1201"/>
      <c r="S1481" s="1201"/>
      <c r="T1481" s="1201"/>
    </row>
    <row r="1482" spans="12:20">
      <c r="L1482" s="1179"/>
      <c r="M1482" s="1183"/>
      <c r="N1482" s="1183"/>
      <c r="O1482" s="1183"/>
      <c r="P1482" s="1201"/>
      <c r="Q1482" s="1201"/>
      <c r="R1482" s="1201"/>
      <c r="S1482" s="1201"/>
      <c r="T1482" s="1201"/>
    </row>
    <row r="1483" spans="12:20">
      <c r="L1483" s="1179"/>
      <c r="M1483" s="1183"/>
      <c r="N1483" s="1183"/>
      <c r="O1483" s="1183"/>
      <c r="P1483" s="1201"/>
      <c r="Q1483" s="1201"/>
      <c r="R1483" s="1201"/>
      <c r="S1483" s="1201"/>
      <c r="T1483" s="1201"/>
    </row>
    <row r="1484" spans="12:20">
      <c r="L1484" s="1179"/>
      <c r="M1484" s="1183"/>
      <c r="N1484" s="1183"/>
      <c r="O1484" s="1183"/>
      <c r="P1484" s="1201"/>
      <c r="Q1484" s="1201"/>
      <c r="R1484" s="1201"/>
      <c r="S1484" s="1201"/>
      <c r="T1484" s="1201"/>
    </row>
    <row r="1485" spans="12:20">
      <c r="L1485" s="1179"/>
      <c r="M1485" s="1183"/>
      <c r="N1485" s="1183"/>
      <c r="O1485" s="1183"/>
      <c r="P1485" s="1201"/>
      <c r="Q1485" s="1201"/>
      <c r="R1485" s="1201"/>
      <c r="S1485" s="1201"/>
      <c r="T1485" s="1201"/>
    </row>
    <row r="1486" spans="12:20">
      <c r="L1486" s="1179"/>
      <c r="M1486" s="1183"/>
      <c r="N1486" s="1183"/>
      <c r="O1486" s="1183"/>
      <c r="P1486" s="1201"/>
      <c r="Q1486" s="1201"/>
      <c r="R1486" s="1201"/>
      <c r="S1486" s="1201"/>
      <c r="T1486" s="1201"/>
    </row>
    <row r="1487" spans="12:20">
      <c r="L1487" s="1179"/>
      <c r="M1487" s="1183"/>
      <c r="N1487" s="1183"/>
      <c r="O1487" s="1183"/>
      <c r="P1487" s="1201"/>
      <c r="Q1487" s="1201"/>
      <c r="R1487" s="1201"/>
      <c r="S1487" s="1201"/>
      <c r="T1487" s="1201"/>
    </row>
    <row r="1488" spans="12:20">
      <c r="L1488" s="1179"/>
      <c r="M1488" s="1183"/>
      <c r="N1488" s="1183"/>
      <c r="O1488" s="1183"/>
      <c r="P1488" s="1201"/>
      <c r="Q1488" s="1201"/>
      <c r="R1488" s="1201"/>
      <c r="S1488" s="1201"/>
      <c r="T1488" s="1201"/>
    </row>
    <row r="1489" spans="12:20">
      <c r="L1489" s="1179"/>
      <c r="M1489" s="1183"/>
      <c r="N1489" s="1183"/>
      <c r="O1489" s="1183"/>
      <c r="P1489" s="1201"/>
      <c r="Q1489" s="1201"/>
      <c r="R1489" s="1201"/>
      <c r="S1489" s="1201"/>
      <c r="T1489" s="1201"/>
    </row>
    <row r="1490" spans="12:20">
      <c r="L1490" s="1179"/>
      <c r="M1490" s="1183"/>
      <c r="N1490" s="1183"/>
      <c r="O1490" s="1183"/>
      <c r="P1490" s="1201"/>
      <c r="Q1490" s="1201"/>
      <c r="R1490" s="1201"/>
      <c r="S1490" s="1201"/>
      <c r="T1490" s="1201"/>
    </row>
    <row r="1491" spans="12:20">
      <c r="L1491" s="1179"/>
      <c r="M1491" s="1183"/>
      <c r="N1491" s="1183"/>
      <c r="O1491" s="1183"/>
      <c r="P1491" s="1201"/>
      <c r="Q1491" s="1201"/>
      <c r="R1491" s="1201"/>
      <c r="S1491" s="1201"/>
      <c r="T1491" s="1201"/>
    </row>
    <row r="1492" spans="12:20">
      <c r="L1492" s="1179"/>
      <c r="M1492" s="1183"/>
      <c r="N1492" s="1183"/>
      <c r="O1492" s="1183"/>
      <c r="P1492" s="1201"/>
      <c r="Q1492" s="1201"/>
      <c r="R1492" s="1201"/>
      <c r="S1492" s="1201"/>
      <c r="T1492" s="1201"/>
    </row>
    <row r="1493" spans="12:20">
      <c r="L1493" s="1179"/>
      <c r="M1493" s="1183"/>
      <c r="N1493" s="1183"/>
      <c r="O1493" s="1183"/>
      <c r="P1493" s="1201"/>
      <c r="Q1493" s="1201"/>
      <c r="R1493" s="1201"/>
      <c r="S1493" s="1201"/>
      <c r="T1493" s="1201"/>
    </row>
    <row r="1494" spans="12:20">
      <c r="L1494" s="1179"/>
      <c r="M1494" s="1183"/>
      <c r="N1494" s="1183"/>
      <c r="O1494" s="1183"/>
      <c r="P1494" s="1201"/>
      <c r="Q1494" s="1201"/>
      <c r="R1494" s="1201"/>
      <c r="S1494" s="1201"/>
      <c r="T1494" s="1201"/>
    </row>
    <row r="1495" spans="12:20">
      <c r="L1495" s="1179"/>
      <c r="M1495" s="1183"/>
      <c r="N1495" s="1183"/>
      <c r="O1495" s="1183"/>
      <c r="P1495" s="1201"/>
      <c r="Q1495" s="1201"/>
      <c r="R1495" s="1201"/>
      <c r="S1495" s="1201"/>
      <c r="T1495" s="1201"/>
    </row>
    <row r="1496" spans="12:20">
      <c r="L1496" s="1179"/>
      <c r="M1496" s="1183"/>
      <c r="N1496" s="1183"/>
      <c r="O1496" s="1183"/>
      <c r="P1496" s="1201"/>
      <c r="Q1496" s="1201"/>
      <c r="R1496" s="1201"/>
      <c r="S1496" s="1201"/>
      <c r="T1496" s="1201"/>
    </row>
    <row r="1497" spans="12:20">
      <c r="L1497" s="1179"/>
      <c r="M1497" s="1183"/>
      <c r="N1497" s="1183"/>
      <c r="O1497" s="1183"/>
      <c r="P1497" s="1201"/>
      <c r="Q1497" s="1201"/>
      <c r="R1497" s="1201"/>
      <c r="S1497" s="1201"/>
      <c r="T1497" s="1201"/>
    </row>
    <row r="1498" spans="12:20">
      <c r="L1498" s="1179"/>
      <c r="M1498" s="1183"/>
      <c r="N1498" s="1183"/>
      <c r="O1498" s="1183"/>
      <c r="P1498" s="1201"/>
      <c r="Q1498" s="1201"/>
      <c r="R1498" s="1201"/>
      <c r="S1498" s="1201"/>
      <c r="T1498" s="1201"/>
    </row>
    <row r="1499" spans="12:20">
      <c r="L1499" s="1179"/>
      <c r="M1499" s="1183"/>
      <c r="N1499" s="1183"/>
      <c r="O1499" s="1183"/>
      <c r="P1499" s="1201"/>
      <c r="Q1499" s="1201"/>
      <c r="R1499" s="1201"/>
      <c r="S1499" s="1201"/>
      <c r="T1499" s="1201"/>
    </row>
    <row r="1500" spans="12:20">
      <c r="L1500" s="1179"/>
      <c r="M1500" s="1183"/>
      <c r="N1500" s="1183"/>
      <c r="O1500" s="1183"/>
      <c r="P1500" s="1201"/>
      <c r="Q1500" s="1201"/>
      <c r="R1500" s="1201"/>
      <c r="S1500" s="1201"/>
      <c r="T1500" s="1201"/>
    </row>
    <row r="1501" spans="12:20">
      <c r="L1501" s="1179"/>
      <c r="M1501" s="1183"/>
      <c r="N1501" s="1183"/>
      <c r="O1501" s="1183"/>
      <c r="P1501" s="1201"/>
      <c r="Q1501" s="1201"/>
      <c r="R1501" s="1201"/>
      <c r="S1501" s="1201"/>
      <c r="T1501" s="1201"/>
    </row>
    <row r="1502" spans="12:20">
      <c r="L1502" s="1179"/>
      <c r="M1502" s="1183"/>
      <c r="N1502" s="1183"/>
      <c r="O1502" s="1183"/>
      <c r="P1502" s="1201"/>
      <c r="Q1502" s="1201"/>
      <c r="R1502" s="1201"/>
      <c r="S1502" s="1201"/>
      <c r="T1502" s="1201"/>
    </row>
    <row r="1503" spans="12:20">
      <c r="L1503" s="1179"/>
      <c r="M1503" s="1183"/>
      <c r="N1503" s="1183"/>
      <c r="O1503" s="1183"/>
      <c r="P1503" s="1201"/>
      <c r="Q1503" s="1201"/>
      <c r="R1503" s="1201"/>
      <c r="S1503" s="1201"/>
      <c r="T1503" s="1201"/>
    </row>
    <row r="1504" spans="12:20">
      <c r="L1504" s="1179"/>
      <c r="M1504" s="1183"/>
      <c r="N1504" s="1183"/>
      <c r="O1504" s="1183"/>
      <c r="P1504" s="1201"/>
      <c r="Q1504" s="1201"/>
      <c r="R1504" s="1201"/>
      <c r="S1504" s="1201"/>
      <c r="T1504" s="1201"/>
    </row>
    <row r="1505" spans="12:20">
      <c r="L1505" s="1179"/>
      <c r="M1505" s="1183"/>
      <c r="N1505" s="1183"/>
      <c r="O1505" s="1183"/>
      <c r="P1505" s="1201"/>
      <c r="Q1505" s="1201"/>
      <c r="R1505" s="1201"/>
      <c r="S1505" s="1201"/>
      <c r="T1505" s="1201"/>
    </row>
    <row r="1506" spans="12:20">
      <c r="L1506" s="1179"/>
      <c r="M1506" s="1183"/>
      <c r="N1506" s="1183"/>
      <c r="O1506" s="1183"/>
      <c r="P1506" s="1201"/>
      <c r="Q1506" s="1201"/>
      <c r="R1506" s="1201"/>
      <c r="S1506" s="1201"/>
      <c r="T1506" s="1201"/>
    </row>
    <row r="1507" spans="12:20">
      <c r="L1507" s="1179"/>
      <c r="M1507" s="1183"/>
      <c r="N1507" s="1183"/>
      <c r="O1507" s="1183"/>
      <c r="P1507" s="1201"/>
      <c r="Q1507" s="1201"/>
      <c r="R1507" s="1201"/>
      <c r="S1507" s="1201"/>
      <c r="T1507" s="1201"/>
    </row>
    <row r="1508" spans="12:20">
      <c r="L1508" s="1179"/>
      <c r="M1508" s="1183"/>
      <c r="N1508" s="1183"/>
      <c r="O1508" s="1183"/>
      <c r="P1508" s="1201"/>
      <c r="Q1508" s="1201"/>
      <c r="R1508" s="1201"/>
      <c r="S1508" s="1201"/>
      <c r="T1508" s="1201"/>
    </row>
    <row r="1509" spans="12:20">
      <c r="L1509" s="1179"/>
      <c r="M1509" s="1183"/>
      <c r="N1509" s="1183"/>
      <c r="O1509" s="1183"/>
      <c r="P1509" s="1201"/>
      <c r="Q1509" s="1201"/>
      <c r="R1509" s="1201"/>
      <c r="S1509" s="1201"/>
      <c r="T1509" s="1201"/>
    </row>
    <row r="1510" spans="12:20">
      <c r="L1510" s="1179"/>
      <c r="M1510" s="1183"/>
      <c r="N1510" s="1183"/>
      <c r="O1510" s="1183"/>
      <c r="P1510" s="1201"/>
      <c r="Q1510" s="1201"/>
      <c r="R1510" s="1201"/>
      <c r="S1510" s="1201"/>
      <c r="T1510" s="1201"/>
    </row>
    <row r="1511" spans="12:20">
      <c r="L1511" s="1179"/>
      <c r="M1511" s="1183"/>
      <c r="N1511" s="1183"/>
      <c r="O1511" s="1183"/>
      <c r="P1511" s="1201"/>
      <c r="Q1511" s="1201"/>
      <c r="R1511" s="1201"/>
      <c r="S1511" s="1201"/>
      <c r="T1511" s="1201"/>
    </row>
    <row r="1512" spans="12:20">
      <c r="L1512" s="1179"/>
      <c r="M1512" s="1183"/>
      <c r="N1512" s="1183"/>
      <c r="O1512" s="1183"/>
      <c r="P1512" s="1201"/>
      <c r="Q1512" s="1201"/>
      <c r="R1512" s="1201"/>
      <c r="S1512" s="1201"/>
      <c r="T1512" s="1201"/>
    </row>
    <row r="1513" spans="12:20">
      <c r="L1513" s="1179"/>
      <c r="M1513" s="1183"/>
      <c r="N1513" s="1183"/>
      <c r="O1513" s="1183"/>
      <c r="P1513" s="1201"/>
      <c r="Q1513" s="1201"/>
      <c r="R1513" s="1201"/>
      <c r="S1513" s="1201"/>
      <c r="T1513" s="1201"/>
    </row>
    <row r="1514" spans="12:20">
      <c r="L1514" s="1179"/>
      <c r="M1514" s="1183"/>
      <c r="N1514" s="1183"/>
      <c r="O1514" s="1183"/>
      <c r="P1514" s="1201"/>
      <c r="Q1514" s="1201"/>
      <c r="R1514" s="1201"/>
      <c r="S1514" s="1201"/>
      <c r="T1514" s="1201"/>
    </row>
    <row r="1515" spans="12:20">
      <c r="L1515" s="1179"/>
      <c r="M1515" s="1183"/>
      <c r="N1515" s="1183"/>
      <c r="O1515" s="1183"/>
      <c r="P1515" s="1201"/>
      <c r="Q1515" s="1201"/>
      <c r="R1515" s="1201"/>
      <c r="S1515" s="1201"/>
      <c r="T1515" s="1201"/>
    </row>
    <row r="1516" spans="12:20">
      <c r="L1516" s="1179"/>
      <c r="M1516" s="1183"/>
      <c r="N1516" s="1183"/>
      <c r="O1516" s="1183"/>
      <c r="P1516" s="1201"/>
      <c r="Q1516" s="1201"/>
      <c r="R1516" s="1201"/>
      <c r="S1516" s="1201"/>
      <c r="T1516" s="1201"/>
    </row>
    <row r="1517" spans="12:20">
      <c r="L1517" s="1179"/>
      <c r="M1517" s="1183"/>
      <c r="N1517" s="1183"/>
      <c r="O1517" s="1183"/>
      <c r="P1517" s="1201"/>
      <c r="Q1517" s="1201"/>
      <c r="R1517" s="1201"/>
      <c r="S1517" s="1201"/>
      <c r="T1517" s="1201"/>
    </row>
    <row r="1518" spans="12:20">
      <c r="L1518" s="1179"/>
      <c r="M1518" s="1183"/>
      <c r="N1518" s="1183"/>
      <c r="O1518" s="1183"/>
      <c r="P1518" s="1201"/>
      <c r="Q1518" s="1201"/>
      <c r="R1518" s="1201"/>
      <c r="S1518" s="1201"/>
      <c r="T1518" s="1201"/>
    </row>
    <row r="1519" spans="12:20">
      <c r="L1519" s="1179"/>
      <c r="M1519" s="1183"/>
      <c r="N1519" s="1183"/>
      <c r="O1519" s="1183"/>
      <c r="P1519" s="1201"/>
      <c r="Q1519" s="1201"/>
      <c r="R1519" s="1201"/>
      <c r="S1519" s="1201"/>
      <c r="T1519" s="1201"/>
    </row>
    <row r="1520" spans="12:20">
      <c r="L1520" s="1179"/>
      <c r="M1520" s="1183"/>
      <c r="N1520" s="1183"/>
      <c r="O1520" s="1183"/>
      <c r="P1520" s="1201"/>
      <c r="Q1520" s="1201"/>
      <c r="R1520" s="1201"/>
      <c r="S1520" s="1201"/>
      <c r="T1520" s="1201"/>
    </row>
    <row r="1521" spans="12:20">
      <c r="L1521" s="1179"/>
      <c r="M1521" s="1183"/>
      <c r="N1521" s="1183"/>
      <c r="O1521" s="1183"/>
      <c r="P1521" s="1201"/>
      <c r="Q1521" s="1201"/>
      <c r="R1521" s="1201"/>
      <c r="S1521" s="1201"/>
      <c r="T1521" s="1201"/>
    </row>
    <row r="1522" spans="12:20">
      <c r="L1522" s="1179"/>
      <c r="M1522" s="1183"/>
      <c r="N1522" s="1183"/>
      <c r="O1522" s="1183"/>
      <c r="P1522" s="1201"/>
      <c r="Q1522" s="1201"/>
      <c r="R1522" s="1201"/>
      <c r="S1522" s="1201"/>
      <c r="T1522" s="1201"/>
    </row>
    <row r="1523" spans="12:20">
      <c r="L1523" s="1179"/>
      <c r="M1523" s="1183"/>
      <c r="N1523" s="1183"/>
      <c r="O1523" s="1183"/>
      <c r="P1523" s="1201"/>
      <c r="Q1523" s="1201"/>
      <c r="R1523" s="1201"/>
      <c r="S1523" s="1201"/>
      <c r="T1523" s="1201"/>
    </row>
    <row r="1524" spans="12:20">
      <c r="L1524" s="1179"/>
      <c r="M1524" s="1183"/>
      <c r="N1524" s="1183"/>
      <c r="O1524" s="1183"/>
      <c r="P1524" s="1201"/>
      <c r="Q1524" s="1201"/>
      <c r="R1524" s="1201"/>
      <c r="S1524" s="1201"/>
      <c r="T1524" s="1201"/>
    </row>
    <row r="1525" spans="12:20">
      <c r="L1525" s="1179"/>
      <c r="M1525" s="1183"/>
      <c r="N1525" s="1183"/>
      <c r="O1525" s="1183"/>
      <c r="P1525" s="1201"/>
      <c r="Q1525" s="1201"/>
      <c r="R1525" s="1201"/>
      <c r="S1525" s="1201"/>
      <c r="T1525" s="1201"/>
    </row>
    <row r="1526" spans="12:20">
      <c r="L1526" s="1179"/>
      <c r="M1526" s="1183"/>
      <c r="N1526" s="1183"/>
      <c r="O1526" s="1183"/>
      <c r="P1526" s="1201"/>
      <c r="Q1526" s="1201"/>
      <c r="R1526" s="1201"/>
      <c r="S1526" s="1201"/>
      <c r="T1526" s="1201"/>
    </row>
    <row r="1527" spans="12:20">
      <c r="L1527" s="1179"/>
      <c r="M1527" s="1183"/>
      <c r="N1527" s="1183"/>
      <c r="O1527" s="1183"/>
      <c r="P1527" s="1201"/>
      <c r="Q1527" s="1201"/>
      <c r="R1527" s="1201"/>
      <c r="S1527" s="1201"/>
      <c r="T1527" s="1201"/>
    </row>
    <row r="1528" spans="12:20">
      <c r="L1528" s="1179"/>
      <c r="M1528" s="1183"/>
      <c r="N1528" s="1183"/>
      <c r="O1528" s="1183"/>
      <c r="P1528" s="1201"/>
      <c r="Q1528" s="1201"/>
      <c r="R1528" s="1201"/>
      <c r="S1528" s="1201"/>
      <c r="T1528" s="1201"/>
    </row>
    <row r="1529" spans="12:20">
      <c r="L1529" s="1179"/>
      <c r="M1529" s="1183"/>
      <c r="N1529" s="1183"/>
      <c r="O1529" s="1183"/>
      <c r="P1529" s="1201"/>
      <c r="Q1529" s="1201"/>
      <c r="R1529" s="1201"/>
      <c r="S1529" s="1201"/>
      <c r="T1529" s="1201"/>
    </row>
    <row r="1530" spans="12:20">
      <c r="L1530" s="1179"/>
      <c r="M1530" s="1183"/>
      <c r="N1530" s="1183"/>
      <c r="O1530" s="1183"/>
      <c r="P1530" s="1201"/>
      <c r="Q1530" s="1201"/>
      <c r="R1530" s="1201"/>
      <c r="S1530" s="1201"/>
      <c r="T1530" s="1201"/>
    </row>
    <row r="1531" spans="12:20">
      <c r="L1531" s="1179"/>
      <c r="M1531" s="1183"/>
      <c r="N1531" s="1183"/>
      <c r="O1531" s="1183"/>
      <c r="P1531" s="1201"/>
      <c r="Q1531" s="1201"/>
      <c r="R1531" s="1201"/>
      <c r="S1531" s="1201"/>
      <c r="T1531" s="1201"/>
    </row>
    <row r="1532" spans="12:20">
      <c r="L1532" s="1179"/>
      <c r="M1532" s="1183"/>
      <c r="N1532" s="1183"/>
      <c r="O1532" s="1183"/>
      <c r="P1532" s="1201"/>
      <c r="Q1532" s="1201"/>
      <c r="R1532" s="1201"/>
      <c r="S1532" s="1201"/>
      <c r="T1532" s="1201"/>
    </row>
    <row r="1533" spans="12:20">
      <c r="L1533" s="1179"/>
      <c r="M1533" s="1183"/>
      <c r="N1533" s="1183"/>
      <c r="O1533" s="1183"/>
      <c r="P1533" s="1201"/>
      <c r="Q1533" s="1201"/>
      <c r="R1533" s="1201"/>
      <c r="S1533" s="1201"/>
      <c r="T1533" s="1201"/>
    </row>
    <row r="1534" spans="12:20">
      <c r="L1534" s="1179"/>
      <c r="M1534" s="1183"/>
      <c r="N1534" s="1183"/>
      <c r="O1534" s="1183"/>
      <c r="P1534" s="1201"/>
      <c r="Q1534" s="1201"/>
      <c r="R1534" s="1201"/>
      <c r="S1534" s="1201"/>
      <c r="T1534" s="1201"/>
    </row>
    <row r="1535" spans="12:20">
      <c r="L1535" s="1179"/>
      <c r="M1535" s="1183"/>
      <c r="N1535" s="1183"/>
      <c r="O1535" s="1183"/>
      <c r="P1535" s="1201"/>
      <c r="Q1535" s="1201"/>
      <c r="R1535" s="1201"/>
      <c r="S1535" s="1201"/>
      <c r="T1535" s="1201"/>
    </row>
    <row r="1536" spans="12:20">
      <c r="L1536" s="1179"/>
      <c r="M1536" s="1183"/>
      <c r="N1536" s="1183"/>
      <c r="O1536" s="1183"/>
      <c r="P1536" s="1201"/>
      <c r="Q1536" s="1201"/>
      <c r="R1536" s="1201"/>
      <c r="S1536" s="1201"/>
      <c r="T1536" s="1201"/>
    </row>
    <row r="1537" spans="12:20">
      <c r="L1537" s="1179"/>
      <c r="M1537" s="1183"/>
      <c r="N1537" s="1183"/>
      <c r="O1537" s="1183"/>
      <c r="P1537" s="1201"/>
      <c r="Q1537" s="1201"/>
      <c r="R1537" s="1201"/>
      <c r="S1537" s="1201"/>
      <c r="T1537" s="1201"/>
    </row>
    <row r="1538" spans="12:20">
      <c r="L1538" s="1179"/>
      <c r="M1538" s="1183"/>
      <c r="N1538" s="1183"/>
      <c r="O1538" s="1183"/>
      <c r="P1538" s="1201"/>
      <c r="Q1538" s="1201"/>
      <c r="R1538" s="1201"/>
      <c r="S1538" s="1201"/>
      <c r="T1538" s="1201"/>
    </row>
    <row r="1539" spans="12:20">
      <c r="L1539" s="1179"/>
      <c r="M1539" s="1183"/>
      <c r="N1539" s="1183"/>
      <c r="O1539" s="1183"/>
      <c r="P1539" s="1201"/>
      <c r="Q1539" s="1201"/>
      <c r="R1539" s="1201"/>
      <c r="S1539" s="1201"/>
      <c r="T1539" s="1201"/>
    </row>
    <row r="1540" spans="12:20">
      <c r="L1540" s="1179"/>
      <c r="M1540" s="1183"/>
      <c r="N1540" s="1183"/>
      <c r="O1540" s="1183"/>
      <c r="P1540" s="1201"/>
      <c r="Q1540" s="1201"/>
      <c r="R1540" s="1201"/>
      <c r="S1540" s="1201"/>
      <c r="T1540" s="1201"/>
    </row>
    <row r="1541" spans="12:20">
      <c r="L1541" s="1179"/>
      <c r="M1541" s="1183"/>
      <c r="N1541" s="1183"/>
      <c r="O1541" s="1183"/>
      <c r="P1541" s="1201"/>
      <c r="Q1541" s="1201"/>
      <c r="R1541" s="1201"/>
      <c r="S1541" s="1201"/>
      <c r="T1541" s="1201"/>
    </row>
    <row r="1542" spans="12:20">
      <c r="L1542" s="1179"/>
      <c r="M1542" s="1183"/>
      <c r="N1542" s="1183"/>
      <c r="O1542" s="1183"/>
      <c r="P1542" s="1201"/>
      <c r="Q1542" s="1201"/>
      <c r="R1542" s="1201"/>
      <c r="S1542" s="1201"/>
      <c r="T1542" s="1201"/>
    </row>
    <row r="1543" spans="12:20">
      <c r="L1543" s="1179"/>
      <c r="M1543" s="1183"/>
      <c r="N1543" s="1183"/>
      <c r="O1543" s="1183"/>
      <c r="P1543" s="1201"/>
      <c r="Q1543" s="1201"/>
      <c r="R1543" s="1201"/>
      <c r="S1543" s="1201"/>
      <c r="T1543" s="1201"/>
    </row>
    <row r="1544" spans="12:20">
      <c r="L1544" s="1179"/>
      <c r="M1544" s="1183"/>
      <c r="N1544" s="1183"/>
      <c r="O1544" s="1183"/>
      <c r="P1544" s="1201"/>
      <c r="Q1544" s="1201"/>
      <c r="R1544" s="1201"/>
      <c r="S1544" s="1201"/>
      <c r="T1544" s="1201"/>
    </row>
    <row r="1545" spans="12:20">
      <c r="L1545" s="1179"/>
      <c r="M1545" s="1183"/>
      <c r="N1545" s="1183"/>
      <c r="O1545" s="1183"/>
      <c r="P1545" s="1201"/>
      <c r="Q1545" s="1201"/>
      <c r="R1545" s="1201"/>
      <c r="S1545" s="1201"/>
      <c r="T1545" s="1201"/>
    </row>
    <row r="1546" spans="12:20">
      <c r="L1546" s="1179"/>
      <c r="M1546" s="1183"/>
      <c r="N1546" s="1183"/>
      <c r="O1546" s="1183"/>
      <c r="P1546" s="1201"/>
      <c r="Q1546" s="1201"/>
      <c r="R1546" s="1201"/>
      <c r="S1546" s="1201"/>
      <c r="T1546" s="1201"/>
    </row>
    <row r="1547" spans="12:20">
      <c r="L1547" s="1179"/>
      <c r="M1547" s="1183"/>
      <c r="N1547" s="1183"/>
      <c r="O1547" s="1183"/>
      <c r="P1547" s="1201"/>
      <c r="Q1547" s="1201"/>
      <c r="R1547" s="1201"/>
      <c r="S1547" s="1201"/>
      <c r="T1547" s="1201"/>
    </row>
    <row r="1548" spans="12:20">
      <c r="L1548" s="1179"/>
      <c r="M1548" s="1183"/>
      <c r="N1548" s="1183"/>
      <c r="O1548" s="1183"/>
      <c r="P1548" s="1201"/>
      <c r="Q1548" s="1201"/>
      <c r="R1548" s="1201"/>
      <c r="S1548" s="1201"/>
      <c r="T1548" s="1201"/>
    </row>
    <row r="1549" spans="12:20">
      <c r="L1549" s="1179"/>
      <c r="M1549" s="1183"/>
      <c r="N1549" s="1183"/>
      <c r="O1549" s="1183"/>
      <c r="P1549" s="1201"/>
      <c r="Q1549" s="1201"/>
      <c r="R1549" s="1201"/>
      <c r="S1549" s="1201"/>
      <c r="T1549" s="1201"/>
    </row>
    <row r="1550" spans="12:20">
      <c r="L1550" s="1179"/>
      <c r="M1550" s="1183"/>
      <c r="N1550" s="1183"/>
      <c r="O1550" s="1183"/>
      <c r="P1550" s="1201"/>
      <c r="Q1550" s="1201"/>
      <c r="R1550" s="1201"/>
      <c r="S1550" s="1201"/>
      <c r="T1550" s="1201"/>
    </row>
    <row r="1551" spans="12:20">
      <c r="L1551" s="1179"/>
      <c r="M1551" s="1183"/>
      <c r="N1551" s="1183"/>
      <c r="O1551" s="1183"/>
      <c r="P1551" s="1201"/>
      <c r="Q1551" s="1201"/>
      <c r="R1551" s="1201"/>
      <c r="S1551" s="1201"/>
      <c r="T1551" s="1201"/>
    </row>
    <row r="1552" spans="12:20">
      <c r="L1552" s="1179"/>
      <c r="M1552" s="1183"/>
      <c r="N1552" s="1183"/>
      <c r="O1552" s="1183"/>
      <c r="P1552" s="1201"/>
      <c r="Q1552" s="1201"/>
      <c r="R1552" s="1201"/>
      <c r="S1552" s="1201"/>
      <c r="T1552" s="1201"/>
    </row>
    <row r="1553" spans="12:20">
      <c r="L1553" s="1179"/>
      <c r="M1553" s="1183"/>
      <c r="N1553" s="1183"/>
      <c r="O1553" s="1183"/>
      <c r="P1553" s="1201"/>
      <c r="Q1553" s="1201"/>
      <c r="R1553" s="1201"/>
      <c r="S1553" s="1201"/>
      <c r="T1553" s="1201"/>
    </row>
    <row r="1554" spans="12:20">
      <c r="L1554" s="1179"/>
      <c r="M1554" s="1183"/>
      <c r="N1554" s="1183"/>
      <c r="O1554" s="1183"/>
      <c r="P1554" s="1201"/>
      <c r="Q1554" s="1201"/>
      <c r="R1554" s="1201"/>
      <c r="S1554" s="1201"/>
      <c r="T1554" s="1201"/>
    </row>
    <row r="1555" spans="12:20">
      <c r="L1555" s="1179"/>
      <c r="M1555" s="1183"/>
      <c r="N1555" s="1183"/>
      <c r="O1555" s="1183"/>
      <c r="P1555" s="1201"/>
      <c r="Q1555" s="1201"/>
      <c r="R1555" s="1201"/>
      <c r="S1555" s="1201"/>
      <c r="T1555" s="1201"/>
    </row>
    <row r="1556" spans="12:20">
      <c r="L1556" s="1179"/>
      <c r="M1556" s="1183"/>
      <c r="N1556" s="1183"/>
      <c r="O1556" s="1183"/>
      <c r="P1556" s="1201"/>
      <c r="Q1556" s="1201"/>
      <c r="R1556" s="1201"/>
      <c r="S1556" s="1201"/>
      <c r="T1556" s="1201"/>
    </row>
    <row r="1557" spans="12:20">
      <c r="L1557" s="1179"/>
      <c r="M1557" s="1183"/>
      <c r="N1557" s="1183"/>
      <c r="O1557" s="1183"/>
      <c r="P1557" s="1201"/>
      <c r="Q1557" s="1201"/>
      <c r="R1557" s="1201"/>
      <c r="S1557" s="1201"/>
      <c r="T1557" s="1201"/>
    </row>
    <row r="1558" spans="12:20">
      <c r="L1558" s="1179"/>
      <c r="M1558" s="1183"/>
      <c r="N1558" s="1183"/>
      <c r="O1558" s="1183"/>
      <c r="P1558" s="1201"/>
      <c r="Q1558" s="1201"/>
      <c r="R1558" s="1201"/>
      <c r="S1558" s="1201"/>
      <c r="T1558" s="1201"/>
    </row>
    <row r="1559" spans="12:20">
      <c r="L1559" s="1179"/>
      <c r="M1559" s="1183"/>
      <c r="N1559" s="1183"/>
      <c r="O1559" s="1183"/>
      <c r="P1559" s="1201"/>
      <c r="Q1559" s="1201"/>
      <c r="R1559" s="1201"/>
      <c r="S1559" s="1201"/>
      <c r="T1559" s="1201"/>
    </row>
    <row r="1560" spans="12:20">
      <c r="L1560" s="1179"/>
      <c r="M1560" s="1183"/>
      <c r="N1560" s="1183"/>
      <c r="O1560" s="1183"/>
      <c r="P1560" s="1201"/>
      <c r="Q1560" s="1201"/>
      <c r="R1560" s="1201"/>
      <c r="S1560" s="1201"/>
      <c r="T1560" s="1201"/>
    </row>
    <row r="1561" spans="12:20">
      <c r="L1561" s="1179"/>
      <c r="M1561" s="1183"/>
      <c r="N1561" s="1183"/>
      <c r="O1561" s="1183"/>
      <c r="P1561" s="1201"/>
      <c r="Q1561" s="1201"/>
      <c r="R1561" s="1201"/>
      <c r="S1561" s="1201"/>
      <c r="T1561" s="1201"/>
    </row>
    <row r="1562" spans="12:20">
      <c r="L1562" s="1179"/>
      <c r="M1562" s="1183"/>
      <c r="N1562" s="1183"/>
      <c r="O1562" s="1183"/>
      <c r="P1562" s="1201"/>
      <c r="Q1562" s="1201"/>
      <c r="R1562" s="1201"/>
      <c r="S1562" s="1201"/>
      <c r="T1562" s="1201"/>
    </row>
    <row r="1563" spans="12:20">
      <c r="L1563" s="1179"/>
      <c r="M1563" s="1183"/>
      <c r="N1563" s="1183"/>
      <c r="O1563" s="1183"/>
      <c r="P1563" s="1201"/>
      <c r="Q1563" s="1201"/>
      <c r="R1563" s="1201"/>
      <c r="S1563" s="1201"/>
      <c r="T1563" s="1201"/>
    </row>
    <row r="1564" spans="12:20">
      <c r="L1564" s="1179"/>
      <c r="M1564" s="1183"/>
      <c r="N1564" s="1183"/>
      <c r="O1564" s="1183"/>
      <c r="P1564" s="1201"/>
      <c r="Q1564" s="1201"/>
      <c r="R1564" s="1201"/>
      <c r="S1564" s="1201"/>
      <c r="T1564" s="1201"/>
    </row>
    <row r="1565" spans="12:20">
      <c r="L1565" s="1179"/>
      <c r="M1565" s="1183"/>
      <c r="N1565" s="1183"/>
      <c r="O1565" s="1183"/>
      <c r="P1565" s="1201"/>
      <c r="Q1565" s="1201"/>
      <c r="R1565" s="1201"/>
      <c r="S1565" s="1201"/>
      <c r="T1565" s="1201"/>
    </row>
    <row r="1566" spans="12:20">
      <c r="L1566" s="1179"/>
      <c r="M1566" s="1183"/>
      <c r="N1566" s="1183"/>
      <c r="O1566" s="1183"/>
      <c r="P1566" s="1201"/>
      <c r="Q1566" s="1201"/>
      <c r="R1566" s="1201"/>
      <c r="S1566" s="1201"/>
      <c r="T1566" s="1201"/>
    </row>
    <row r="1567" spans="12:20">
      <c r="L1567" s="1179"/>
      <c r="M1567" s="1183"/>
      <c r="N1567" s="1183"/>
      <c r="O1567" s="1183"/>
      <c r="P1567" s="1201"/>
      <c r="Q1567" s="1201"/>
      <c r="R1567" s="1201"/>
      <c r="S1567" s="1201"/>
      <c r="T1567" s="1201"/>
    </row>
    <row r="1568" spans="12:20">
      <c r="L1568" s="1179"/>
      <c r="M1568" s="1183"/>
      <c r="N1568" s="1183"/>
      <c r="O1568" s="1183"/>
      <c r="P1568" s="1201"/>
      <c r="Q1568" s="1201"/>
      <c r="R1568" s="1201"/>
      <c r="S1568" s="1201"/>
      <c r="T1568" s="1201"/>
    </row>
    <row r="1569" spans="12:20">
      <c r="L1569" s="1179"/>
      <c r="M1569" s="1183"/>
      <c r="N1569" s="1183"/>
      <c r="O1569" s="1183"/>
      <c r="P1569" s="1201"/>
      <c r="Q1569" s="1201"/>
      <c r="R1569" s="1201"/>
      <c r="S1569" s="1201"/>
      <c r="T1569" s="1201"/>
    </row>
    <row r="1570" spans="12:20">
      <c r="L1570" s="1179"/>
      <c r="M1570" s="1183"/>
      <c r="N1570" s="1183"/>
      <c r="O1570" s="1183"/>
      <c r="P1570" s="1201"/>
      <c r="Q1570" s="1201"/>
      <c r="R1570" s="1201"/>
      <c r="S1570" s="1201"/>
      <c r="T1570" s="1201"/>
    </row>
    <row r="1571" spans="12:20">
      <c r="L1571" s="1179"/>
      <c r="M1571" s="1183"/>
      <c r="N1571" s="1183"/>
      <c r="O1571" s="1183"/>
      <c r="P1571" s="1201"/>
      <c r="Q1571" s="1201"/>
      <c r="R1571" s="1201"/>
      <c r="S1571" s="1201"/>
      <c r="T1571" s="1201"/>
    </row>
    <row r="1572" spans="12:20">
      <c r="L1572" s="1179"/>
      <c r="M1572" s="1183"/>
      <c r="N1572" s="1183"/>
      <c r="O1572" s="1183"/>
      <c r="P1572" s="1201"/>
      <c r="Q1572" s="1201"/>
      <c r="R1572" s="1201"/>
      <c r="S1572" s="1201"/>
      <c r="T1572" s="1201"/>
    </row>
    <row r="1573" spans="12:20">
      <c r="L1573" s="1179"/>
      <c r="M1573" s="1183"/>
      <c r="N1573" s="1183"/>
      <c r="O1573" s="1183"/>
      <c r="P1573" s="1201"/>
      <c r="Q1573" s="1201"/>
      <c r="R1573" s="1201"/>
      <c r="S1573" s="1201"/>
      <c r="T1573" s="1201"/>
    </row>
    <row r="1574" spans="12:20">
      <c r="L1574" s="1179"/>
      <c r="M1574" s="1183"/>
      <c r="N1574" s="1183"/>
      <c r="O1574" s="1183"/>
      <c r="P1574" s="1201"/>
      <c r="Q1574" s="1201"/>
      <c r="R1574" s="1201"/>
      <c r="S1574" s="1201"/>
      <c r="T1574" s="1201"/>
    </row>
    <row r="1575" spans="12:20">
      <c r="L1575" s="1179"/>
      <c r="M1575" s="1183"/>
      <c r="N1575" s="1183"/>
      <c r="O1575" s="1183"/>
      <c r="P1575" s="1201"/>
      <c r="Q1575" s="1201"/>
      <c r="R1575" s="1201"/>
      <c r="S1575" s="1201"/>
      <c r="T1575" s="1201"/>
    </row>
    <row r="1576" spans="12:20">
      <c r="L1576" s="1179"/>
      <c r="M1576" s="1183"/>
      <c r="N1576" s="1183"/>
      <c r="O1576" s="1183"/>
      <c r="P1576" s="1201"/>
      <c r="Q1576" s="1201"/>
      <c r="R1576" s="1201"/>
      <c r="S1576" s="1201"/>
      <c r="T1576" s="1201"/>
    </row>
    <row r="1577" spans="12:20">
      <c r="L1577" s="1179"/>
      <c r="M1577" s="1183"/>
      <c r="N1577" s="1183"/>
      <c r="O1577" s="1183"/>
      <c r="P1577" s="1201"/>
      <c r="Q1577" s="1201"/>
      <c r="R1577" s="1201"/>
      <c r="S1577" s="1201"/>
      <c r="T1577" s="1201"/>
    </row>
    <row r="1578" spans="12:20">
      <c r="L1578" s="1179"/>
      <c r="M1578" s="1183"/>
      <c r="N1578" s="1183"/>
      <c r="O1578" s="1183"/>
      <c r="P1578" s="1201"/>
      <c r="Q1578" s="1201"/>
      <c r="R1578" s="1201"/>
      <c r="S1578" s="1201"/>
      <c r="T1578" s="1201"/>
    </row>
    <row r="1579" spans="12:20">
      <c r="L1579" s="1179"/>
      <c r="M1579" s="1183"/>
      <c r="N1579" s="1183"/>
      <c r="O1579" s="1183"/>
      <c r="P1579" s="1201"/>
      <c r="Q1579" s="1201"/>
      <c r="R1579" s="1201"/>
      <c r="S1579" s="1201"/>
      <c r="T1579" s="1201"/>
    </row>
    <row r="1580" spans="12:20">
      <c r="L1580" s="1179"/>
      <c r="M1580" s="1183"/>
      <c r="N1580" s="1183"/>
      <c r="O1580" s="1183"/>
      <c r="P1580" s="1201"/>
      <c r="Q1580" s="1201"/>
      <c r="R1580" s="1201"/>
      <c r="S1580" s="1201"/>
      <c r="T1580" s="1201"/>
    </row>
    <row r="1581" spans="12:20">
      <c r="L1581" s="1179"/>
      <c r="M1581" s="1183"/>
      <c r="N1581" s="1183"/>
      <c r="O1581" s="1183"/>
      <c r="P1581" s="1201"/>
      <c r="Q1581" s="1201"/>
      <c r="R1581" s="1201"/>
      <c r="S1581" s="1201"/>
      <c r="T1581" s="1201"/>
    </row>
    <row r="1582" spans="12:20">
      <c r="L1582" s="1179"/>
      <c r="M1582" s="1183"/>
      <c r="N1582" s="1183"/>
      <c r="O1582" s="1183"/>
      <c r="P1582" s="1201"/>
      <c r="Q1582" s="1201"/>
      <c r="R1582" s="1201"/>
      <c r="S1582" s="1201"/>
      <c r="T1582" s="1201"/>
    </row>
    <row r="1583" spans="12:20">
      <c r="L1583" s="1179"/>
      <c r="M1583" s="1183"/>
      <c r="N1583" s="1183"/>
      <c r="O1583" s="1183"/>
      <c r="P1583" s="1201"/>
      <c r="Q1583" s="1201"/>
      <c r="R1583" s="1201"/>
      <c r="S1583" s="1201"/>
      <c r="T1583" s="1201"/>
    </row>
    <row r="1584" spans="12:20">
      <c r="L1584" s="1179"/>
      <c r="M1584" s="1183"/>
      <c r="N1584" s="1183"/>
      <c r="O1584" s="1183"/>
      <c r="P1584" s="1201"/>
      <c r="Q1584" s="1201"/>
      <c r="R1584" s="1201"/>
      <c r="S1584" s="1201"/>
      <c r="T1584" s="1201"/>
    </row>
    <row r="1585" spans="12:20">
      <c r="L1585" s="1179"/>
      <c r="M1585" s="1183"/>
      <c r="N1585" s="1183"/>
      <c r="O1585" s="1183"/>
      <c r="P1585" s="1201"/>
      <c r="Q1585" s="1201"/>
      <c r="R1585" s="1201"/>
      <c r="S1585" s="1201"/>
      <c r="T1585" s="1201"/>
    </row>
    <row r="1586" spans="12:20">
      <c r="L1586" s="1179"/>
      <c r="M1586" s="1183"/>
      <c r="N1586" s="1183"/>
      <c r="O1586" s="1183"/>
      <c r="P1586" s="1201"/>
      <c r="Q1586" s="1201"/>
      <c r="R1586" s="1201"/>
      <c r="S1586" s="1201"/>
      <c r="T1586" s="1201"/>
    </row>
    <row r="1587" spans="12:20">
      <c r="L1587" s="1179"/>
      <c r="M1587" s="1183"/>
      <c r="N1587" s="1183"/>
      <c r="O1587" s="1183"/>
      <c r="P1587" s="1201"/>
      <c r="Q1587" s="1201"/>
      <c r="R1587" s="1201"/>
      <c r="S1587" s="1201"/>
      <c r="T1587" s="1201"/>
    </row>
    <row r="1588" spans="12:20">
      <c r="L1588" s="1179"/>
      <c r="M1588" s="1183"/>
      <c r="N1588" s="1183"/>
      <c r="O1588" s="1183"/>
      <c r="P1588" s="1201"/>
      <c r="Q1588" s="1201"/>
      <c r="R1588" s="1201"/>
      <c r="S1588" s="1201"/>
      <c r="T1588" s="1201"/>
    </row>
    <row r="1589" spans="12:20">
      <c r="L1589" s="1179"/>
      <c r="M1589" s="1183"/>
      <c r="N1589" s="1183"/>
      <c r="O1589" s="1183"/>
      <c r="P1589" s="1201"/>
      <c r="Q1589" s="1201"/>
      <c r="R1589" s="1201"/>
      <c r="S1589" s="1201"/>
      <c r="T1589" s="1201"/>
    </row>
    <row r="1590" spans="12:20">
      <c r="L1590" s="1179"/>
      <c r="M1590" s="1183"/>
      <c r="N1590" s="1183"/>
      <c r="O1590" s="1183"/>
      <c r="P1590" s="1201"/>
      <c r="Q1590" s="1201"/>
      <c r="R1590" s="1201"/>
      <c r="S1590" s="1201"/>
      <c r="T1590" s="1201"/>
    </row>
    <row r="1591" spans="12:20">
      <c r="L1591" s="1179"/>
      <c r="M1591" s="1183"/>
      <c r="N1591" s="1183"/>
      <c r="O1591" s="1183"/>
      <c r="P1591" s="1201"/>
      <c r="Q1591" s="1201"/>
      <c r="R1591" s="1201"/>
      <c r="S1591" s="1201"/>
      <c r="T1591" s="1201"/>
    </row>
    <row r="1592" spans="12:20">
      <c r="L1592" s="1179"/>
      <c r="M1592" s="1183"/>
      <c r="N1592" s="1183"/>
      <c r="O1592" s="1183"/>
      <c r="P1592" s="1201"/>
      <c r="Q1592" s="1201"/>
      <c r="R1592" s="1201"/>
      <c r="S1592" s="1201"/>
      <c r="T1592" s="1201"/>
    </row>
    <row r="1593" spans="12:20">
      <c r="L1593" s="1179"/>
      <c r="M1593" s="1183"/>
      <c r="N1593" s="1183"/>
      <c r="O1593" s="1183"/>
      <c r="P1593" s="1201"/>
      <c r="Q1593" s="1201"/>
      <c r="R1593" s="1201"/>
      <c r="S1593" s="1201"/>
      <c r="T1593" s="1201"/>
    </row>
    <row r="1594" spans="12:20">
      <c r="L1594" s="1179"/>
      <c r="M1594" s="1183"/>
      <c r="N1594" s="1183"/>
      <c r="O1594" s="1183"/>
      <c r="P1594" s="1201"/>
      <c r="Q1594" s="1201"/>
      <c r="R1594" s="1201"/>
      <c r="S1594" s="1201"/>
      <c r="T1594" s="1201"/>
    </row>
    <row r="1595" spans="12:20">
      <c r="L1595" s="1179"/>
      <c r="M1595" s="1183"/>
      <c r="N1595" s="1183"/>
      <c r="O1595" s="1183"/>
      <c r="P1595" s="1201"/>
      <c r="Q1595" s="1201"/>
      <c r="R1595" s="1201"/>
      <c r="S1595" s="1201"/>
      <c r="T1595" s="1201"/>
    </row>
    <row r="1596" spans="12:20">
      <c r="L1596" s="1179"/>
      <c r="M1596" s="1183"/>
      <c r="N1596" s="1183"/>
      <c r="O1596" s="1183"/>
      <c r="P1596" s="1201"/>
      <c r="Q1596" s="1201"/>
      <c r="R1596" s="1201"/>
      <c r="S1596" s="1201"/>
      <c r="T1596" s="1201"/>
    </row>
    <row r="1597" spans="12:20">
      <c r="L1597" s="1179"/>
      <c r="M1597" s="1183"/>
      <c r="N1597" s="1183"/>
      <c r="O1597" s="1183"/>
      <c r="P1597" s="1201"/>
      <c r="Q1597" s="1201"/>
      <c r="R1597" s="1201"/>
      <c r="S1597" s="1201"/>
      <c r="T1597" s="1201"/>
    </row>
    <row r="1598" spans="12:20">
      <c r="L1598" s="1179"/>
      <c r="M1598" s="1183"/>
      <c r="N1598" s="1183"/>
      <c r="O1598" s="1183"/>
      <c r="P1598" s="1201"/>
      <c r="Q1598" s="1201"/>
      <c r="R1598" s="1201"/>
      <c r="S1598" s="1201"/>
      <c r="T1598" s="1201"/>
    </row>
    <row r="1599" spans="12:20">
      <c r="L1599" s="1179"/>
      <c r="M1599" s="1183"/>
      <c r="N1599" s="1183"/>
      <c r="O1599" s="1183"/>
      <c r="P1599" s="1201"/>
      <c r="Q1599" s="1201"/>
      <c r="R1599" s="1201"/>
      <c r="S1599" s="1201"/>
      <c r="T1599" s="1201"/>
    </row>
    <row r="1600" spans="12:20">
      <c r="L1600" s="1179"/>
      <c r="M1600" s="1183"/>
      <c r="N1600" s="1183"/>
      <c r="O1600" s="1183"/>
      <c r="P1600" s="1201"/>
      <c r="Q1600" s="1201"/>
      <c r="R1600" s="1201"/>
      <c r="S1600" s="1201"/>
      <c r="T1600" s="1201"/>
    </row>
    <row r="1601" spans="12:20">
      <c r="L1601" s="1179"/>
      <c r="M1601" s="1183"/>
      <c r="N1601" s="1183"/>
      <c r="O1601" s="1183"/>
      <c r="P1601" s="1201"/>
      <c r="Q1601" s="1201"/>
      <c r="R1601" s="1201"/>
      <c r="S1601" s="1201"/>
      <c r="T1601" s="1201"/>
    </row>
    <row r="1602" spans="12:20">
      <c r="L1602" s="1179"/>
      <c r="M1602" s="1183"/>
      <c r="N1602" s="1183"/>
      <c r="O1602" s="1183"/>
      <c r="P1602" s="1201"/>
      <c r="Q1602" s="1201"/>
      <c r="R1602" s="1201"/>
      <c r="S1602" s="1201"/>
      <c r="T1602" s="1201"/>
    </row>
    <row r="1603" spans="12:20">
      <c r="L1603" s="1179"/>
      <c r="M1603" s="1183"/>
      <c r="N1603" s="1183"/>
      <c r="O1603" s="1183"/>
      <c r="P1603" s="1201"/>
      <c r="Q1603" s="1201"/>
      <c r="R1603" s="1201"/>
      <c r="S1603" s="1201"/>
      <c r="T1603" s="1201"/>
    </row>
    <row r="1604" spans="12:20">
      <c r="L1604" s="1179"/>
      <c r="M1604" s="1183"/>
      <c r="N1604" s="1183"/>
      <c r="O1604" s="1183"/>
      <c r="P1604" s="1201"/>
      <c r="Q1604" s="1201"/>
      <c r="R1604" s="1201"/>
      <c r="S1604" s="1201"/>
      <c r="T1604" s="1201"/>
    </row>
    <row r="1605" spans="12:20">
      <c r="L1605" s="1179"/>
      <c r="M1605" s="1183"/>
      <c r="N1605" s="1183"/>
      <c r="O1605" s="1183"/>
      <c r="P1605" s="1201"/>
      <c r="Q1605" s="1201"/>
      <c r="R1605" s="1201"/>
      <c r="S1605" s="1201"/>
      <c r="T1605" s="1201"/>
    </row>
    <row r="1606" spans="12:20">
      <c r="L1606" s="1179"/>
      <c r="M1606" s="1183"/>
      <c r="N1606" s="1183"/>
      <c r="O1606" s="1183"/>
      <c r="P1606" s="1201"/>
      <c r="Q1606" s="1201"/>
      <c r="R1606" s="1201"/>
      <c r="S1606" s="1201"/>
      <c r="T1606" s="1201"/>
    </row>
    <row r="1607" spans="12:20">
      <c r="L1607" s="1179"/>
      <c r="M1607" s="1183"/>
      <c r="N1607" s="1183"/>
      <c r="O1607" s="1183"/>
      <c r="P1607" s="1201"/>
      <c r="Q1607" s="1201"/>
      <c r="R1607" s="1201"/>
      <c r="S1607" s="1201"/>
      <c r="T1607" s="1201"/>
    </row>
    <row r="1608" spans="12:20">
      <c r="L1608" s="1179"/>
      <c r="M1608" s="1183"/>
      <c r="N1608" s="1183"/>
      <c r="O1608" s="1183"/>
      <c r="P1608" s="1201"/>
      <c r="Q1608" s="1201"/>
      <c r="R1608" s="1201"/>
      <c r="S1608" s="1201"/>
      <c r="T1608" s="1201"/>
    </row>
    <row r="1609" spans="12:20">
      <c r="L1609" s="1179"/>
      <c r="M1609" s="1183"/>
      <c r="N1609" s="1183"/>
      <c r="O1609" s="1183"/>
      <c r="P1609" s="1201"/>
      <c r="Q1609" s="1201"/>
      <c r="R1609" s="1201"/>
      <c r="S1609" s="1201"/>
      <c r="T1609" s="1201"/>
    </row>
    <row r="1610" spans="12:20">
      <c r="L1610" s="1179"/>
      <c r="M1610" s="1183"/>
      <c r="N1610" s="1183"/>
      <c r="O1610" s="1183"/>
      <c r="P1610" s="1201"/>
      <c r="Q1610" s="1201"/>
      <c r="R1610" s="1201"/>
      <c r="S1610" s="1201"/>
      <c r="T1610" s="1201"/>
    </row>
    <row r="1611" spans="12:20">
      <c r="L1611" s="1179"/>
      <c r="M1611" s="1183"/>
      <c r="N1611" s="1183"/>
      <c r="O1611" s="1183"/>
      <c r="P1611" s="1201"/>
      <c r="Q1611" s="1201"/>
      <c r="R1611" s="1201"/>
      <c r="S1611" s="1201"/>
      <c r="T1611" s="1201"/>
    </row>
    <row r="1612" spans="12:20">
      <c r="L1612" s="1179"/>
      <c r="M1612" s="1183"/>
      <c r="N1612" s="1183"/>
      <c r="O1612" s="1183"/>
      <c r="P1612" s="1201"/>
      <c r="Q1612" s="1201"/>
      <c r="R1612" s="1201"/>
      <c r="S1612" s="1201"/>
      <c r="T1612" s="1201"/>
    </row>
    <row r="1613" spans="12:20">
      <c r="L1613" s="1179"/>
      <c r="M1613" s="1183"/>
      <c r="N1613" s="1183"/>
      <c r="O1613" s="1183"/>
      <c r="P1613" s="1201"/>
      <c r="Q1613" s="1201"/>
      <c r="R1613" s="1201"/>
      <c r="S1613" s="1201"/>
      <c r="T1613" s="1201"/>
    </row>
    <row r="1614" spans="12:20">
      <c r="L1614" s="1179"/>
      <c r="M1614" s="1183"/>
      <c r="N1614" s="1183"/>
      <c r="O1614" s="1183"/>
      <c r="P1614" s="1201"/>
      <c r="Q1614" s="1201"/>
      <c r="R1614" s="1201"/>
      <c r="S1614" s="1201"/>
      <c r="T1614" s="1201"/>
    </row>
    <row r="1615" spans="12:20">
      <c r="L1615" s="1179"/>
      <c r="M1615" s="1183"/>
      <c r="N1615" s="1183"/>
      <c r="O1615" s="1183"/>
      <c r="P1615" s="1201"/>
      <c r="Q1615" s="1201"/>
      <c r="R1615" s="1201"/>
      <c r="S1615" s="1201"/>
      <c r="T1615" s="1201"/>
    </row>
    <row r="1616" spans="12:20">
      <c r="L1616" s="1179"/>
      <c r="M1616" s="1183"/>
      <c r="N1616" s="1183"/>
      <c r="O1616" s="1183"/>
      <c r="P1616" s="1201"/>
      <c r="Q1616" s="1201"/>
      <c r="R1616" s="1201"/>
      <c r="S1616" s="1201"/>
      <c r="T1616" s="1201"/>
    </row>
    <row r="1617" spans="12:20">
      <c r="L1617" s="1179"/>
      <c r="M1617" s="1183"/>
      <c r="N1617" s="1183"/>
      <c r="O1617" s="1183"/>
      <c r="P1617" s="1201"/>
      <c r="Q1617" s="1201"/>
      <c r="R1617" s="1201"/>
      <c r="S1617" s="1201"/>
      <c r="T1617" s="1201"/>
    </row>
    <row r="1618" spans="12:20">
      <c r="L1618" s="1179"/>
      <c r="M1618" s="1183"/>
      <c r="N1618" s="1183"/>
      <c r="O1618" s="1183"/>
      <c r="P1618" s="1201"/>
      <c r="Q1618" s="1201"/>
      <c r="R1618" s="1201"/>
      <c r="S1618" s="1201"/>
      <c r="T1618" s="1201"/>
    </row>
    <row r="1619" spans="12:20">
      <c r="L1619" s="1179"/>
      <c r="M1619" s="1183"/>
      <c r="N1619" s="1183"/>
      <c r="O1619" s="1183"/>
      <c r="P1619" s="1201"/>
      <c r="Q1619" s="1201"/>
      <c r="R1619" s="1201"/>
      <c r="S1619" s="1201"/>
      <c r="T1619" s="1201"/>
    </row>
    <row r="1620" spans="12:20">
      <c r="L1620" s="1179"/>
      <c r="M1620" s="1183"/>
      <c r="N1620" s="1183"/>
      <c r="O1620" s="1183"/>
      <c r="P1620" s="1201"/>
      <c r="Q1620" s="1201"/>
      <c r="R1620" s="1201"/>
      <c r="S1620" s="1201"/>
      <c r="T1620" s="1201"/>
    </row>
    <row r="1621" spans="12:20">
      <c r="L1621" s="1179"/>
      <c r="M1621" s="1183"/>
      <c r="N1621" s="1183"/>
      <c r="O1621" s="1183"/>
      <c r="P1621" s="1201"/>
      <c r="Q1621" s="1201"/>
      <c r="R1621" s="1201"/>
      <c r="S1621" s="1201"/>
      <c r="T1621" s="1201"/>
    </row>
    <row r="1622" spans="12:20">
      <c r="L1622" s="1179"/>
      <c r="M1622" s="1183"/>
      <c r="N1622" s="1183"/>
      <c r="O1622" s="1183"/>
      <c r="P1622" s="1201"/>
      <c r="Q1622" s="1201"/>
      <c r="R1622" s="1201"/>
      <c r="S1622" s="1201"/>
      <c r="T1622" s="1201"/>
    </row>
    <row r="1623" spans="12:20">
      <c r="L1623" s="1179"/>
      <c r="M1623" s="1183"/>
      <c r="N1623" s="1183"/>
      <c r="O1623" s="1183"/>
      <c r="P1623" s="1201"/>
      <c r="Q1623" s="1201"/>
      <c r="R1623" s="1201"/>
      <c r="S1623" s="1201"/>
      <c r="T1623" s="1201"/>
    </row>
    <row r="1624" spans="12:20">
      <c r="L1624" s="1179"/>
      <c r="M1624" s="1183"/>
      <c r="N1624" s="1183"/>
      <c r="O1624" s="1183"/>
      <c r="P1624" s="1201"/>
      <c r="Q1624" s="1201"/>
      <c r="R1624" s="1201"/>
      <c r="S1624" s="1201"/>
      <c r="T1624" s="1201"/>
    </row>
    <row r="1625" spans="12:20">
      <c r="L1625" s="1179"/>
      <c r="M1625" s="1183"/>
      <c r="N1625" s="1183"/>
      <c r="O1625" s="1183"/>
      <c r="P1625" s="1201"/>
      <c r="Q1625" s="1201"/>
      <c r="R1625" s="1201"/>
      <c r="S1625" s="1201"/>
      <c r="T1625" s="1201"/>
    </row>
    <row r="1626" spans="12:20">
      <c r="L1626" s="1179"/>
      <c r="M1626" s="1183"/>
      <c r="N1626" s="1183"/>
      <c r="O1626" s="1183"/>
      <c r="P1626" s="1201"/>
      <c r="Q1626" s="1201"/>
      <c r="R1626" s="1201"/>
      <c r="S1626" s="1201"/>
      <c r="T1626" s="1201"/>
    </row>
    <row r="1627" spans="12:20">
      <c r="L1627" s="1179"/>
      <c r="M1627" s="1183"/>
      <c r="N1627" s="1183"/>
      <c r="O1627" s="1183"/>
      <c r="P1627" s="1201"/>
      <c r="Q1627" s="1201"/>
      <c r="R1627" s="1201"/>
      <c r="S1627" s="1201"/>
      <c r="T1627" s="1201"/>
    </row>
    <row r="1628" spans="12:20">
      <c r="L1628" s="1179"/>
      <c r="M1628" s="1183"/>
      <c r="N1628" s="1183"/>
      <c r="O1628" s="1183"/>
      <c r="P1628" s="1201"/>
      <c r="Q1628" s="1201"/>
      <c r="R1628" s="1201"/>
      <c r="S1628" s="1201"/>
      <c r="T1628" s="1201"/>
    </row>
    <row r="1629" spans="12:20">
      <c r="L1629" s="1179"/>
      <c r="M1629" s="1183"/>
      <c r="N1629" s="1183"/>
      <c r="O1629" s="1183"/>
      <c r="P1629" s="1201"/>
      <c r="Q1629" s="1201"/>
      <c r="R1629" s="1201"/>
      <c r="S1629" s="1201"/>
      <c r="T1629" s="1201"/>
    </row>
    <row r="1630" spans="12:20">
      <c r="L1630" s="1179"/>
      <c r="M1630" s="1183"/>
      <c r="N1630" s="1183"/>
      <c r="O1630" s="1183"/>
      <c r="P1630" s="1201"/>
      <c r="Q1630" s="1201"/>
      <c r="R1630" s="1201"/>
      <c r="S1630" s="1201"/>
      <c r="T1630" s="1201"/>
    </row>
    <row r="1631" spans="12:20">
      <c r="L1631" s="1179"/>
      <c r="M1631" s="1183"/>
      <c r="N1631" s="1183"/>
      <c r="O1631" s="1183"/>
      <c r="P1631" s="1201"/>
      <c r="Q1631" s="1201"/>
      <c r="R1631" s="1201"/>
      <c r="S1631" s="1201"/>
      <c r="T1631" s="1201"/>
    </row>
    <row r="1632" spans="12:20">
      <c r="L1632" s="1179"/>
      <c r="M1632" s="1183"/>
      <c r="N1632" s="1183"/>
      <c r="O1632" s="1183"/>
      <c r="P1632" s="1201"/>
      <c r="Q1632" s="1201"/>
      <c r="R1632" s="1201"/>
      <c r="S1632" s="1201"/>
      <c r="T1632" s="1201"/>
    </row>
    <row r="1633" spans="12:20">
      <c r="L1633" s="1179"/>
      <c r="M1633" s="1183"/>
      <c r="N1633" s="1183"/>
      <c r="O1633" s="1183"/>
      <c r="P1633" s="1201"/>
      <c r="Q1633" s="1201"/>
      <c r="R1633" s="1201"/>
      <c r="S1633" s="1201"/>
      <c r="T1633" s="1201"/>
    </row>
    <row r="1634" spans="12:20">
      <c r="L1634" s="1179"/>
      <c r="M1634" s="1183"/>
      <c r="N1634" s="1183"/>
      <c r="O1634" s="1183"/>
      <c r="P1634" s="1201"/>
      <c r="Q1634" s="1201"/>
      <c r="R1634" s="1201"/>
      <c r="S1634" s="1201"/>
      <c r="T1634" s="1201"/>
    </row>
    <row r="1635" spans="12:20">
      <c r="L1635" s="1179"/>
      <c r="M1635" s="1183"/>
      <c r="N1635" s="1183"/>
      <c r="O1635" s="1183"/>
      <c r="P1635" s="1201"/>
      <c r="Q1635" s="1201"/>
      <c r="R1635" s="1201"/>
      <c r="S1635" s="1201"/>
      <c r="T1635" s="1201"/>
    </row>
    <row r="1636" spans="12:20">
      <c r="L1636" s="1179"/>
      <c r="M1636" s="1183"/>
      <c r="N1636" s="1183"/>
      <c r="O1636" s="1183"/>
      <c r="P1636" s="1201"/>
      <c r="Q1636" s="1201"/>
      <c r="R1636" s="1201"/>
      <c r="S1636" s="1201"/>
      <c r="T1636" s="1201"/>
    </row>
    <row r="1637" spans="12:20">
      <c r="L1637" s="1179"/>
      <c r="M1637" s="1183"/>
      <c r="N1637" s="1183"/>
      <c r="O1637" s="1183"/>
      <c r="P1637" s="1201"/>
      <c r="Q1637" s="1201"/>
      <c r="R1637" s="1201"/>
      <c r="S1637" s="1201"/>
      <c r="T1637" s="1201"/>
    </row>
    <row r="1638" spans="12:20">
      <c r="L1638" s="1179"/>
      <c r="M1638" s="1183"/>
      <c r="N1638" s="1183"/>
      <c r="O1638" s="1183"/>
      <c r="P1638" s="1201"/>
      <c r="Q1638" s="1201"/>
      <c r="R1638" s="1201"/>
      <c r="S1638" s="1201"/>
      <c r="T1638" s="1201"/>
    </row>
    <row r="1639" spans="12:20">
      <c r="L1639" s="1179"/>
      <c r="M1639" s="1183"/>
      <c r="N1639" s="1183"/>
      <c r="O1639" s="1183"/>
      <c r="P1639" s="1201"/>
      <c r="Q1639" s="1201"/>
      <c r="R1639" s="1201"/>
      <c r="S1639" s="1201"/>
      <c r="T1639" s="1201"/>
    </row>
    <row r="1640" spans="12:20">
      <c r="L1640" s="1179"/>
      <c r="M1640" s="1183"/>
      <c r="N1640" s="1183"/>
      <c r="O1640" s="1183"/>
      <c r="P1640" s="1201"/>
      <c r="Q1640" s="1201"/>
      <c r="R1640" s="1201"/>
      <c r="S1640" s="1201"/>
      <c r="T1640" s="1201"/>
    </row>
    <row r="1641" spans="12:20">
      <c r="L1641" s="1179"/>
      <c r="M1641" s="1183"/>
      <c r="N1641" s="1183"/>
      <c r="O1641" s="1183"/>
      <c r="P1641" s="1201"/>
      <c r="Q1641" s="1201"/>
      <c r="R1641" s="1201"/>
      <c r="S1641" s="1201"/>
      <c r="T1641" s="1201"/>
    </row>
    <row r="1642" spans="12:20">
      <c r="L1642" s="1179"/>
      <c r="M1642" s="1183"/>
      <c r="N1642" s="1183"/>
      <c r="O1642" s="1183"/>
      <c r="P1642" s="1201"/>
      <c r="Q1642" s="1201"/>
      <c r="R1642" s="1201"/>
      <c r="S1642" s="1201"/>
      <c r="T1642" s="1201"/>
    </row>
    <row r="1643" spans="12:20">
      <c r="L1643" s="1179"/>
      <c r="M1643" s="1183"/>
      <c r="N1643" s="1183"/>
      <c r="O1643" s="1183"/>
      <c r="P1643" s="1201"/>
      <c r="Q1643" s="1201"/>
      <c r="R1643" s="1201"/>
      <c r="S1643" s="1201"/>
      <c r="T1643" s="1201"/>
    </row>
    <row r="1644" spans="12:20">
      <c r="L1644" s="1179"/>
      <c r="M1644" s="1183"/>
      <c r="N1644" s="1183"/>
      <c r="O1644" s="1183"/>
      <c r="P1644" s="1201"/>
      <c r="Q1644" s="1201"/>
      <c r="R1644" s="1201"/>
      <c r="S1644" s="1201"/>
      <c r="T1644" s="1201"/>
    </row>
    <row r="1645" spans="12:20">
      <c r="L1645" s="1179"/>
      <c r="M1645" s="1183"/>
      <c r="N1645" s="1183"/>
      <c r="O1645" s="1183"/>
      <c r="P1645" s="1201"/>
      <c r="Q1645" s="1201"/>
      <c r="R1645" s="1201"/>
      <c r="S1645" s="1201"/>
      <c r="T1645" s="1201"/>
    </row>
    <row r="1646" spans="12:20">
      <c r="L1646" s="1179"/>
      <c r="M1646" s="1183"/>
      <c r="N1646" s="1183"/>
      <c r="O1646" s="1183"/>
      <c r="P1646" s="1201"/>
      <c r="Q1646" s="1201"/>
      <c r="R1646" s="1201"/>
      <c r="S1646" s="1201"/>
      <c r="T1646" s="1201"/>
    </row>
    <row r="1647" spans="12:20">
      <c r="L1647" s="1179"/>
      <c r="M1647" s="1183"/>
      <c r="N1647" s="1183"/>
      <c r="O1647" s="1183"/>
      <c r="P1647" s="1201"/>
      <c r="Q1647" s="1201"/>
      <c r="R1647" s="1201"/>
      <c r="S1647" s="1201"/>
      <c r="T1647" s="1201"/>
    </row>
    <row r="1648" spans="12:20">
      <c r="L1648" s="1179"/>
      <c r="M1648" s="1183"/>
      <c r="N1648" s="1183"/>
      <c r="O1648" s="1183"/>
      <c r="P1648" s="1201"/>
      <c r="Q1648" s="1201"/>
      <c r="R1648" s="1201"/>
      <c r="S1648" s="1201"/>
      <c r="T1648" s="1201"/>
    </row>
    <row r="1649" spans="12:20">
      <c r="L1649" s="1179"/>
      <c r="M1649" s="1183"/>
      <c r="N1649" s="1183"/>
      <c r="O1649" s="1183"/>
      <c r="P1649" s="1201"/>
      <c r="Q1649" s="1201"/>
      <c r="R1649" s="1201"/>
      <c r="S1649" s="1201"/>
      <c r="T1649" s="1201"/>
    </row>
    <row r="1650" spans="12:20">
      <c r="L1650" s="1179"/>
      <c r="M1650" s="1183"/>
      <c r="N1650" s="1183"/>
      <c r="O1650" s="1183"/>
      <c r="P1650" s="1201"/>
      <c r="Q1650" s="1201"/>
      <c r="R1650" s="1201"/>
      <c r="S1650" s="1201"/>
      <c r="T1650" s="1201"/>
    </row>
    <row r="1651" spans="12:20">
      <c r="L1651" s="1179"/>
      <c r="M1651" s="1183"/>
      <c r="N1651" s="1183"/>
      <c r="O1651" s="1183"/>
      <c r="P1651" s="1201"/>
      <c r="Q1651" s="1201"/>
      <c r="R1651" s="1201"/>
      <c r="S1651" s="1201"/>
      <c r="T1651" s="1201"/>
    </row>
    <row r="1652" spans="12:20">
      <c r="L1652" s="1179"/>
      <c r="M1652" s="1183"/>
      <c r="N1652" s="1183"/>
      <c r="O1652" s="1183"/>
      <c r="P1652" s="1201"/>
      <c r="Q1652" s="1201"/>
      <c r="R1652" s="1201"/>
      <c r="S1652" s="1201"/>
      <c r="T1652" s="1201"/>
    </row>
    <row r="1653" spans="12:20">
      <c r="L1653" s="1179"/>
      <c r="M1653" s="1183"/>
      <c r="N1653" s="1183"/>
      <c r="O1653" s="1183"/>
      <c r="P1653" s="1201"/>
      <c r="Q1653" s="1201"/>
      <c r="R1653" s="1201"/>
      <c r="S1653" s="1201"/>
      <c r="T1653" s="1201"/>
    </row>
    <row r="1654" spans="12:20">
      <c r="L1654" s="1179"/>
      <c r="M1654" s="1183"/>
      <c r="N1654" s="1183"/>
      <c r="O1654" s="1183"/>
      <c r="P1654" s="1201"/>
      <c r="Q1654" s="1201"/>
      <c r="R1654" s="1201"/>
      <c r="S1654" s="1201"/>
      <c r="T1654" s="1201"/>
    </row>
    <row r="1655" spans="12:20">
      <c r="L1655" s="1179"/>
      <c r="M1655" s="1183"/>
      <c r="N1655" s="1183"/>
      <c r="O1655" s="1183"/>
      <c r="P1655" s="1201"/>
      <c r="Q1655" s="1201"/>
      <c r="R1655" s="1201"/>
      <c r="S1655" s="1201"/>
      <c r="T1655" s="1201"/>
    </row>
    <row r="1656" spans="12:20">
      <c r="L1656" s="1179"/>
      <c r="M1656" s="1183"/>
      <c r="N1656" s="1183"/>
      <c r="O1656" s="1183"/>
      <c r="P1656" s="1201"/>
      <c r="Q1656" s="1201"/>
      <c r="R1656" s="1201"/>
      <c r="S1656" s="1201"/>
      <c r="T1656" s="1201"/>
    </row>
    <row r="1657" spans="12:20">
      <c r="L1657" s="1179"/>
      <c r="M1657" s="1183"/>
      <c r="N1657" s="1183"/>
      <c r="O1657" s="1183"/>
      <c r="P1657" s="1201"/>
      <c r="Q1657" s="1201"/>
      <c r="R1657" s="1201"/>
      <c r="S1657" s="1201"/>
      <c r="T1657" s="1201"/>
    </row>
    <row r="1658" spans="12:20">
      <c r="L1658" s="1179"/>
      <c r="M1658" s="1183"/>
      <c r="N1658" s="1183"/>
      <c r="O1658" s="1183"/>
      <c r="P1658" s="1201"/>
      <c r="Q1658" s="1201"/>
      <c r="R1658" s="1201"/>
      <c r="S1658" s="1201"/>
      <c r="T1658" s="1201"/>
    </row>
    <row r="1659" spans="12:20">
      <c r="L1659" s="1179"/>
      <c r="M1659" s="1183"/>
      <c r="N1659" s="1183"/>
      <c r="O1659" s="1183"/>
      <c r="P1659" s="1201"/>
      <c r="Q1659" s="1201"/>
      <c r="R1659" s="1201"/>
      <c r="S1659" s="1201"/>
      <c r="T1659" s="1201"/>
    </row>
    <row r="1660" spans="12:20">
      <c r="L1660" s="1179"/>
      <c r="M1660" s="1183"/>
      <c r="N1660" s="1183"/>
      <c r="O1660" s="1183"/>
      <c r="P1660" s="1201"/>
      <c r="Q1660" s="1201"/>
      <c r="R1660" s="1201"/>
      <c r="S1660" s="1201"/>
      <c r="T1660" s="1201"/>
    </row>
    <row r="1661" spans="12:20">
      <c r="L1661" s="1179"/>
      <c r="M1661" s="1183"/>
      <c r="N1661" s="1183"/>
      <c r="O1661" s="1183"/>
      <c r="P1661" s="1201"/>
      <c r="Q1661" s="1201"/>
      <c r="R1661" s="1201"/>
      <c r="S1661" s="1201"/>
      <c r="T1661" s="1201"/>
    </row>
    <row r="1662" spans="12:20">
      <c r="L1662" s="1179"/>
      <c r="M1662" s="1183"/>
      <c r="N1662" s="1183"/>
      <c r="O1662" s="1183"/>
      <c r="P1662" s="1201"/>
      <c r="Q1662" s="1201"/>
      <c r="R1662" s="1201"/>
      <c r="S1662" s="1201"/>
      <c r="T1662" s="1201"/>
    </row>
    <row r="1663" spans="12:20">
      <c r="L1663" s="1179"/>
      <c r="M1663" s="1183"/>
      <c r="N1663" s="1183"/>
      <c r="O1663" s="1183"/>
      <c r="P1663" s="1201"/>
      <c r="Q1663" s="1201"/>
      <c r="R1663" s="1201"/>
      <c r="S1663" s="1201"/>
      <c r="T1663" s="1201"/>
    </row>
    <row r="1664" spans="12:20">
      <c r="L1664" s="1179"/>
      <c r="M1664" s="1183"/>
      <c r="N1664" s="1183"/>
      <c r="O1664" s="1183"/>
      <c r="P1664" s="1201"/>
      <c r="Q1664" s="1201"/>
      <c r="R1664" s="1201"/>
      <c r="S1664" s="1201"/>
      <c r="T1664" s="1201"/>
    </row>
    <row r="1665" spans="12:20">
      <c r="L1665" s="1179"/>
      <c r="M1665" s="1183"/>
      <c r="N1665" s="1183"/>
      <c r="O1665" s="1183"/>
      <c r="P1665" s="1201"/>
      <c r="Q1665" s="1201"/>
      <c r="R1665" s="1201"/>
      <c r="S1665" s="1201"/>
      <c r="T1665" s="1201"/>
    </row>
    <row r="1666" spans="12:20">
      <c r="L1666" s="1179"/>
      <c r="M1666" s="1183"/>
      <c r="N1666" s="1183"/>
      <c r="O1666" s="1183"/>
      <c r="P1666" s="1201"/>
      <c r="Q1666" s="1201"/>
      <c r="R1666" s="1201"/>
      <c r="S1666" s="1201"/>
      <c r="T1666" s="1201"/>
    </row>
    <row r="1667" spans="12:20">
      <c r="L1667" s="1179"/>
      <c r="M1667" s="1183"/>
      <c r="N1667" s="1183"/>
      <c r="O1667" s="1183"/>
      <c r="P1667" s="1201"/>
      <c r="Q1667" s="1201"/>
      <c r="R1667" s="1201"/>
      <c r="S1667" s="1201"/>
      <c r="T1667" s="1201"/>
    </row>
    <row r="1668" spans="12:20">
      <c r="L1668" s="1179"/>
      <c r="M1668" s="1183"/>
      <c r="N1668" s="1183"/>
      <c r="O1668" s="1183"/>
      <c r="P1668" s="1201"/>
      <c r="Q1668" s="1201"/>
      <c r="R1668" s="1201"/>
      <c r="S1668" s="1201"/>
      <c r="T1668" s="1201"/>
    </row>
    <row r="1669" spans="12:20">
      <c r="L1669" s="1179"/>
      <c r="M1669" s="1183"/>
      <c r="N1669" s="1183"/>
      <c r="O1669" s="1183"/>
      <c r="P1669" s="1201"/>
      <c r="Q1669" s="1201"/>
      <c r="R1669" s="1201"/>
      <c r="S1669" s="1201"/>
      <c r="T1669" s="1201"/>
    </row>
    <row r="1670" spans="12:20">
      <c r="L1670" s="1179"/>
      <c r="M1670" s="1183"/>
      <c r="N1670" s="1183"/>
      <c r="O1670" s="1183"/>
      <c r="P1670" s="1201"/>
      <c r="Q1670" s="1201"/>
      <c r="R1670" s="1201"/>
      <c r="S1670" s="1201"/>
      <c r="T1670" s="1201"/>
    </row>
    <row r="1671" spans="12:20">
      <c r="L1671" s="1179"/>
      <c r="M1671" s="1183"/>
      <c r="N1671" s="1183"/>
      <c r="O1671" s="1183"/>
      <c r="P1671" s="1201"/>
      <c r="Q1671" s="1201"/>
      <c r="R1671" s="1201"/>
      <c r="S1671" s="1201"/>
      <c r="T1671" s="1201"/>
    </row>
    <row r="1672" spans="12:20">
      <c r="L1672" s="1179"/>
      <c r="M1672" s="1183"/>
      <c r="N1672" s="1183"/>
      <c r="O1672" s="1183"/>
      <c r="P1672" s="1201"/>
      <c r="Q1672" s="1201"/>
      <c r="R1672" s="1201"/>
      <c r="S1672" s="1201"/>
      <c r="T1672" s="1201"/>
    </row>
    <row r="1673" spans="12:20">
      <c r="L1673" s="1179"/>
      <c r="M1673" s="1183"/>
      <c r="N1673" s="1183"/>
      <c r="O1673" s="1183"/>
      <c r="P1673" s="1201"/>
      <c r="Q1673" s="1201"/>
      <c r="R1673" s="1201"/>
      <c r="S1673" s="1201"/>
      <c r="T1673" s="1201"/>
    </row>
    <row r="1674" spans="12:20">
      <c r="L1674" s="1179"/>
      <c r="M1674" s="1183"/>
      <c r="N1674" s="1183"/>
      <c r="O1674" s="1183"/>
      <c r="P1674" s="1201"/>
      <c r="Q1674" s="1201"/>
      <c r="R1674" s="1201"/>
      <c r="S1674" s="1201"/>
      <c r="T1674" s="1201"/>
    </row>
    <row r="1675" spans="12:20">
      <c r="L1675" s="1179"/>
      <c r="M1675" s="1183"/>
      <c r="N1675" s="1183"/>
      <c r="O1675" s="1183"/>
      <c r="P1675" s="1201"/>
      <c r="Q1675" s="1201"/>
      <c r="R1675" s="1201"/>
      <c r="S1675" s="1201"/>
      <c r="T1675" s="1201"/>
    </row>
    <row r="1676" spans="12:20">
      <c r="L1676" s="1179"/>
      <c r="M1676" s="1183"/>
      <c r="N1676" s="1183"/>
      <c r="O1676" s="1183"/>
      <c r="P1676" s="1201"/>
      <c r="Q1676" s="1201"/>
      <c r="R1676" s="1201"/>
      <c r="S1676" s="1201"/>
      <c r="T1676" s="1201"/>
    </row>
    <row r="1677" spans="12:20">
      <c r="L1677" s="1179"/>
      <c r="M1677" s="1183"/>
      <c r="N1677" s="1183"/>
      <c r="O1677" s="1183"/>
      <c r="P1677" s="1201"/>
      <c r="Q1677" s="1201"/>
      <c r="R1677" s="1201"/>
      <c r="S1677" s="1201"/>
      <c r="T1677" s="1201"/>
    </row>
    <row r="1678" spans="12:20">
      <c r="L1678" s="1179"/>
      <c r="M1678" s="1183"/>
      <c r="N1678" s="1183"/>
      <c r="O1678" s="1183"/>
      <c r="P1678" s="1201"/>
      <c r="Q1678" s="1201"/>
      <c r="R1678" s="1201"/>
      <c r="S1678" s="1201"/>
      <c r="T1678" s="1201"/>
    </row>
    <row r="1679" spans="12:20">
      <c r="L1679" s="1179"/>
      <c r="M1679" s="1183"/>
      <c r="N1679" s="1183"/>
      <c r="O1679" s="1183"/>
      <c r="P1679" s="1201"/>
      <c r="Q1679" s="1201"/>
      <c r="R1679" s="1201"/>
      <c r="S1679" s="1201"/>
      <c r="T1679" s="1201"/>
    </row>
    <row r="1680" spans="12:20">
      <c r="L1680" s="1179"/>
      <c r="M1680" s="1183"/>
      <c r="N1680" s="1183"/>
      <c r="O1680" s="1183"/>
      <c r="P1680" s="1201"/>
      <c r="Q1680" s="1201"/>
      <c r="R1680" s="1201"/>
      <c r="S1680" s="1201"/>
      <c r="T1680" s="1201"/>
    </row>
    <row r="1681" spans="12:20">
      <c r="L1681" s="1179"/>
      <c r="M1681" s="1183"/>
      <c r="N1681" s="1183"/>
      <c r="O1681" s="1183"/>
      <c r="P1681" s="1201"/>
      <c r="Q1681" s="1201"/>
      <c r="R1681" s="1201"/>
      <c r="S1681" s="1201"/>
      <c r="T1681" s="1201"/>
    </row>
    <row r="1682" spans="12:20">
      <c r="L1682" s="1179"/>
      <c r="M1682" s="1183"/>
      <c r="N1682" s="1183"/>
      <c r="O1682" s="1183"/>
      <c r="P1682" s="1201"/>
      <c r="Q1682" s="1201"/>
      <c r="R1682" s="1201"/>
      <c r="S1682" s="1201"/>
      <c r="T1682" s="1201"/>
    </row>
    <row r="1683" spans="12:20">
      <c r="L1683" s="1179"/>
      <c r="M1683" s="1183"/>
      <c r="N1683" s="1183"/>
      <c r="O1683" s="1183"/>
      <c r="P1683" s="1201"/>
      <c r="Q1683" s="1201"/>
      <c r="R1683" s="1201"/>
      <c r="S1683" s="1201"/>
      <c r="T1683" s="1201"/>
    </row>
    <row r="1684" spans="12:20">
      <c r="L1684" s="1179"/>
      <c r="M1684" s="1183"/>
      <c r="N1684" s="1183"/>
      <c r="O1684" s="1183"/>
      <c r="P1684" s="1201"/>
      <c r="Q1684" s="1201"/>
      <c r="R1684" s="1201"/>
      <c r="S1684" s="1201"/>
      <c r="T1684" s="1201"/>
    </row>
    <row r="1685" spans="12:20">
      <c r="L1685" s="1179"/>
      <c r="M1685" s="1183"/>
      <c r="N1685" s="1183"/>
      <c r="O1685" s="1183"/>
      <c r="P1685" s="1201"/>
      <c r="Q1685" s="1201"/>
      <c r="R1685" s="1201"/>
      <c r="S1685" s="1201"/>
      <c r="T1685" s="1201"/>
    </row>
    <row r="1686" spans="12:20">
      <c r="L1686" s="1179"/>
      <c r="M1686" s="1183"/>
      <c r="N1686" s="1183"/>
      <c r="O1686" s="1183"/>
      <c r="P1686" s="1201"/>
      <c r="Q1686" s="1201"/>
      <c r="R1686" s="1201"/>
      <c r="S1686" s="1201"/>
      <c r="T1686" s="1201"/>
    </row>
    <row r="1687" spans="12:20">
      <c r="L1687" s="1179"/>
      <c r="M1687" s="1183"/>
      <c r="N1687" s="1183"/>
      <c r="O1687" s="1183"/>
      <c r="P1687" s="1201"/>
      <c r="Q1687" s="1201"/>
      <c r="R1687" s="1201"/>
      <c r="S1687" s="1201"/>
      <c r="T1687" s="1201"/>
    </row>
    <row r="1688" spans="12:20">
      <c r="L1688" s="1179"/>
      <c r="M1688" s="1183"/>
      <c r="N1688" s="1183"/>
      <c r="O1688" s="1183"/>
      <c r="P1688" s="1201"/>
      <c r="Q1688" s="1201"/>
      <c r="R1688" s="1201"/>
      <c r="S1688" s="1201"/>
      <c r="T1688" s="1201"/>
    </row>
    <row r="1689" spans="12:20">
      <c r="L1689" s="1179"/>
      <c r="M1689" s="1183"/>
      <c r="N1689" s="1183"/>
      <c r="O1689" s="1183"/>
      <c r="P1689" s="1201"/>
      <c r="Q1689" s="1201"/>
      <c r="R1689" s="1201"/>
      <c r="S1689" s="1201"/>
      <c r="T1689" s="1201"/>
    </row>
    <row r="1690" spans="12:20">
      <c r="L1690" s="1179"/>
      <c r="M1690" s="1183"/>
      <c r="N1690" s="1183"/>
      <c r="O1690" s="1183"/>
      <c r="P1690" s="1201"/>
      <c r="Q1690" s="1201"/>
      <c r="R1690" s="1201"/>
      <c r="S1690" s="1201"/>
      <c r="T1690" s="1201"/>
    </row>
    <row r="1691" spans="12:20">
      <c r="L1691" s="1179"/>
      <c r="M1691" s="1183"/>
      <c r="N1691" s="1183"/>
      <c r="O1691" s="1183"/>
      <c r="P1691" s="1201"/>
      <c r="Q1691" s="1201"/>
      <c r="R1691" s="1201"/>
      <c r="S1691" s="1201"/>
      <c r="T1691" s="1201"/>
    </row>
    <row r="1692" spans="12:20">
      <c r="L1692" s="1179"/>
      <c r="M1692" s="1183"/>
      <c r="N1692" s="1183"/>
      <c r="O1692" s="1183"/>
      <c r="P1692" s="1201"/>
      <c r="Q1692" s="1201"/>
      <c r="R1692" s="1201"/>
      <c r="S1692" s="1201"/>
      <c r="T1692" s="1201"/>
    </row>
    <row r="1693" spans="12:20">
      <c r="L1693" s="1179"/>
      <c r="M1693" s="1183"/>
      <c r="N1693" s="1183"/>
      <c r="O1693" s="1183"/>
      <c r="P1693" s="1201"/>
      <c r="Q1693" s="1201"/>
      <c r="R1693" s="1201"/>
      <c r="S1693" s="1201"/>
      <c r="T1693" s="1201"/>
    </row>
    <row r="1694" spans="12:20">
      <c r="L1694" s="1179"/>
      <c r="M1694" s="1183"/>
      <c r="N1694" s="1183"/>
      <c r="O1694" s="1183"/>
      <c r="P1694" s="1201"/>
      <c r="Q1694" s="1201"/>
      <c r="R1694" s="1201"/>
      <c r="S1694" s="1201"/>
      <c r="T1694" s="1201"/>
    </row>
    <row r="1695" spans="12:20">
      <c r="L1695" s="1179"/>
      <c r="M1695" s="1183"/>
      <c r="N1695" s="1183"/>
      <c r="O1695" s="1183"/>
      <c r="P1695" s="1201"/>
      <c r="Q1695" s="1201"/>
      <c r="R1695" s="1201"/>
      <c r="S1695" s="1201"/>
      <c r="T1695" s="1201"/>
    </row>
    <row r="1696" spans="12:20">
      <c r="L1696" s="1179"/>
      <c r="M1696" s="1183"/>
      <c r="N1696" s="1183"/>
      <c r="O1696" s="1183"/>
      <c r="P1696" s="1201"/>
      <c r="Q1696" s="1201"/>
      <c r="R1696" s="1201"/>
      <c r="S1696" s="1201"/>
      <c r="T1696" s="1201"/>
    </row>
    <row r="1697" spans="12:20">
      <c r="L1697" s="1179"/>
      <c r="M1697" s="1183"/>
      <c r="N1697" s="1183"/>
      <c r="O1697" s="1183"/>
      <c r="P1697" s="1201"/>
      <c r="Q1697" s="1201"/>
      <c r="R1697" s="1201"/>
      <c r="S1697" s="1201"/>
      <c r="T1697" s="1201"/>
    </row>
    <row r="1698" spans="12:20">
      <c r="L1698" s="1179"/>
      <c r="M1698" s="1183"/>
      <c r="N1698" s="1183"/>
      <c r="O1698" s="1183"/>
      <c r="P1698" s="1201"/>
      <c r="Q1698" s="1201"/>
      <c r="R1698" s="1201"/>
      <c r="S1698" s="1201"/>
      <c r="T1698" s="1201"/>
    </row>
    <row r="1699" spans="12:20">
      <c r="L1699" s="1179"/>
      <c r="M1699" s="1183"/>
      <c r="N1699" s="1183"/>
      <c r="O1699" s="1183"/>
      <c r="P1699" s="1201"/>
      <c r="Q1699" s="1201"/>
      <c r="R1699" s="1201"/>
      <c r="S1699" s="1201"/>
      <c r="T1699" s="1201"/>
    </row>
    <row r="1700" spans="12:20">
      <c r="L1700" s="1179"/>
      <c r="M1700" s="1183"/>
      <c r="N1700" s="1183"/>
      <c r="O1700" s="1183"/>
      <c r="P1700" s="1201"/>
      <c r="Q1700" s="1201"/>
      <c r="R1700" s="1201"/>
      <c r="S1700" s="1201"/>
      <c r="T1700" s="1201"/>
    </row>
    <row r="1701" spans="12:20">
      <c r="L1701" s="1179"/>
      <c r="M1701" s="1183"/>
      <c r="N1701" s="1183"/>
      <c r="O1701" s="1183"/>
      <c r="P1701" s="1201"/>
      <c r="Q1701" s="1201"/>
      <c r="R1701" s="1201"/>
      <c r="S1701" s="1201"/>
      <c r="T1701" s="1201"/>
    </row>
    <row r="1702" spans="12:20">
      <c r="L1702" s="1179"/>
      <c r="M1702" s="1183"/>
      <c r="N1702" s="1183"/>
      <c r="O1702" s="1183"/>
      <c r="P1702" s="1201"/>
      <c r="Q1702" s="1201"/>
      <c r="R1702" s="1201"/>
      <c r="S1702" s="1201"/>
      <c r="T1702" s="1201"/>
    </row>
    <row r="1703" spans="12:20">
      <c r="L1703" s="1179"/>
      <c r="M1703" s="1183"/>
      <c r="N1703" s="1183"/>
      <c r="O1703" s="1183"/>
      <c r="P1703" s="1201"/>
      <c r="Q1703" s="1201"/>
      <c r="R1703" s="1201"/>
      <c r="S1703" s="1201"/>
      <c r="T1703" s="1201"/>
    </row>
    <row r="1704" spans="12:20">
      <c r="L1704" s="1179"/>
      <c r="M1704" s="1183"/>
      <c r="N1704" s="1183"/>
      <c r="O1704" s="1183"/>
      <c r="P1704" s="1201"/>
      <c r="Q1704" s="1201"/>
      <c r="R1704" s="1201"/>
      <c r="S1704" s="1201"/>
      <c r="T1704" s="1201"/>
    </row>
    <row r="1705" spans="12:20">
      <c r="L1705" s="1179"/>
      <c r="M1705" s="1183"/>
      <c r="N1705" s="1183"/>
      <c r="O1705" s="1183"/>
      <c r="P1705" s="1201"/>
      <c r="Q1705" s="1201"/>
      <c r="R1705" s="1201"/>
      <c r="S1705" s="1201"/>
      <c r="T1705" s="1201"/>
    </row>
    <row r="1706" spans="12:20">
      <c r="L1706" s="1179"/>
      <c r="M1706" s="1183"/>
      <c r="N1706" s="1183"/>
      <c r="O1706" s="1183"/>
      <c r="P1706" s="1201"/>
      <c r="Q1706" s="1201"/>
      <c r="R1706" s="1201"/>
      <c r="S1706" s="1201"/>
      <c r="T1706" s="1201"/>
    </row>
    <row r="1707" spans="12:20">
      <c r="L1707" s="1179"/>
      <c r="M1707" s="1183"/>
      <c r="N1707" s="1183"/>
      <c r="O1707" s="1183"/>
      <c r="P1707" s="1201"/>
      <c r="Q1707" s="1201"/>
      <c r="R1707" s="1201"/>
      <c r="S1707" s="1201"/>
      <c r="T1707" s="1201"/>
    </row>
    <row r="1708" spans="12:20">
      <c r="L1708" s="1179"/>
      <c r="M1708" s="1183"/>
      <c r="N1708" s="1183"/>
      <c r="O1708" s="1183"/>
      <c r="P1708" s="1201"/>
      <c r="Q1708" s="1201"/>
      <c r="R1708" s="1201"/>
      <c r="S1708" s="1201"/>
      <c r="T1708" s="1201"/>
    </row>
    <row r="1709" spans="12:20">
      <c r="L1709" s="1179"/>
      <c r="M1709" s="1183"/>
      <c r="N1709" s="1183"/>
      <c r="O1709" s="1183"/>
      <c r="P1709" s="1201"/>
      <c r="Q1709" s="1201"/>
      <c r="R1709" s="1201"/>
      <c r="S1709" s="1201"/>
      <c r="T1709" s="1201"/>
    </row>
    <row r="1710" spans="12:20">
      <c r="L1710" s="1179"/>
      <c r="M1710" s="1183"/>
      <c r="N1710" s="1183"/>
      <c r="O1710" s="1183"/>
      <c r="P1710" s="1201"/>
      <c r="Q1710" s="1201"/>
      <c r="R1710" s="1201"/>
      <c r="S1710" s="1201"/>
      <c r="T1710" s="1201"/>
    </row>
    <row r="1711" spans="12:20">
      <c r="L1711" s="1179"/>
      <c r="M1711" s="1183"/>
      <c r="N1711" s="1183"/>
      <c r="O1711" s="1183"/>
      <c r="P1711" s="1201"/>
      <c r="Q1711" s="1201"/>
      <c r="R1711" s="1201"/>
      <c r="S1711" s="1201"/>
      <c r="T1711" s="1201"/>
    </row>
    <row r="1712" spans="12:20">
      <c r="L1712" s="1179"/>
      <c r="M1712" s="1183"/>
      <c r="N1712" s="1183"/>
      <c r="O1712" s="1183"/>
      <c r="P1712" s="1201"/>
      <c r="Q1712" s="1201"/>
      <c r="R1712" s="1201"/>
      <c r="S1712" s="1201"/>
      <c r="T1712" s="1201"/>
    </row>
    <row r="1713" spans="12:20">
      <c r="L1713" s="1179"/>
      <c r="M1713" s="1183"/>
      <c r="N1713" s="1183"/>
      <c r="O1713" s="1183"/>
      <c r="P1713" s="1201"/>
      <c r="Q1713" s="1201"/>
      <c r="R1713" s="1201"/>
      <c r="S1713" s="1201"/>
      <c r="T1713" s="1201"/>
    </row>
    <row r="1714" spans="12:20">
      <c r="L1714" s="1179"/>
      <c r="M1714" s="1183"/>
      <c r="N1714" s="1183"/>
      <c r="O1714" s="1183"/>
      <c r="P1714" s="1201"/>
      <c r="Q1714" s="1201"/>
      <c r="R1714" s="1201"/>
      <c r="S1714" s="1201"/>
      <c r="T1714" s="1201"/>
    </row>
    <row r="1715" spans="12:20">
      <c r="L1715" s="1179"/>
      <c r="M1715" s="1183"/>
      <c r="N1715" s="1183"/>
      <c r="O1715" s="1183"/>
      <c r="P1715" s="1201"/>
      <c r="Q1715" s="1201"/>
      <c r="R1715" s="1201"/>
      <c r="S1715" s="1201"/>
      <c r="T1715" s="1201"/>
    </row>
    <row r="1716" spans="12:20">
      <c r="L1716" s="1179"/>
      <c r="M1716" s="1183"/>
      <c r="N1716" s="1183"/>
      <c r="O1716" s="1183"/>
      <c r="P1716" s="1201"/>
      <c r="Q1716" s="1201"/>
      <c r="R1716" s="1201"/>
      <c r="S1716" s="1201"/>
      <c r="T1716" s="1201"/>
    </row>
    <row r="1717" spans="12:20">
      <c r="L1717" s="1179"/>
      <c r="M1717" s="1183"/>
      <c r="N1717" s="1183"/>
      <c r="O1717" s="1183"/>
      <c r="P1717" s="1201"/>
      <c r="Q1717" s="1201"/>
      <c r="R1717" s="1201"/>
      <c r="S1717" s="1201"/>
      <c r="T1717" s="1201"/>
    </row>
    <row r="1718" spans="12:20">
      <c r="L1718" s="1179"/>
      <c r="M1718" s="1183"/>
      <c r="N1718" s="1183"/>
      <c r="O1718" s="1183"/>
      <c r="P1718" s="1201"/>
      <c r="Q1718" s="1201"/>
      <c r="R1718" s="1201"/>
      <c r="S1718" s="1201"/>
      <c r="T1718" s="1201"/>
    </row>
    <row r="1719" spans="12:20">
      <c r="L1719" s="1179"/>
      <c r="M1719" s="1183"/>
      <c r="N1719" s="1183"/>
      <c r="O1719" s="1183"/>
      <c r="P1719" s="1201"/>
      <c r="Q1719" s="1201"/>
      <c r="R1719" s="1201"/>
      <c r="S1719" s="1201"/>
      <c r="T1719" s="1201"/>
    </row>
    <row r="1720" spans="12:20">
      <c r="L1720" s="1179"/>
      <c r="M1720" s="1183"/>
      <c r="N1720" s="1183"/>
      <c r="O1720" s="1183"/>
      <c r="P1720" s="1201"/>
      <c r="Q1720" s="1201"/>
      <c r="R1720" s="1201"/>
      <c r="S1720" s="1201"/>
      <c r="T1720" s="1201"/>
    </row>
    <row r="1721" spans="12:20">
      <c r="L1721" s="1179"/>
      <c r="M1721" s="1183"/>
      <c r="N1721" s="1183"/>
      <c r="O1721" s="1183"/>
      <c r="P1721" s="1201"/>
      <c r="Q1721" s="1201"/>
      <c r="R1721" s="1201"/>
      <c r="S1721" s="1201"/>
      <c r="T1721" s="1201"/>
    </row>
    <row r="1722" spans="12:20">
      <c r="L1722" s="1179"/>
      <c r="M1722" s="1183"/>
      <c r="N1722" s="1183"/>
      <c r="O1722" s="1183"/>
      <c r="P1722" s="1201"/>
      <c r="Q1722" s="1201"/>
      <c r="R1722" s="1201"/>
      <c r="S1722" s="1201"/>
      <c r="T1722" s="1201"/>
    </row>
    <row r="1723" spans="12:20">
      <c r="L1723" s="1179"/>
      <c r="M1723" s="1183"/>
      <c r="N1723" s="1183"/>
      <c r="O1723" s="1183"/>
      <c r="P1723" s="1201"/>
      <c r="Q1723" s="1201"/>
      <c r="R1723" s="1201"/>
      <c r="S1723" s="1201"/>
      <c r="T1723" s="1201"/>
    </row>
    <row r="1724" spans="12:20">
      <c r="L1724" s="1179"/>
      <c r="M1724" s="1183"/>
      <c r="N1724" s="1183"/>
      <c r="O1724" s="1183"/>
      <c r="P1724" s="1201"/>
      <c r="Q1724" s="1201"/>
      <c r="R1724" s="1201"/>
      <c r="S1724" s="1201"/>
      <c r="T1724" s="1201"/>
    </row>
    <row r="1725" spans="12:20">
      <c r="L1725" s="1179"/>
      <c r="M1725" s="1183"/>
      <c r="N1725" s="1183"/>
      <c r="O1725" s="1183"/>
      <c r="P1725" s="1201"/>
      <c r="Q1725" s="1201"/>
      <c r="R1725" s="1201"/>
      <c r="S1725" s="1201"/>
      <c r="T1725" s="1201"/>
    </row>
    <row r="1726" spans="12:20">
      <c r="L1726" s="1179"/>
      <c r="M1726" s="1183"/>
      <c r="N1726" s="1183"/>
      <c r="O1726" s="1183"/>
      <c r="P1726" s="1201"/>
      <c r="Q1726" s="1201"/>
      <c r="R1726" s="1201"/>
      <c r="S1726" s="1201"/>
      <c r="T1726" s="1201"/>
    </row>
    <row r="1727" spans="12:20">
      <c r="L1727" s="1179"/>
      <c r="M1727" s="1183"/>
      <c r="N1727" s="1183"/>
      <c r="O1727" s="1183"/>
      <c r="P1727" s="1201"/>
      <c r="Q1727" s="1201"/>
      <c r="R1727" s="1201"/>
      <c r="S1727" s="1201"/>
      <c r="T1727" s="1201"/>
    </row>
    <row r="1728" spans="12:20">
      <c r="L1728" s="1179"/>
      <c r="M1728" s="1183"/>
      <c r="N1728" s="1183"/>
      <c r="O1728" s="1183"/>
      <c r="P1728" s="1201"/>
      <c r="Q1728" s="1201"/>
      <c r="R1728" s="1201"/>
      <c r="S1728" s="1201"/>
      <c r="T1728" s="1201"/>
    </row>
    <row r="1729" spans="12:20">
      <c r="L1729" s="1179"/>
      <c r="M1729" s="1183"/>
      <c r="N1729" s="1183"/>
      <c r="O1729" s="1183"/>
      <c r="P1729" s="1201"/>
      <c r="Q1729" s="1201"/>
      <c r="R1729" s="1201"/>
      <c r="S1729" s="1201"/>
      <c r="T1729" s="1201"/>
    </row>
    <row r="1730" spans="12:20">
      <c r="L1730" s="1179"/>
      <c r="M1730" s="1183"/>
      <c r="N1730" s="1183"/>
      <c r="O1730" s="1183"/>
      <c r="P1730" s="1201"/>
      <c r="Q1730" s="1201"/>
      <c r="R1730" s="1201"/>
      <c r="S1730" s="1201"/>
      <c r="T1730" s="1201"/>
    </row>
    <row r="1731" spans="12:20">
      <c r="L1731" s="1179"/>
      <c r="M1731" s="1183"/>
      <c r="N1731" s="1183"/>
      <c r="O1731" s="1183"/>
      <c r="P1731" s="1201"/>
      <c r="Q1731" s="1201"/>
      <c r="R1731" s="1201"/>
      <c r="S1731" s="1201"/>
      <c r="T1731" s="1201"/>
    </row>
    <row r="1732" spans="12:20">
      <c r="L1732" s="1179"/>
      <c r="M1732" s="1183"/>
      <c r="N1732" s="1183"/>
      <c r="O1732" s="1183"/>
      <c r="P1732" s="1201"/>
      <c r="Q1732" s="1201"/>
      <c r="R1732" s="1201"/>
      <c r="S1732" s="1201"/>
      <c r="T1732" s="1201"/>
    </row>
    <row r="1733" spans="12:20">
      <c r="L1733" s="1179"/>
      <c r="M1733" s="1183"/>
      <c r="N1733" s="1183"/>
      <c r="O1733" s="1183"/>
      <c r="P1733" s="1201"/>
      <c r="Q1733" s="1201"/>
      <c r="R1733" s="1201"/>
      <c r="S1733" s="1201"/>
      <c r="T1733" s="1201"/>
    </row>
    <row r="1734" spans="12:20">
      <c r="L1734" s="1179"/>
      <c r="M1734" s="1183"/>
      <c r="N1734" s="1183"/>
      <c r="O1734" s="1183"/>
      <c r="P1734" s="1201"/>
      <c r="Q1734" s="1201"/>
      <c r="R1734" s="1201"/>
      <c r="S1734" s="1201"/>
      <c r="T1734" s="1201"/>
    </row>
    <row r="1735" spans="12:20">
      <c r="L1735" s="1179"/>
      <c r="M1735" s="1183"/>
      <c r="N1735" s="1183"/>
      <c r="O1735" s="1183"/>
      <c r="P1735" s="1201"/>
      <c r="Q1735" s="1201"/>
      <c r="R1735" s="1201"/>
      <c r="S1735" s="1201"/>
      <c r="T1735" s="1201"/>
    </row>
    <row r="1736" spans="12:20">
      <c r="L1736" s="1179"/>
      <c r="M1736" s="1183"/>
      <c r="N1736" s="1183"/>
      <c r="O1736" s="1183"/>
      <c r="P1736" s="1201"/>
      <c r="Q1736" s="1201"/>
      <c r="R1736" s="1201"/>
      <c r="S1736" s="1201"/>
      <c r="T1736" s="1201"/>
    </row>
    <row r="1737" spans="12:20">
      <c r="L1737" s="1179"/>
      <c r="M1737" s="1183"/>
      <c r="N1737" s="1183"/>
      <c r="O1737" s="1183"/>
      <c r="P1737" s="1201"/>
      <c r="Q1737" s="1201"/>
      <c r="R1737" s="1201"/>
      <c r="S1737" s="1201"/>
      <c r="T1737" s="1201"/>
    </row>
    <row r="1738" spans="12:20">
      <c r="L1738" s="1179"/>
      <c r="M1738" s="1183"/>
      <c r="N1738" s="1183"/>
      <c r="O1738" s="1183"/>
      <c r="P1738" s="1201"/>
      <c r="Q1738" s="1201"/>
      <c r="R1738" s="1201"/>
      <c r="S1738" s="1201"/>
      <c r="T1738" s="1201"/>
    </row>
    <row r="1739" spans="12:20">
      <c r="L1739" s="1179"/>
      <c r="M1739" s="1183"/>
      <c r="N1739" s="1183"/>
      <c r="O1739" s="1183"/>
      <c r="P1739" s="1201"/>
      <c r="Q1739" s="1201"/>
      <c r="R1739" s="1201"/>
      <c r="S1739" s="1201"/>
      <c r="T1739" s="1201"/>
    </row>
    <row r="1740" spans="12:20">
      <c r="L1740" s="1179"/>
      <c r="M1740" s="1183"/>
      <c r="N1740" s="1183"/>
      <c r="O1740" s="1183"/>
      <c r="P1740" s="1201"/>
      <c r="Q1740" s="1201"/>
      <c r="R1740" s="1201"/>
      <c r="S1740" s="1201"/>
      <c r="T1740" s="1201"/>
    </row>
    <row r="1741" spans="12:20">
      <c r="L1741" s="1179"/>
      <c r="M1741" s="1183"/>
      <c r="N1741" s="1183"/>
      <c r="O1741" s="1183"/>
      <c r="P1741" s="1201"/>
      <c r="Q1741" s="1201"/>
      <c r="R1741" s="1201"/>
      <c r="S1741" s="1201"/>
      <c r="T1741" s="1201"/>
    </row>
    <row r="1742" spans="12:20">
      <c r="L1742" s="1179"/>
      <c r="M1742" s="1183"/>
      <c r="N1742" s="1183"/>
      <c r="O1742" s="1183"/>
      <c r="P1742" s="1201"/>
      <c r="Q1742" s="1201"/>
      <c r="R1742" s="1201"/>
      <c r="S1742" s="1201"/>
      <c r="T1742" s="1201"/>
    </row>
    <row r="1743" spans="12:20">
      <c r="L1743" s="1179"/>
      <c r="M1743" s="1183"/>
      <c r="N1743" s="1183"/>
      <c r="O1743" s="1183"/>
      <c r="P1743" s="1201"/>
      <c r="Q1743" s="1201"/>
      <c r="R1743" s="1201"/>
      <c r="S1743" s="1201"/>
      <c r="T1743" s="1201"/>
    </row>
    <row r="1744" spans="12:20">
      <c r="L1744" s="1179"/>
      <c r="M1744" s="1183"/>
      <c r="N1744" s="1183"/>
      <c r="O1744" s="1183"/>
      <c r="P1744" s="1201"/>
      <c r="Q1744" s="1201"/>
      <c r="R1744" s="1201"/>
      <c r="S1744" s="1201"/>
      <c r="T1744" s="1201"/>
    </row>
    <row r="1745" spans="12:20">
      <c r="L1745" s="1179"/>
      <c r="M1745" s="1183"/>
      <c r="N1745" s="1183"/>
      <c r="O1745" s="1183"/>
      <c r="P1745" s="1201"/>
      <c r="Q1745" s="1201"/>
      <c r="R1745" s="1201"/>
      <c r="S1745" s="1201"/>
      <c r="T1745" s="1201"/>
    </row>
    <row r="1746" spans="12:20">
      <c r="L1746" s="1179"/>
      <c r="M1746" s="1183"/>
      <c r="N1746" s="1183"/>
      <c r="O1746" s="1183"/>
      <c r="P1746" s="1201"/>
      <c r="Q1746" s="1201"/>
      <c r="R1746" s="1201"/>
      <c r="S1746" s="1201"/>
      <c r="T1746" s="1201"/>
    </row>
    <row r="1747" spans="12:20">
      <c r="L1747" s="1179"/>
      <c r="M1747" s="1183"/>
      <c r="N1747" s="1183"/>
      <c r="O1747" s="1183"/>
      <c r="P1747" s="1201"/>
      <c r="Q1747" s="1201"/>
      <c r="R1747" s="1201"/>
      <c r="S1747" s="1201"/>
      <c r="T1747" s="1201"/>
    </row>
    <row r="1748" spans="12:20">
      <c r="L1748" s="1179"/>
      <c r="M1748" s="1183"/>
      <c r="N1748" s="1183"/>
      <c r="O1748" s="1183"/>
      <c r="P1748" s="1201"/>
      <c r="Q1748" s="1201"/>
      <c r="R1748" s="1201"/>
      <c r="S1748" s="1201"/>
      <c r="T1748" s="1201"/>
    </row>
    <row r="1749" spans="12:20">
      <c r="L1749" s="1179"/>
      <c r="M1749" s="1183"/>
      <c r="N1749" s="1183"/>
      <c r="O1749" s="1183"/>
      <c r="P1749" s="1201"/>
      <c r="Q1749" s="1201"/>
      <c r="R1749" s="1201"/>
      <c r="S1749" s="1201"/>
      <c r="T1749" s="1201"/>
    </row>
    <row r="1750" spans="12:20">
      <c r="L1750" s="1179"/>
      <c r="M1750" s="1183"/>
      <c r="N1750" s="1183"/>
      <c r="O1750" s="1183"/>
      <c r="P1750" s="1201"/>
      <c r="Q1750" s="1201"/>
      <c r="R1750" s="1201"/>
      <c r="S1750" s="1201"/>
      <c r="T1750" s="1201"/>
    </row>
    <row r="1751" spans="12:20">
      <c r="L1751" s="1179"/>
      <c r="M1751" s="1183"/>
      <c r="N1751" s="1183"/>
      <c r="O1751" s="1183"/>
      <c r="P1751" s="1201"/>
      <c r="Q1751" s="1201"/>
      <c r="R1751" s="1201"/>
      <c r="S1751" s="1201"/>
      <c r="T1751" s="1201"/>
    </row>
    <row r="1752" spans="12:20">
      <c r="L1752" s="1179"/>
      <c r="M1752" s="1183"/>
      <c r="N1752" s="1183"/>
      <c r="O1752" s="1183"/>
      <c r="P1752" s="1201"/>
      <c r="Q1752" s="1201"/>
      <c r="R1752" s="1201"/>
      <c r="S1752" s="1201"/>
      <c r="T1752" s="1201"/>
    </row>
    <row r="1753" spans="12:20">
      <c r="L1753" s="1179"/>
      <c r="M1753" s="1183"/>
      <c r="N1753" s="1183"/>
      <c r="O1753" s="1183"/>
      <c r="P1753" s="1201"/>
      <c r="Q1753" s="1201"/>
      <c r="R1753" s="1201"/>
      <c r="S1753" s="1201"/>
      <c r="T1753" s="1201"/>
    </row>
    <row r="1754" spans="12:20">
      <c r="L1754" s="1179"/>
      <c r="M1754" s="1183"/>
      <c r="N1754" s="1183"/>
      <c r="O1754" s="1183"/>
      <c r="P1754" s="1201"/>
      <c r="Q1754" s="1201"/>
      <c r="R1754" s="1201"/>
      <c r="S1754" s="1201"/>
      <c r="T1754" s="1201"/>
    </row>
    <row r="1755" spans="12:20">
      <c r="L1755" s="1179"/>
      <c r="M1755" s="1183"/>
      <c r="N1755" s="1183"/>
      <c r="O1755" s="1183"/>
      <c r="P1755" s="1201"/>
      <c r="Q1755" s="1201"/>
      <c r="R1755" s="1201"/>
      <c r="S1755" s="1201"/>
      <c r="T1755" s="1201"/>
    </row>
    <row r="1756" spans="12:20">
      <c r="L1756" s="1179"/>
      <c r="M1756" s="1183"/>
      <c r="N1756" s="1183"/>
      <c r="O1756" s="1183"/>
      <c r="P1756" s="1201"/>
      <c r="Q1756" s="1201"/>
      <c r="R1756" s="1201"/>
      <c r="S1756" s="1201"/>
      <c r="T1756" s="1201"/>
    </row>
    <row r="1757" spans="12:20">
      <c r="L1757" s="1179"/>
      <c r="M1757" s="1183"/>
      <c r="N1757" s="1183"/>
      <c r="O1757" s="1183"/>
      <c r="P1757" s="1201"/>
      <c r="Q1757" s="1201"/>
      <c r="R1757" s="1201"/>
      <c r="S1757" s="1201"/>
      <c r="T1757" s="1201"/>
    </row>
    <row r="1758" spans="12:20">
      <c r="L1758" s="1179"/>
      <c r="M1758" s="1183"/>
      <c r="N1758" s="1183"/>
      <c r="O1758" s="1183"/>
      <c r="P1758" s="1201"/>
      <c r="Q1758" s="1201"/>
      <c r="R1758" s="1201"/>
      <c r="S1758" s="1201"/>
      <c r="T1758" s="1201"/>
    </row>
    <row r="1759" spans="12:20">
      <c r="L1759" s="1179"/>
      <c r="M1759" s="1183"/>
      <c r="N1759" s="1183"/>
      <c r="O1759" s="1183"/>
      <c r="P1759" s="1201"/>
      <c r="Q1759" s="1201"/>
      <c r="R1759" s="1201"/>
      <c r="S1759" s="1201"/>
      <c r="T1759" s="1201"/>
    </row>
    <row r="1760" spans="12:20">
      <c r="L1760" s="1179"/>
      <c r="M1760" s="1183"/>
      <c r="N1760" s="1183"/>
      <c r="O1760" s="1183"/>
      <c r="P1760" s="1201"/>
      <c r="Q1760" s="1201"/>
      <c r="R1760" s="1201"/>
      <c r="S1760" s="1201"/>
      <c r="T1760" s="1201"/>
    </row>
    <row r="1761" spans="12:20">
      <c r="L1761" s="1179"/>
      <c r="M1761" s="1183"/>
      <c r="N1761" s="1183"/>
      <c r="O1761" s="1183"/>
      <c r="P1761" s="1201"/>
      <c r="Q1761" s="1201"/>
      <c r="R1761" s="1201"/>
      <c r="S1761" s="1201"/>
      <c r="T1761" s="1201"/>
    </row>
    <row r="1762" spans="12:20">
      <c r="L1762" s="1179"/>
      <c r="M1762" s="1183"/>
      <c r="N1762" s="1183"/>
      <c r="O1762" s="1183"/>
      <c r="P1762" s="1201"/>
      <c r="Q1762" s="1201"/>
      <c r="R1762" s="1201"/>
      <c r="S1762" s="1201"/>
      <c r="T1762" s="1201"/>
    </row>
    <row r="1763" spans="12:20">
      <c r="L1763" s="1179"/>
      <c r="M1763" s="1183"/>
      <c r="N1763" s="1183"/>
      <c r="O1763" s="1183"/>
      <c r="P1763" s="1201"/>
      <c r="Q1763" s="1201"/>
      <c r="R1763" s="1201"/>
      <c r="S1763" s="1201"/>
      <c r="T1763" s="1201"/>
    </row>
    <row r="1764" spans="12:20">
      <c r="L1764" s="1179"/>
      <c r="M1764" s="1183"/>
      <c r="N1764" s="1183"/>
      <c r="O1764" s="1183"/>
      <c r="P1764" s="1201"/>
      <c r="Q1764" s="1201"/>
      <c r="R1764" s="1201"/>
      <c r="S1764" s="1201"/>
      <c r="T1764" s="1201"/>
    </row>
    <row r="1765" spans="12:20">
      <c r="L1765" s="1179"/>
      <c r="M1765" s="1183"/>
      <c r="N1765" s="1183"/>
      <c r="O1765" s="1183"/>
      <c r="P1765" s="1201"/>
      <c r="Q1765" s="1201"/>
      <c r="R1765" s="1201"/>
      <c r="S1765" s="1201"/>
      <c r="T1765" s="1201"/>
    </row>
    <row r="1766" spans="12:20">
      <c r="L1766" s="1179"/>
      <c r="M1766" s="1183"/>
      <c r="N1766" s="1183"/>
      <c r="O1766" s="1183"/>
      <c r="P1766" s="1201"/>
      <c r="Q1766" s="1201"/>
      <c r="R1766" s="1201"/>
      <c r="S1766" s="1201"/>
      <c r="T1766" s="1201"/>
    </row>
    <row r="1767" spans="12:20">
      <c r="L1767" s="1179"/>
      <c r="M1767" s="1183"/>
      <c r="N1767" s="1183"/>
      <c r="O1767" s="1183"/>
      <c r="P1767" s="1201"/>
      <c r="Q1767" s="1201"/>
      <c r="R1767" s="1201"/>
      <c r="S1767" s="1201"/>
      <c r="T1767" s="1201"/>
    </row>
    <row r="1768" spans="12:20">
      <c r="L1768" s="1179"/>
      <c r="M1768" s="1183"/>
      <c r="N1768" s="1183"/>
      <c r="O1768" s="1183"/>
      <c r="P1768" s="1201"/>
      <c r="Q1768" s="1201"/>
      <c r="R1768" s="1201"/>
      <c r="S1768" s="1201"/>
      <c r="T1768" s="1201"/>
    </row>
    <row r="1769" spans="12:20">
      <c r="L1769" s="1179"/>
      <c r="M1769" s="1183"/>
      <c r="N1769" s="1183"/>
      <c r="O1769" s="1183"/>
      <c r="P1769" s="1201"/>
      <c r="Q1769" s="1201"/>
      <c r="R1769" s="1201"/>
      <c r="S1769" s="1201"/>
      <c r="T1769" s="1201"/>
    </row>
    <row r="1770" spans="12:20">
      <c r="L1770" s="1179"/>
      <c r="M1770" s="1183"/>
      <c r="N1770" s="1183"/>
      <c r="O1770" s="1183"/>
      <c r="P1770" s="1201"/>
      <c r="Q1770" s="1201"/>
      <c r="R1770" s="1201"/>
      <c r="S1770" s="1201"/>
      <c r="T1770" s="1201"/>
    </row>
    <row r="1771" spans="12:20">
      <c r="L1771" s="1179"/>
      <c r="M1771" s="1183"/>
      <c r="N1771" s="1183"/>
      <c r="O1771" s="1183"/>
      <c r="P1771" s="1201"/>
      <c r="Q1771" s="1201"/>
      <c r="R1771" s="1201"/>
      <c r="S1771" s="1201"/>
      <c r="T1771" s="1201"/>
    </row>
    <row r="1772" spans="12:20">
      <c r="L1772" s="1179"/>
      <c r="M1772" s="1183"/>
      <c r="N1772" s="1183"/>
      <c r="O1772" s="1183"/>
      <c r="P1772" s="1201"/>
      <c r="Q1772" s="1201"/>
      <c r="R1772" s="1201"/>
      <c r="S1772" s="1201"/>
      <c r="T1772" s="1201"/>
    </row>
    <row r="1773" spans="12:20">
      <c r="L1773" s="1179"/>
      <c r="M1773" s="1183"/>
      <c r="N1773" s="1183"/>
      <c r="O1773" s="1183"/>
      <c r="P1773" s="1201"/>
      <c r="Q1773" s="1201"/>
      <c r="R1773" s="1201"/>
      <c r="S1773" s="1201"/>
      <c r="T1773" s="1201"/>
    </row>
    <row r="1774" spans="12:20">
      <c r="L1774" s="1179"/>
      <c r="M1774" s="1183"/>
      <c r="N1774" s="1183"/>
      <c r="O1774" s="1183"/>
      <c r="P1774" s="1201"/>
      <c r="Q1774" s="1201"/>
      <c r="R1774" s="1201"/>
      <c r="S1774" s="1201"/>
      <c r="T1774" s="1201"/>
    </row>
    <row r="1775" spans="12:20">
      <c r="L1775" s="1179"/>
      <c r="M1775" s="1183"/>
      <c r="N1775" s="1183"/>
      <c r="O1775" s="1183"/>
      <c r="P1775" s="1201"/>
      <c r="Q1775" s="1201"/>
      <c r="R1775" s="1201"/>
      <c r="S1775" s="1201"/>
      <c r="T1775" s="1201"/>
    </row>
    <row r="1776" spans="12:20">
      <c r="L1776" s="1179"/>
      <c r="M1776" s="1183"/>
      <c r="N1776" s="1183"/>
      <c r="O1776" s="1183"/>
      <c r="P1776" s="1201"/>
      <c r="Q1776" s="1201"/>
      <c r="R1776" s="1201"/>
      <c r="S1776" s="1201"/>
      <c r="T1776" s="1201"/>
    </row>
    <row r="1777" spans="12:20">
      <c r="L1777" s="1179"/>
      <c r="M1777" s="1183"/>
      <c r="N1777" s="1183"/>
      <c r="O1777" s="1183"/>
      <c r="P1777" s="1201"/>
      <c r="Q1777" s="1201"/>
      <c r="R1777" s="1201"/>
      <c r="S1777" s="1201"/>
      <c r="T1777" s="1201"/>
    </row>
    <row r="1778" spans="12:20">
      <c r="L1778" s="1179"/>
      <c r="M1778" s="1183"/>
      <c r="N1778" s="1183"/>
      <c r="O1778" s="1183"/>
      <c r="P1778" s="1201"/>
      <c r="Q1778" s="1201"/>
      <c r="R1778" s="1201"/>
      <c r="S1778" s="1201"/>
      <c r="T1778" s="1201"/>
    </row>
    <row r="1779" spans="12:20">
      <c r="L1779" s="1179"/>
      <c r="M1779" s="1183"/>
      <c r="N1779" s="1183"/>
      <c r="O1779" s="1183"/>
      <c r="P1779" s="1201"/>
      <c r="Q1779" s="1201"/>
      <c r="R1779" s="1201"/>
      <c r="S1779" s="1201"/>
      <c r="T1779" s="1201"/>
    </row>
    <row r="1780" spans="12:20">
      <c r="L1780" s="1179"/>
      <c r="M1780" s="1183"/>
      <c r="N1780" s="1183"/>
      <c r="O1780" s="1183"/>
      <c r="P1780" s="1201"/>
      <c r="Q1780" s="1201"/>
      <c r="R1780" s="1201"/>
      <c r="S1780" s="1201"/>
      <c r="T1780" s="1201"/>
    </row>
    <row r="1781" spans="12:20">
      <c r="L1781" s="1179"/>
      <c r="M1781" s="1183"/>
      <c r="N1781" s="1183"/>
      <c r="O1781" s="1183"/>
      <c r="P1781" s="1201"/>
      <c r="Q1781" s="1201"/>
      <c r="R1781" s="1201"/>
      <c r="S1781" s="1201"/>
      <c r="T1781" s="1201"/>
    </row>
    <row r="1782" spans="12:20">
      <c r="L1782" s="1179"/>
      <c r="M1782" s="1183"/>
      <c r="N1782" s="1183"/>
      <c r="O1782" s="1183"/>
      <c r="P1782" s="1201"/>
      <c r="Q1782" s="1201"/>
      <c r="R1782" s="1201"/>
      <c r="S1782" s="1201"/>
      <c r="T1782" s="1201"/>
    </row>
    <row r="1783" spans="12:20">
      <c r="L1783" s="1179"/>
      <c r="M1783" s="1183"/>
      <c r="N1783" s="1183"/>
      <c r="O1783" s="1183"/>
      <c r="P1783" s="1201"/>
      <c r="Q1783" s="1201"/>
      <c r="R1783" s="1201"/>
      <c r="S1783" s="1201"/>
      <c r="T1783" s="1201"/>
    </row>
    <row r="1784" spans="12:20">
      <c r="L1784" s="1179"/>
      <c r="M1784" s="1183"/>
      <c r="N1784" s="1183"/>
      <c r="O1784" s="1183"/>
      <c r="P1784" s="1201"/>
      <c r="Q1784" s="1201"/>
      <c r="R1784" s="1201"/>
      <c r="S1784" s="1201"/>
      <c r="T1784" s="1201"/>
    </row>
    <row r="1785" spans="12:20">
      <c r="L1785" s="1179"/>
      <c r="M1785" s="1183"/>
      <c r="N1785" s="1183"/>
      <c r="O1785" s="1183"/>
      <c r="P1785" s="1201"/>
      <c r="Q1785" s="1201"/>
      <c r="R1785" s="1201"/>
      <c r="S1785" s="1201"/>
      <c r="T1785" s="1201"/>
    </row>
    <row r="1786" spans="12:20">
      <c r="L1786" s="1179"/>
      <c r="M1786" s="1183"/>
      <c r="N1786" s="1183"/>
      <c r="O1786" s="1183"/>
      <c r="P1786" s="1201"/>
      <c r="Q1786" s="1201"/>
      <c r="R1786" s="1201"/>
      <c r="S1786" s="1201"/>
      <c r="T1786" s="1201"/>
    </row>
    <row r="1787" spans="12:20">
      <c r="L1787" s="1179"/>
      <c r="M1787" s="1183"/>
      <c r="N1787" s="1183"/>
      <c r="O1787" s="1183"/>
      <c r="P1787" s="1201"/>
      <c r="Q1787" s="1201"/>
      <c r="R1787" s="1201"/>
      <c r="S1787" s="1201"/>
      <c r="T1787" s="1201"/>
    </row>
    <row r="1788" spans="12:20">
      <c r="L1788" s="1179"/>
      <c r="M1788" s="1183"/>
      <c r="N1788" s="1183"/>
      <c r="O1788" s="1183"/>
      <c r="P1788" s="1201"/>
      <c r="Q1788" s="1201"/>
      <c r="R1788" s="1201"/>
      <c r="S1788" s="1201"/>
      <c r="T1788" s="1201"/>
    </row>
    <row r="1789" spans="12:20">
      <c r="L1789" s="1179"/>
      <c r="M1789" s="1183"/>
      <c r="N1789" s="1183"/>
      <c r="O1789" s="1183"/>
      <c r="P1789" s="1201"/>
      <c r="Q1789" s="1201"/>
      <c r="R1789" s="1201"/>
      <c r="S1789" s="1201"/>
      <c r="T1789" s="1201"/>
    </row>
    <row r="1790" spans="12:20">
      <c r="L1790" s="1179"/>
      <c r="M1790" s="1183"/>
      <c r="N1790" s="1183"/>
      <c r="O1790" s="1183"/>
      <c r="P1790" s="1201"/>
      <c r="Q1790" s="1201"/>
      <c r="R1790" s="1201"/>
      <c r="S1790" s="1201"/>
      <c r="T1790" s="1201"/>
    </row>
    <row r="1791" spans="12:20">
      <c r="L1791" s="1179"/>
      <c r="M1791" s="1183"/>
      <c r="N1791" s="1183"/>
      <c r="O1791" s="1183"/>
      <c r="P1791" s="1201"/>
      <c r="Q1791" s="1201"/>
      <c r="R1791" s="1201"/>
      <c r="S1791" s="1201"/>
      <c r="T1791" s="1201"/>
    </row>
    <row r="1792" spans="12:20">
      <c r="L1792" s="1179"/>
      <c r="M1792" s="1183"/>
      <c r="N1792" s="1183"/>
      <c r="O1792" s="1183"/>
      <c r="P1792" s="1201"/>
      <c r="Q1792" s="1201"/>
      <c r="R1792" s="1201"/>
      <c r="S1792" s="1201"/>
      <c r="T1792" s="1201"/>
    </row>
    <row r="1793" spans="12:20">
      <c r="L1793" s="1179"/>
      <c r="M1793" s="1183"/>
      <c r="N1793" s="1183"/>
      <c r="O1793" s="1183"/>
      <c r="P1793" s="1201"/>
      <c r="Q1793" s="1201"/>
      <c r="R1793" s="1201"/>
      <c r="S1793" s="1201"/>
      <c r="T1793" s="1201"/>
    </row>
    <row r="1794" spans="12:20">
      <c r="L1794" s="1179"/>
      <c r="M1794" s="1183"/>
      <c r="N1794" s="1183"/>
      <c r="O1794" s="1183"/>
      <c r="P1794" s="1201"/>
      <c r="Q1794" s="1201"/>
      <c r="R1794" s="1201"/>
      <c r="S1794" s="1201"/>
      <c r="T1794" s="1201"/>
    </row>
    <row r="1795" spans="12:20">
      <c r="L1795" s="1179"/>
      <c r="M1795" s="1183"/>
      <c r="N1795" s="1183"/>
      <c r="O1795" s="1183"/>
      <c r="P1795" s="1201"/>
      <c r="Q1795" s="1201"/>
      <c r="R1795" s="1201"/>
      <c r="S1795" s="1201"/>
      <c r="T1795" s="1201"/>
    </row>
    <row r="1796" spans="12:20">
      <c r="L1796" s="1179"/>
      <c r="M1796" s="1183"/>
      <c r="N1796" s="1183"/>
      <c r="O1796" s="1183"/>
      <c r="P1796" s="1201"/>
      <c r="Q1796" s="1201"/>
      <c r="R1796" s="1201"/>
      <c r="S1796" s="1201"/>
      <c r="T1796" s="1201"/>
    </row>
    <row r="1797" spans="12:20">
      <c r="L1797" s="1179"/>
      <c r="M1797" s="1183"/>
      <c r="N1797" s="1183"/>
      <c r="O1797" s="1183"/>
      <c r="P1797" s="1201"/>
      <c r="Q1797" s="1201"/>
      <c r="R1797" s="1201"/>
      <c r="S1797" s="1201"/>
      <c r="T1797" s="1201"/>
    </row>
    <row r="1798" spans="12:20">
      <c r="L1798" s="1179"/>
      <c r="M1798" s="1183"/>
      <c r="N1798" s="1183"/>
      <c r="O1798" s="1183"/>
      <c r="P1798" s="1201"/>
      <c r="Q1798" s="1201"/>
      <c r="R1798" s="1201"/>
      <c r="S1798" s="1201"/>
      <c r="T1798" s="1201"/>
    </row>
    <row r="1799" spans="12:20">
      <c r="L1799" s="1179"/>
      <c r="M1799" s="1183"/>
      <c r="N1799" s="1183"/>
      <c r="O1799" s="1183"/>
      <c r="P1799" s="1201"/>
      <c r="Q1799" s="1201"/>
      <c r="R1799" s="1201"/>
      <c r="S1799" s="1201"/>
      <c r="T1799" s="1201"/>
    </row>
    <row r="1800" spans="12:20">
      <c r="L1800" s="1179"/>
      <c r="M1800" s="1183"/>
      <c r="N1800" s="1183"/>
      <c r="O1800" s="1183"/>
      <c r="P1800" s="1201"/>
      <c r="Q1800" s="1201"/>
      <c r="R1800" s="1201"/>
      <c r="S1800" s="1201"/>
      <c r="T1800" s="1201"/>
    </row>
    <row r="1801" spans="12:20">
      <c r="L1801" s="1179"/>
      <c r="M1801" s="1183"/>
      <c r="N1801" s="1183"/>
      <c r="O1801" s="1183"/>
      <c r="P1801" s="1201"/>
      <c r="Q1801" s="1201"/>
      <c r="R1801" s="1201"/>
      <c r="S1801" s="1201"/>
      <c r="T1801" s="1201"/>
    </row>
    <row r="1802" spans="12:20">
      <c r="L1802" s="1179"/>
      <c r="M1802" s="1183"/>
      <c r="N1802" s="1183"/>
      <c r="O1802" s="1183"/>
      <c r="P1802" s="1201"/>
      <c r="Q1802" s="1201"/>
      <c r="R1802" s="1201"/>
      <c r="S1802" s="1201"/>
      <c r="T1802" s="1201"/>
    </row>
    <row r="1803" spans="12:20">
      <c r="L1803" s="1179"/>
      <c r="M1803" s="1183"/>
      <c r="N1803" s="1183"/>
      <c r="O1803" s="1183"/>
      <c r="P1803" s="1201"/>
      <c r="Q1803" s="1201"/>
      <c r="R1803" s="1201"/>
      <c r="S1803" s="1201"/>
      <c r="T1803" s="1201"/>
    </row>
    <row r="1804" spans="12:20">
      <c r="L1804" s="1179"/>
      <c r="M1804" s="1183"/>
      <c r="N1804" s="1183"/>
      <c r="O1804" s="1183"/>
      <c r="P1804" s="1201"/>
      <c r="Q1804" s="1201"/>
      <c r="R1804" s="1201"/>
      <c r="S1804" s="1201"/>
      <c r="T1804" s="1201"/>
    </row>
    <row r="1805" spans="12:20">
      <c r="L1805" s="1179"/>
      <c r="M1805" s="1183"/>
      <c r="N1805" s="1183"/>
      <c r="O1805" s="1183"/>
      <c r="P1805" s="1201"/>
      <c r="Q1805" s="1201"/>
      <c r="R1805" s="1201"/>
      <c r="S1805" s="1201"/>
      <c r="T1805" s="1201"/>
    </row>
    <row r="1806" spans="12:20">
      <c r="L1806" s="1179"/>
      <c r="M1806" s="1183"/>
      <c r="N1806" s="1183"/>
      <c r="O1806" s="1183"/>
      <c r="P1806" s="1201"/>
      <c r="Q1806" s="1201"/>
      <c r="R1806" s="1201"/>
      <c r="S1806" s="1201"/>
      <c r="T1806" s="1201"/>
    </row>
    <row r="1807" spans="12:20">
      <c r="L1807" s="1179"/>
      <c r="M1807" s="1183"/>
      <c r="N1807" s="1183"/>
      <c r="O1807" s="1183"/>
      <c r="P1807" s="1201"/>
      <c r="Q1807" s="1201"/>
      <c r="R1807" s="1201"/>
      <c r="S1807" s="1201"/>
      <c r="T1807" s="1201"/>
    </row>
    <row r="1808" spans="12:20">
      <c r="L1808" s="1179"/>
      <c r="M1808" s="1183"/>
      <c r="N1808" s="1183"/>
      <c r="O1808" s="1183"/>
      <c r="P1808" s="1201"/>
      <c r="Q1808" s="1201"/>
      <c r="R1808" s="1201"/>
      <c r="S1808" s="1201"/>
      <c r="T1808" s="1201"/>
    </row>
    <row r="1809" spans="12:20">
      <c r="L1809" s="1179"/>
      <c r="M1809" s="1183"/>
      <c r="N1809" s="1183"/>
      <c r="O1809" s="1183"/>
      <c r="P1809" s="1201"/>
      <c r="Q1809" s="1201"/>
      <c r="R1809" s="1201"/>
      <c r="S1809" s="1201"/>
      <c r="T1809" s="1201"/>
    </row>
    <row r="1810" spans="12:20">
      <c r="L1810" s="1179"/>
      <c r="M1810" s="1183"/>
      <c r="N1810" s="1183"/>
      <c r="O1810" s="1183"/>
      <c r="P1810" s="1201"/>
      <c r="Q1810" s="1201"/>
      <c r="R1810" s="1201"/>
      <c r="S1810" s="1201"/>
      <c r="T1810" s="1201"/>
    </row>
    <row r="1811" spans="12:20">
      <c r="L1811" s="1179"/>
      <c r="M1811" s="1183"/>
      <c r="N1811" s="1183"/>
      <c r="O1811" s="1183"/>
      <c r="P1811" s="1201"/>
      <c r="Q1811" s="1201"/>
      <c r="R1811" s="1201"/>
      <c r="S1811" s="1201"/>
      <c r="T1811" s="1201"/>
    </row>
    <row r="1812" spans="12:20">
      <c r="L1812" s="1179"/>
      <c r="M1812" s="1183"/>
      <c r="N1812" s="1183"/>
      <c r="O1812" s="1183"/>
      <c r="P1812" s="1201"/>
      <c r="Q1812" s="1201"/>
      <c r="R1812" s="1201"/>
      <c r="S1812" s="1201"/>
      <c r="T1812" s="1201"/>
    </row>
    <row r="1813" spans="12:20">
      <c r="L1813" s="1179"/>
      <c r="M1813" s="1183"/>
      <c r="N1813" s="1183"/>
      <c r="O1813" s="1183"/>
      <c r="P1813" s="1201"/>
      <c r="Q1813" s="1201"/>
      <c r="R1813" s="1201"/>
      <c r="S1813" s="1201"/>
      <c r="T1813" s="1201"/>
    </row>
    <row r="1814" spans="12:20">
      <c r="L1814" s="1179"/>
      <c r="M1814" s="1183"/>
      <c r="N1814" s="1183"/>
      <c r="O1814" s="1183"/>
      <c r="P1814" s="1201"/>
      <c r="Q1814" s="1201"/>
      <c r="R1814" s="1201"/>
      <c r="S1814" s="1201"/>
      <c r="T1814" s="1201"/>
    </row>
    <row r="1815" spans="12:20">
      <c r="L1815" s="1179"/>
      <c r="M1815" s="1183"/>
      <c r="N1815" s="1183"/>
      <c r="O1815" s="1183"/>
      <c r="P1815" s="1201"/>
      <c r="Q1815" s="1201"/>
      <c r="R1815" s="1201"/>
      <c r="S1815" s="1201"/>
      <c r="T1815" s="1201"/>
    </row>
    <row r="1816" spans="12:20">
      <c r="L1816" s="1179"/>
      <c r="M1816" s="1183"/>
      <c r="N1816" s="1183"/>
      <c r="O1816" s="1183"/>
      <c r="P1816" s="1201"/>
      <c r="Q1816" s="1201"/>
      <c r="R1816" s="1201"/>
      <c r="S1816" s="1201"/>
      <c r="T1816" s="1201"/>
    </row>
    <row r="1817" spans="12:20">
      <c r="L1817" s="1179"/>
      <c r="M1817" s="1183"/>
      <c r="N1817" s="1183"/>
      <c r="O1817" s="1183"/>
      <c r="P1817" s="1201"/>
      <c r="Q1817" s="1201"/>
      <c r="R1817" s="1201"/>
      <c r="S1817" s="1201"/>
      <c r="T1817" s="1201"/>
    </row>
    <row r="1818" spans="12:20">
      <c r="L1818" s="1179"/>
      <c r="M1818" s="1183"/>
      <c r="N1818" s="1183"/>
      <c r="O1818" s="1183"/>
      <c r="P1818" s="1201"/>
      <c r="Q1818" s="1201"/>
      <c r="R1818" s="1201"/>
      <c r="S1818" s="1201"/>
      <c r="T1818" s="1201"/>
    </row>
    <row r="1819" spans="12:20">
      <c r="L1819" s="1179"/>
      <c r="M1819" s="1183"/>
      <c r="N1819" s="1183"/>
      <c r="O1819" s="1183"/>
      <c r="P1819" s="1201"/>
      <c r="Q1819" s="1201"/>
      <c r="R1819" s="1201"/>
      <c r="S1819" s="1201"/>
      <c r="T1819" s="1201"/>
    </row>
    <row r="1820" spans="12:20">
      <c r="L1820" s="1179"/>
      <c r="M1820" s="1183"/>
      <c r="N1820" s="1183"/>
      <c r="O1820" s="1183"/>
      <c r="P1820" s="1201"/>
      <c r="Q1820" s="1201"/>
      <c r="R1820" s="1201"/>
      <c r="S1820" s="1201"/>
      <c r="T1820" s="1201"/>
    </row>
    <row r="1821" spans="12:20">
      <c r="L1821" s="1179"/>
      <c r="M1821" s="1183"/>
      <c r="N1821" s="1183"/>
      <c r="O1821" s="1183"/>
      <c r="P1821" s="1201"/>
      <c r="Q1821" s="1201"/>
      <c r="R1821" s="1201"/>
      <c r="S1821" s="1201"/>
      <c r="T1821" s="1201"/>
    </row>
    <row r="1822" spans="12:20">
      <c r="L1822" s="1179"/>
      <c r="M1822" s="1183"/>
      <c r="N1822" s="1183"/>
      <c r="O1822" s="1183"/>
      <c r="P1822" s="1201"/>
      <c r="Q1822" s="1201"/>
      <c r="R1822" s="1201"/>
      <c r="S1822" s="1201"/>
      <c r="T1822" s="1201"/>
    </row>
    <row r="1823" spans="12:20">
      <c r="L1823" s="1179"/>
      <c r="M1823" s="1183"/>
      <c r="N1823" s="1183"/>
      <c r="O1823" s="1183"/>
      <c r="P1823" s="1201"/>
      <c r="Q1823" s="1201"/>
      <c r="R1823" s="1201"/>
      <c r="S1823" s="1201"/>
      <c r="T1823" s="1201"/>
    </row>
    <row r="1824" spans="12:20">
      <c r="L1824" s="1179"/>
      <c r="M1824" s="1183"/>
      <c r="N1824" s="1183"/>
      <c r="O1824" s="1183"/>
      <c r="P1824" s="1201"/>
      <c r="Q1824" s="1201"/>
      <c r="R1824" s="1201"/>
      <c r="S1824" s="1201"/>
      <c r="T1824" s="1201"/>
    </row>
    <row r="1825" spans="12:20">
      <c r="L1825" s="1179"/>
      <c r="M1825" s="1183"/>
      <c r="N1825" s="1183"/>
      <c r="O1825" s="1183"/>
      <c r="P1825" s="1201"/>
      <c r="Q1825" s="1201"/>
      <c r="R1825" s="1201"/>
      <c r="S1825" s="1201"/>
      <c r="T1825" s="1201"/>
    </row>
    <row r="1826" spans="12:20">
      <c r="L1826" s="1179"/>
      <c r="M1826" s="1183"/>
      <c r="N1826" s="1183"/>
      <c r="O1826" s="1183"/>
      <c r="P1826" s="1201"/>
      <c r="Q1826" s="1201"/>
      <c r="R1826" s="1201"/>
      <c r="S1826" s="1201"/>
      <c r="T1826" s="1201"/>
    </row>
    <row r="1827" spans="12:20">
      <c r="L1827" s="1179"/>
      <c r="M1827" s="1183"/>
      <c r="N1827" s="1183"/>
      <c r="O1827" s="1183"/>
      <c r="P1827" s="1201"/>
      <c r="Q1827" s="1201"/>
      <c r="R1827" s="1201"/>
      <c r="S1827" s="1201"/>
      <c r="T1827" s="1201"/>
    </row>
    <row r="1828" spans="12:20">
      <c r="L1828" s="1179"/>
      <c r="M1828" s="1183"/>
      <c r="N1828" s="1183"/>
      <c r="O1828" s="1183"/>
      <c r="P1828" s="1201"/>
      <c r="Q1828" s="1201"/>
      <c r="R1828" s="1201"/>
      <c r="S1828" s="1201"/>
      <c r="T1828" s="1201"/>
    </row>
    <row r="1829" spans="12:20">
      <c r="L1829" s="1179"/>
      <c r="M1829" s="1183"/>
      <c r="N1829" s="1183"/>
      <c r="O1829" s="1183"/>
      <c r="P1829" s="1201"/>
      <c r="Q1829" s="1201"/>
      <c r="R1829" s="1201"/>
      <c r="S1829" s="1201"/>
      <c r="T1829" s="1201"/>
    </row>
    <row r="1830" spans="12:20">
      <c r="L1830" s="1179"/>
      <c r="M1830" s="1183"/>
      <c r="N1830" s="1183"/>
      <c r="O1830" s="1183"/>
      <c r="P1830" s="1201"/>
      <c r="Q1830" s="1201"/>
      <c r="R1830" s="1201"/>
      <c r="S1830" s="1201"/>
      <c r="T1830" s="1201"/>
    </row>
    <row r="1831" spans="12:20">
      <c r="L1831" s="1179"/>
      <c r="M1831" s="1183"/>
      <c r="N1831" s="1183"/>
      <c r="O1831" s="1183"/>
      <c r="P1831" s="1201"/>
      <c r="Q1831" s="1201"/>
      <c r="R1831" s="1201"/>
      <c r="S1831" s="1201"/>
      <c r="T1831" s="1201"/>
    </row>
    <row r="1832" spans="12:20">
      <c r="L1832" s="1179"/>
      <c r="M1832" s="1183"/>
      <c r="N1832" s="1183"/>
      <c r="O1832" s="1183"/>
      <c r="P1832" s="1201"/>
      <c r="Q1832" s="1201"/>
      <c r="R1832" s="1201"/>
      <c r="S1832" s="1201"/>
      <c r="T1832" s="1201"/>
    </row>
    <row r="1833" spans="12:20">
      <c r="L1833" s="1179"/>
      <c r="M1833" s="1183"/>
      <c r="N1833" s="1183"/>
      <c r="O1833" s="1183"/>
      <c r="P1833" s="1201"/>
      <c r="Q1833" s="1201"/>
      <c r="R1833" s="1201"/>
      <c r="S1833" s="1201"/>
      <c r="T1833" s="1201"/>
    </row>
    <row r="1834" spans="12:20">
      <c r="L1834" s="1179"/>
      <c r="M1834" s="1183"/>
      <c r="N1834" s="1183"/>
      <c r="O1834" s="1183"/>
      <c r="P1834" s="1201"/>
      <c r="Q1834" s="1201"/>
      <c r="R1834" s="1201"/>
      <c r="S1834" s="1201"/>
      <c r="T1834" s="1201"/>
    </row>
    <row r="1835" spans="12:20">
      <c r="L1835" s="1179"/>
      <c r="M1835" s="1183"/>
      <c r="N1835" s="1183"/>
      <c r="O1835" s="1183"/>
      <c r="P1835" s="1201"/>
      <c r="Q1835" s="1201"/>
      <c r="R1835" s="1201"/>
      <c r="S1835" s="1201"/>
      <c r="T1835" s="1201"/>
    </row>
    <row r="1836" spans="12:20">
      <c r="L1836" s="1179"/>
      <c r="M1836" s="1183"/>
      <c r="N1836" s="1183"/>
      <c r="O1836" s="1183"/>
      <c r="P1836" s="1201"/>
      <c r="Q1836" s="1201"/>
      <c r="R1836" s="1201"/>
      <c r="S1836" s="1201"/>
      <c r="T1836" s="1201"/>
    </row>
    <row r="1837" spans="12:20">
      <c r="L1837" s="1179"/>
      <c r="M1837" s="1183"/>
      <c r="N1837" s="1183"/>
      <c r="O1837" s="1183"/>
      <c r="P1837" s="1201"/>
      <c r="Q1837" s="1201"/>
      <c r="R1837" s="1201"/>
      <c r="S1837" s="1201"/>
      <c r="T1837" s="1201"/>
    </row>
    <row r="1838" spans="12:20">
      <c r="L1838" s="1179"/>
      <c r="M1838" s="1183"/>
      <c r="N1838" s="1183"/>
      <c r="O1838" s="1183"/>
      <c r="P1838" s="1201"/>
      <c r="Q1838" s="1201"/>
      <c r="R1838" s="1201"/>
      <c r="S1838" s="1201"/>
      <c r="T1838" s="1201"/>
    </row>
    <row r="1839" spans="12:20">
      <c r="L1839" s="1179"/>
      <c r="M1839" s="1183"/>
      <c r="N1839" s="1183"/>
      <c r="O1839" s="1183"/>
      <c r="P1839" s="1201"/>
      <c r="Q1839" s="1201"/>
      <c r="R1839" s="1201"/>
      <c r="S1839" s="1201"/>
      <c r="T1839" s="1201"/>
    </row>
    <row r="1840" spans="12:20">
      <c r="L1840" s="1179"/>
      <c r="M1840" s="1183"/>
      <c r="N1840" s="1183"/>
      <c r="O1840" s="1183"/>
      <c r="P1840" s="1201"/>
      <c r="Q1840" s="1201"/>
      <c r="R1840" s="1201"/>
      <c r="S1840" s="1201"/>
      <c r="T1840" s="1201"/>
    </row>
    <row r="1841" spans="12:20">
      <c r="L1841" s="1179"/>
      <c r="M1841" s="1183"/>
      <c r="N1841" s="1183"/>
      <c r="O1841" s="1183"/>
      <c r="P1841" s="1201"/>
      <c r="Q1841" s="1201"/>
      <c r="R1841" s="1201"/>
      <c r="S1841" s="1201"/>
      <c r="T1841" s="1201"/>
    </row>
    <row r="1842" spans="12:20">
      <c r="L1842" s="1179"/>
      <c r="M1842" s="1183"/>
      <c r="N1842" s="1183"/>
      <c r="O1842" s="1183"/>
      <c r="P1842" s="1201"/>
      <c r="Q1842" s="1201"/>
      <c r="R1842" s="1201"/>
      <c r="S1842" s="1201"/>
      <c r="T1842" s="1201"/>
    </row>
    <row r="1843" spans="12:20">
      <c r="L1843" s="1179"/>
      <c r="M1843" s="1183"/>
      <c r="N1843" s="1183"/>
      <c r="O1843" s="1183"/>
      <c r="P1843" s="1201"/>
      <c r="Q1843" s="1201"/>
      <c r="R1843" s="1201"/>
      <c r="S1843" s="1201"/>
      <c r="T1843" s="1201"/>
    </row>
    <row r="1844" spans="12:20">
      <c r="L1844" s="1179"/>
      <c r="M1844" s="1183"/>
      <c r="N1844" s="1183"/>
      <c r="O1844" s="1183"/>
      <c r="P1844" s="1201"/>
      <c r="Q1844" s="1201"/>
      <c r="R1844" s="1201"/>
      <c r="S1844" s="1201"/>
      <c r="T1844" s="1201"/>
    </row>
    <row r="1845" spans="12:20">
      <c r="L1845" s="1179"/>
      <c r="M1845" s="1183"/>
      <c r="N1845" s="1183"/>
      <c r="O1845" s="1183"/>
      <c r="P1845" s="1201"/>
      <c r="Q1845" s="1201"/>
      <c r="R1845" s="1201"/>
      <c r="S1845" s="1201"/>
      <c r="T1845" s="1201"/>
    </row>
    <row r="1846" spans="12:20">
      <c r="L1846" s="1179"/>
      <c r="M1846" s="1183"/>
      <c r="N1846" s="1183"/>
      <c r="O1846" s="1183"/>
      <c r="P1846" s="1201"/>
      <c r="Q1846" s="1201"/>
      <c r="R1846" s="1201"/>
      <c r="S1846" s="1201"/>
      <c r="T1846" s="1201"/>
    </row>
    <row r="1847" spans="12:20">
      <c r="L1847" s="1179"/>
      <c r="M1847" s="1183"/>
      <c r="N1847" s="1183"/>
      <c r="O1847" s="1183"/>
      <c r="P1847" s="1201"/>
      <c r="Q1847" s="1201"/>
      <c r="R1847" s="1201"/>
      <c r="S1847" s="1201"/>
      <c r="T1847" s="1201"/>
    </row>
    <row r="1848" spans="12:20">
      <c r="L1848" s="1179"/>
      <c r="M1848" s="1183"/>
      <c r="N1848" s="1183"/>
      <c r="O1848" s="1183"/>
      <c r="P1848" s="1201"/>
      <c r="Q1848" s="1201"/>
      <c r="R1848" s="1201"/>
      <c r="S1848" s="1201"/>
      <c r="T1848" s="1201"/>
    </row>
    <row r="1849" spans="12:20">
      <c r="L1849" s="1179"/>
      <c r="M1849" s="1183"/>
      <c r="N1849" s="1183"/>
      <c r="O1849" s="1183"/>
      <c r="P1849" s="1201"/>
      <c r="Q1849" s="1201"/>
      <c r="R1849" s="1201"/>
      <c r="S1849" s="1201"/>
      <c r="T1849" s="1201"/>
    </row>
    <row r="1850" spans="12:20">
      <c r="L1850" s="1179"/>
      <c r="M1850" s="1183"/>
      <c r="N1850" s="1183"/>
      <c r="O1850" s="1183"/>
      <c r="P1850" s="1201"/>
      <c r="Q1850" s="1201"/>
      <c r="R1850" s="1201"/>
      <c r="S1850" s="1201"/>
      <c r="T1850" s="1201"/>
    </row>
    <row r="1851" spans="12:20">
      <c r="L1851" s="1179"/>
      <c r="M1851" s="1183"/>
      <c r="N1851" s="1183"/>
      <c r="O1851" s="1183"/>
      <c r="P1851" s="1201"/>
      <c r="Q1851" s="1201"/>
      <c r="R1851" s="1201"/>
      <c r="S1851" s="1201"/>
      <c r="T1851" s="1201"/>
    </row>
    <row r="1852" spans="12:20">
      <c r="L1852" s="1179"/>
      <c r="M1852" s="1183"/>
      <c r="N1852" s="1183"/>
      <c r="O1852" s="1183"/>
      <c r="P1852" s="1201"/>
      <c r="Q1852" s="1201"/>
      <c r="R1852" s="1201"/>
      <c r="S1852" s="1201"/>
      <c r="T1852" s="1201"/>
    </row>
    <row r="1853" spans="12:20">
      <c r="L1853" s="1179"/>
      <c r="M1853" s="1183"/>
      <c r="N1853" s="1183"/>
      <c r="O1853" s="1183"/>
      <c r="P1853" s="1201"/>
      <c r="Q1853" s="1201"/>
      <c r="R1853" s="1201"/>
      <c r="S1853" s="1201"/>
      <c r="T1853" s="1201"/>
    </row>
    <row r="1854" spans="12:20">
      <c r="L1854" s="1179"/>
      <c r="M1854" s="1183"/>
      <c r="N1854" s="1183"/>
      <c r="O1854" s="1183"/>
      <c r="P1854" s="1201"/>
      <c r="Q1854" s="1201"/>
      <c r="R1854" s="1201"/>
      <c r="S1854" s="1201"/>
      <c r="T1854" s="1201"/>
    </row>
    <row r="1855" spans="12:20">
      <c r="L1855" s="1179"/>
      <c r="M1855" s="1183"/>
      <c r="N1855" s="1183"/>
      <c r="O1855" s="1183"/>
      <c r="P1855" s="1201"/>
      <c r="Q1855" s="1201"/>
      <c r="R1855" s="1201"/>
      <c r="S1855" s="1201"/>
      <c r="T1855" s="1201"/>
    </row>
    <row r="1856" spans="12:20">
      <c r="L1856" s="1179"/>
      <c r="M1856" s="1183"/>
      <c r="N1856" s="1183"/>
      <c r="O1856" s="1183"/>
      <c r="P1856" s="1201"/>
      <c r="Q1856" s="1201"/>
      <c r="R1856" s="1201"/>
      <c r="S1856" s="1201"/>
      <c r="T1856" s="1201"/>
    </row>
    <row r="1857" spans="12:20">
      <c r="L1857" s="1179"/>
      <c r="M1857" s="1183"/>
      <c r="N1857" s="1183"/>
      <c r="O1857" s="1183"/>
      <c r="P1857" s="1201"/>
      <c r="Q1857" s="1201"/>
      <c r="R1857" s="1201"/>
      <c r="S1857" s="1201"/>
      <c r="T1857" s="1201"/>
    </row>
    <row r="1858" spans="12:20">
      <c r="L1858" s="1179"/>
      <c r="M1858" s="1183"/>
      <c r="N1858" s="1183"/>
      <c r="O1858" s="1183"/>
      <c r="P1858" s="1201"/>
      <c r="Q1858" s="1201"/>
      <c r="R1858" s="1201"/>
      <c r="S1858" s="1201"/>
      <c r="T1858" s="1201"/>
    </row>
    <row r="1859" spans="12:20">
      <c r="L1859" s="1179"/>
      <c r="M1859" s="1183"/>
      <c r="N1859" s="1183"/>
      <c r="O1859" s="1183"/>
      <c r="P1859" s="1201"/>
      <c r="Q1859" s="1201"/>
      <c r="R1859" s="1201"/>
      <c r="S1859" s="1201"/>
      <c r="T1859" s="1201"/>
    </row>
    <row r="1860" spans="12:20">
      <c r="L1860" s="1179"/>
      <c r="M1860" s="1183"/>
      <c r="N1860" s="1183"/>
      <c r="O1860" s="1183"/>
      <c r="P1860" s="1201"/>
      <c r="Q1860" s="1201"/>
      <c r="R1860" s="1201"/>
      <c r="S1860" s="1201"/>
      <c r="T1860" s="1201"/>
    </row>
    <row r="1861" spans="12:20">
      <c r="L1861" s="1179"/>
      <c r="M1861" s="1183"/>
      <c r="N1861" s="1183"/>
      <c r="O1861" s="1183"/>
      <c r="P1861" s="1201"/>
      <c r="Q1861" s="1201"/>
      <c r="R1861" s="1201"/>
      <c r="S1861" s="1201"/>
      <c r="T1861" s="1201"/>
    </row>
    <row r="1862" spans="12:20">
      <c r="L1862" s="1179"/>
      <c r="M1862" s="1183"/>
      <c r="N1862" s="1183"/>
      <c r="O1862" s="1183"/>
      <c r="P1862" s="1201"/>
      <c r="Q1862" s="1201"/>
      <c r="R1862" s="1201"/>
      <c r="S1862" s="1201"/>
      <c r="T1862" s="1201"/>
    </row>
    <row r="1863" spans="12:20">
      <c r="L1863" s="1179"/>
      <c r="M1863" s="1183"/>
      <c r="N1863" s="1183"/>
      <c r="O1863" s="1183"/>
      <c r="P1863" s="1201"/>
      <c r="Q1863" s="1201"/>
      <c r="R1863" s="1201"/>
      <c r="S1863" s="1201"/>
      <c r="T1863" s="1201"/>
    </row>
    <row r="1864" spans="12:20">
      <c r="L1864" s="1179"/>
      <c r="M1864" s="1183"/>
      <c r="N1864" s="1183"/>
      <c r="O1864" s="1183"/>
      <c r="P1864" s="1201"/>
      <c r="Q1864" s="1201"/>
      <c r="R1864" s="1201"/>
      <c r="S1864" s="1201"/>
      <c r="T1864" s="1201"/>
    </row>
    <row r="1865" spans="12:20">
      <c r="L1865" s="1179"/>
      <c r="M1865" s="1183"/>
      <c r="N1865" s="1183"/>
      <c r="O1865" s="1183"/>
      <c r="P1865" s="1201"/>
      <c r="Q1865" s="1201"/>
      <c r="R1865" s="1201"/>
      <c r="S1865" s="1201"/>
      <c r="T1865" s="1201"/>
    </row>
    <row r="1866" spans="12:20">
      <c r="L1866" s="1179"/>
      <c r="M1866" s="1183"/>
      <c r="N1866" s="1183"/>
      <c r="O1866" s="1183"/>
      <c r="P1866" s="1201"/>
      <c r="Q1866" s="1201"/>
      <c r="R1866" s="1201"/>
      <c r="S1866" s="1201"/>
      <c r="T1866" s="1201"/>
    </row>
    <row r="1867" spans="12:20">
      <c r="L1867" s="1179"/>
      <c r="M1867" s="1183"/>
      <c r="N1867" s="1183"/>
      <c r="O1867" s="1183"/>
      <c r="P1867" s="1201"/>
      <c r="Q1867" s="1201"/>
      <c r="R1867" s="1201"/>
      <c r="S1867" s="1201"/>
      <c r="T1867" s="1201"/>
    </row>
    <row r="1868" spans="12:20">
      <c r="L1868" s="1179"/>
      <c r="M1868" s="1183"/>
      <c r="N1868" s="1183"/>
      <c r="O1868" s="1183"/>
      <c r="P1868" s="1201"/>
      <c r="Q1868" s="1201"/>
      <c r="R1868" s="1201"/>
      <c r="S1868" s="1201"/>
      <c r="T1868" s="1201"/>
    </row>
    <row r="1869" spans="12:20">
      <c r="L1869" s="1179"/>
      <c r="M1869" s="1183"/>
      <c r="N1869" s="1183"/>
      <c r="O1869" s="1183"/>
      <c r="P1869" s="1201"/>
      <c r="Q1869" s="1201"/>
      <c r="R1869" s="1201"/>
      <c r="S1869" s="1201"/>
      <c r="T1869" s="1201"/>
    </row>
    <row r="1870" spans="12:20">
      <c r="L1870" s="1179"/>
      <c r="M1870" s="1183"/>
      <c r="N1870" s="1183"/>
      <c r="O1870" s="1183"/>
      <c r="P1870" s="1201"/>
      <c r="Q1870" s="1201"/>
      <c r="R1870" s="1201"/>
      <c r="S1870" s="1201"/>
      <c r="T1870" s="1201"/>
    </row>
    <row r="1871" spans="12:20">
      <c r="L1871" s="1179"/>
      <c r="M1871" s="1183"/>
      <c r="N1871" s="1183"/>
      <c r="O1871" s="1183"/>
      <c r="P1871" s="1201"/>
      <c r="Q1871" s="1201"/>
      <c r="R1871" s="1201"/>
      <c r="S1871" s="1201"/>
      <c r="T1871" s="1201"/>
    </row>
    <row r="1872" spans="12:20">
      <c r="L1872" s="1179"/>
      <c r="M1872" s="1183"/>
      <c r="N1872" s="1183"/>
      <c r="O1872" s="1183"/>
      <c r="P1872" s="1201"/>
      <c r="Q1872" s="1201"/>
      <c r="R1872" s="1201"/>
      <c r="S1872" s="1201"/>
      <c r="T1872" s="1201"/>
    </row>
    <row r="1873" spans="12:20">
      <c r="L1873" s="1179"/>
      <c r="M1873" s="1183"/>
      <c r="N1873" s="1183"/>
      <c r="O1873" s="1183"/>
      <c r="P1873" s="1201"/>
      <c r="Q1873" s="1201"/>
      <c r="R1873" s="1201"/>
      <c r="S1873" s="1201"/>
      <c r="T1873" s="1201"/>
    </row>
    <row r="1874" spans="12:20">
      <c r="L1874" s="1179"/>
      <c r="M1874" s="1183"/>
      <c r="N1874" s="1183"/>
      <c r="O1874" s="1183"/>
      <c r="P1874" s="1201"/>
      <c r="Q1874" s="1201"/>
      <c r="R1874" s="1201"/>
      <c r="S1874" s="1201"/>
      <c r="T1874" s="1201"/>
    </row>
    <row r="1875" spans="12:20">
      <c r="L1875" s="1179"/>
      <c r="M1875" s="1183"/>
      <c r="N1875" s="1183"/>
      <c r="O1875" s="1183"/>
      <c r="P1875" s="1201"/>
      <c r="Q1875" s="1201"/>
      <c r="R1875" s="1201"/>
      <c r="S1875" s="1201"/>
      <c r="T1875" s="1201"/>
    </row>
    <row r="1876" spans="12:20">
      <c r="L1876" s="1179"/>
      <c r="M1876" s="1183"/>
      <c r="N1876" s="1183"/>
      <c r="O1876" s="1183"/>
      <c r="P1876" s="1201"/>
      <c r="Q1876" s="1201"/>
      <c r="R1876" s="1201"/>
      <c r="S1876" s="1201"/>
      <c r="T1876" s="1201"/>
    </row>
    <row r="1877" spans="12:20">
      <c r="L1877" s="1179"/>
      <c r="M1877" s="1183"/>
      <c r="N1877" s="1183"/>
      <c r="O1877" s="1183"/>
      <c r="P1877" s="1201"/>
      <c r="Q1877" s="1201"/>
      <c r="R1877" s="1201"/>
      <c r="S1877" s="1201"/>
      <c r="T1877" s="1201"/>
    </row>
    <row r="1878" spans="12:20">
      <c r="L1878" s="1179"/>
      <c r="M1878" s="1183"/>
      <c r="N1878" s="1183"/>
      <c r="O1878" s="1183"/>
      <c r="P1878" s="1201"/>
      <c r="Q1878" s="1201"/>
      <c r="R1878" s="1201"/>
      <c r="S1878" s="1201"/>
      <c r="T1878" s="1201"/>
    </row>
    <row r="1879" spans="12:20">
      <c r="L1879" s="1179"/>
      <c r="M1879" s="1183"/>
      <c r="N1879" s="1183"/>
      <c r="O1879" s="1183"/>
      <c r="P1879" s="1201"/>
      <c r="Q1879" s="1201"/>
      <c r="R1879" s="1201"/>
      <c r="S1879" s="1201"/>
      <c r="T1879" s="1201"/>
    </row>
    <row r="1880" spans="12:20">
      <c r="L1880" s="1179"/>
      <c r="M1880" s="1183"/>
      <c r="N1880" s="1183"/>
      <c r="O1880" s="1183"/>
      <c r="P1880" s="1201"/>
      <c r="Q1880" s="1201"/>
      <c r="R1880" s="1201"/>
      <c r="S1880" s="1201"/>
      <c r="T1880" s="1201"/>
    </row>
    <row r="1881" spans="12:20">
      <c r="L1881" s="1179"/>
      <c r="M1881" s="1183"/>
      <c r="N1881" s="1183"/>
      <c r="O1881" s="1183"/>
      <c r="P1881" s="1201"/>
      <c r="Q1881" s="1201"/>
      <c r="R1881" s="1201"/>
      <c r="S1881" s="1201"/>
      <c r="T1881" s="1201"/>
    </row>
    <row r="1882" spans="12:20">
      <c r="L1882" s="1179"/>
      <c r="M1882" s="1183"/>
      <c r="N1882" s="1183"/>
      <c r="O1882" s="1183"/>
      <c r="P1882" s="1201"/>
      <c r="Q1882" s="1201"/>
      <c r="R1882" s="1201"/>
      <c r="S1882" s="1201"/>
      <c r="T1882" s="1201"/>
    </row>
    <row r="1883" spans="12:20">
      <c r="L1883" s="1179"/>
      <c r="M1883" s="1183"/>
      <c r="N1883" s="1183"/>
      <c r="O1883" s="1183"/>
      <c r="P1883" s="1201"/>
      <c r="Q1883" s="1201"/>
      <c r="R1883" s="1201"/>
      <c r="S1883" s="1201"/>
      <c r="T1883" s="1201"/>
    </row>
    <row r="1884" spans="12:20">
      <c r="L1884" s="1179"/>
      <c r="M1884" s="1183"/>
      <c r="N1884" s="1183"/>
      <c r="O1884" s="1183"/>
      <c r="P1884" s="1201"/>
      <c r="Q1884" s="1201"/>
      <c r="R1884" s="1201"/>
      <c r="S1884" s="1201"/>
      <c r="T1884" s="1201"/>
    </row>
    <row r="1885" spans="12:20">
      <c r="L1885" s="1179"/>
      <c r="M1885" s="1183"/>
      <c r="N1885" s="1183"/>
      <c r="O1885" s="1183"/>
      <c r="P1885" s="1201"/>
      <c r="Q1885" s="1201"/>
      <c r="R1885" s="1201"/>
      <c r="S1885" s="1201"/>
      <c r="T1885" s="1201"/>
    </row>
    <row r="1886" spans="12:20">
      <c r="L1886" s="1179"/>
      <c r="M1886" s="1183"/>
      <c r="N1886" s="1183"/>
      <c r="O1886" s="1183"/>
      <c r="P1886" s="1201"/>
      <c r="Q1886" s="1201"/>
      <c r="R1886" s="1201"/>
      <c r="S1886" s="1201"/>
      <c r="T1886" s="1201"/>
    </row>
    <row r="1887" spans="12:20">
      <c r="L1887" s="1179"/>
      <c r="M1887" s="1183"/>
      <c r="N1887" s="1183"/>
      <c r="O1887" s="1183"/>
      <c r="P1887" s="1201"/>
      <c r="Q1887" s="1201"/>
      <c r="R1887" s="1201"/>
      <c r="S1887" s="1201"/>
      <c r="T1887" s="1201"/>
    </row>
    <row r="1888" spans="12:20">
      <c r="L1888" s="1179"/>
      <c r="M1888" s="1183"/>
      <c r="N1888" s="1183"/>
      <c r="O1888" s="1183"/>
      <c r="P1888" s="1201"/>
      <c r="Q1888" s="1201"/>
      <c r="R1888" s="1201"/>
      <c r="S1888" s="1201"/>
      <c r="T1888" s="1201"/>
    </row>
    <row r="1889" spans="12:20">
      <c r="L1889" s="1179"/>
      <c r="M1889" s="1183"/>
      <c r="N1889" s="1183"/>
      <c r="O1889" s="1183"/>
      <c r="P1889" s="1201"/>
      <c r="Q1889" s="1201"/>
      <c r="R1889" s="1201"/>
      <c r="S1889" s="1201"/>
      <c r="T1889" s="1201"/>
    </row>
    <row r="1890" spans="12:20">
      <c r="L1890" s="1179"/>
      <c r="M1890" s="1183"/>
      <c r="N1890" s="1183"/>
      <c r="O1890" s="1183"/>
      <c r="P1890" s="1201"/>
      <c r="Q1890" s="1201"/>
      <c r="R1890" s="1201"/>
      <c r="S1890" s="1201"/>
      <c r="T1890" s="1201"/>
    </row>
    <row r="1891" spans="12:20">
      <c r="L1891" s="1179"/>
      <c r="M1891" s="1183"/>
      <c r="N1891" s="1183"/>
      <c r="O1891" s="1183"/>
      <c r="P1891" s="1201"/>
      <c r="Q1891" s="1201"/>
      <c r="R1891" s="1201"/>
      <c r="S1891" s="1201"/>
      <c r="T1891" s="1201"/>
    </row>
    <row r="1892" spans="12:20">
      <c r="L1892" s="1179"/>
      <c r="M1892" s="1183"/>
      <c r="N1892" s="1183"/>
      <c r="O1892" s="1183"/>
      <c r="P1892" s="1201"/>
      <c r="Q1892" s="1201"/>
      <c r="R1892" s="1201"/>
      <c r="S1892" s="1201"/>
      <c r="T1892" s="1201"/>
    </row>
    <row r="1893" spans="12:20">
      <c r="L1893" s="1179"/>
      <c r="M1893" s="1183"/>
      <c r="N1893" s="1183"/>
      <c r="O1893" s="1183"/>
      <c r="P1893" s="1201"/>
      <c r="Q1893" s="1201"/>
      <c r="R1893" s="1201"/>
      <c r="S1893" s="1201"/>
      <c r="T1893" s="1201"/>
    </row>
    <row r="1894" spans="12:20">
      <c r="L1894" s="1179"/>
      <c r="M1894" s="1183"/>
      <c r="N1894" s="1183"/>
      <c r="O1894" s="1183"/>
      <c r="P1894" s="1201"/>
      <c r="Q1894" s="1201"/>
      <c r="R1894" s="1201"/>
      <c r="S1894" s="1201"/>
      <c r="T1894" s="1201"/>
    </row>
    <row r="1895" spans="12:20">
      <c r="L1895" s="1179"/>
      <c r="M1895" s="1183"/>
      <c r="N1895" s="1183"/>
      <c r="O1895" s="1183"/>
      <c r="P1895" s="1201"/>
      <c r="Q1895" s="1201"/>
      <c r="R1895" s="1201"/>
      <c r="S1895" s="1201"/>
      <c r="T1895" s="1201"/>
    </row>
    <row r="1896" spans="12:20">
      <c r="L1896" s="1179"/>
      <c r="M1896" s="1183"/>
      <c r="N1896" s="1183"/>
      <c r="O1896" s="1183"/>
      <c r="P1896" s="1201"/>
      <c r="Q1896" s="1201"/>
      <c r="R1896" s="1201"/>
      <c r="S1896" s="1201"/>
      <c r="T1896" s="1201"/>
    </row>
    <row r="1897" spans="12:20">
      <c r="L1897" s="1179"/>
      <c r="M1897" s="1183"/>
      <c r="N1897" s="1183"/>
      <c r="O1897" s="1183"/>
      <c r="P1897" s="1201"/>
      <c r="Q1897" s="1201"/>
      <c r="R1897" s="1201"/>
      <c r="S1897" s="1201"/>
      <c r="T1897" s="1201"/>
    </row>
    <row r="1898" spans="12:20">
      <c r="L1898" s="1179"/>
      <c r="M1898" s="1183"/>
      <c r="N1898" s="1183"/>
      <c r="O1898" s="1183"/>
      <c r="P1898" s="1201"/>
      <c r="Q1898" s="1201"/>
      <c r="R1898" s="1201"/>
      <c r="S1898" s="1201"/>
      <c r="T1898" s="1201"/>
    </row>
    <row r="1899" spans="12:20">
      <c r="L1899" s="1179"/>
      <c r="M1899" s="1183"/>
      <c r="N1899" s="1183"/>
      <c r="O1899" s="1183"/>
      <c r="P1899" s="1201"/>
      <c r="Q1899" s="1201"/>
      <c r="R1899" s="1201"/>
      <c r="S1899" s="1201"/>
      <c r="T1899" s="1201"/>
    </row>
    <row r="1900" spans="12:20">
      <c r="L1900" s="1179"/>
      <c r="M1900" s="1183"/>
      <c r="N1900" s="1183"/>
      <c r="O1900" s="1183"/>
      <c r="P1900" s="1201"/>
      <c r="Q1900" s="1201"/>
      <c r="R1900" s="1201"/>
      <c r="S1900" s="1201"/>
      <c r="T1900" s="1201"/>
    </row>
    <row r="1901" spans="12:20">
      <c r="L1901" s="1179"/>
      <c r="M1901" s="1183"/>
      <c r="N1901" s="1183"/>
      <c r="O1901" s="1183"/>
      <c r="P1901" s="1201"/>
      <c r="Q1901" s="1201"/>
      <c r="R1901" s="1201"/>
      <c r="S1901" s="1201"/>
      <c r="T1901" s="1201"/>
    </row>
    <row r="1902" spans="12:20">
      <c r="L1902" s="1179"/>
      <c r="M1902" s="1183"/>
      <c r="N1902" s="1183"/>
      <c r="O1902" s="1183"/>
      <c r="P1902" s="1201"/>
      <c r="Q1902" s="1201"/>
      <c r="R1902" s="1201"/>
      <c r="S1902" s="1201"/>
      <c r="T1902" s="1201"/>
    </row>
    <row r="1903" spans="12:20">
      <c r="L1903" s="1179"/>
      <c r="M1903" s="1183"/>
      <c r="N1903" s="1183"/>
      <c r="O1903" s="1183"/>
      <c r="P1903" s="1201"/>
      <c r="Q1903" s="1201"/>
      <c r="R1903" s="1201"/>
      <c r="S1903" s="1201"/>
      <c r="T1903" s="1201"/>
    </row>
    <row r="1904" spans="12:20">
      <c r="L1904" s="1179"/>
      <c r="M1904" s="1183"/>
      <c r="N1904" s="1183"/>
      <c r="O1904" s="1183"/>
      <c r="P1904" s="1201"/>
      <c r="Q1904" s="1201"/>
      <c r="R1904" s="1201"/>
      <c r="S1904" s="1201"/>
      <c r="T1904" s="1201"/>
    </row>
    <row r="1905" spans="12:20">
      <c r="L1905" s="1179"/>
      <c r="M1905" s="1183"/>
      <c r="N1905" s="1183"/>
      <c r="O1905" s="1183"/>
      <c r="P1905" s="1201"/>
      <c r="Q1905" s="1201"/>
      <c r="R1905" s="1201"/>
      <c r="S1905" s="1201"/>
      <c r="T1905" s="1201"/>
    </row>
    <row r="1906" spans="12:20">
      <c r="L1906" s="1179"/>
      <c r="M1906" s="1183"/>
      <c r="N1906" s="1183"/>
      <c r="O1906" s="1183"/>
      <c r="P1906" s="1201"/>
      <c r="Q1906" s="1201"/>
      <c r="R1906" s="1201"/>
      <c r="S1906" s="1201"/>
      <c r="T1906" s="1201"/>
    </row>
    <row r="1907" spans="12:20">
      <c r="L1907" s="1179"/>
      <c r="M1907" s="1183"/>
      <c r="N1907" s="1183"/>
      <c r="O1907" s="1183"/>
      <c r="P1907" s="1201"/>
      <c r="Q1907" s="1201"/>
      <c r="R1907" s="1201"/>
      <c r="S1907" s="1201"/>
      <c r="T1907" s="1201"/>
    </row>
    <row r="1908" spans="12:20">
      <c r="L1908" s="1179"/>
      <c r="M1908" s="1183"/>
      <c r="N1908" s="1183"/>
      <c r="O1908" s="1183"/>
      <c r="P1908" s="1201"/>
      <c r="Q1908" s="1201"/>
      <c r="R1908" s="1201"/>
      <c r="S1908" s="1201"/>
      <c r="T1908" s="1201"/>
    </row>
    <row r="1909" spans="12:20">
      <c r="L1909" s="1179"/>
      <c r="M1909" s="1183"/>
      <c r="N1909" s="1183"/>
      <c r="O1909" s="1183"/>
      <c r="P1909" s="1201"/>
      <c r="Q1909" s="1201"/>
      <c r="R1909" s="1201"/>
      <c r="S1909" s="1201"/>
      <c r="T1909" s="1201"/>
    </row>
    <row r="1910" spans="12:20">
      <c r="L1910" s="1179"/>
      <c r="M1910" s="1183"/>
      <c r="N1910" s="1183"/>
      <c r="O1910" s="1183"/>
      <c r="P1910" s="1201"/>
      <c r="Q1910" s="1201"/>
      <c r="R1910" s="1201"/>
      <c r="S1910" s="1201"/>
      <c r="T1910" s="1201"/>
    </row>
    <row r="1911" spans="12:20">
      <c r="L1911" s="1179"/>
      <c r="M1911" s="1183"/>
      <c r="N1911" s="1183"/>
      <c r="O1911" s="1183"/>
      <c r="P1911" s="1201"/>
      <c r="Q1911" s="1201"/>
      <c r="R1911" s="1201"/>
      <c r="S1911" s="1201"/>
      <c r="T1911" s="1201"/>
    </row>
    <row r="1912" spans="12:20">
      <c r="L1912" s="1179"/>
      <c r="M1912" s="1183"/>
      <c r="N1912" s="1183"/>
      <c r="O1912" s="1183"/>
      <c r="P1912" s="1201"/>
      <c r="Q1912" s="1201"/>
      <c r="R1912" s="1201"/>
      <c r="S1912" s="1201"/>
      <c r="T1912" s="1201"/>
    </row>
    <row r="1913" spans="12:20">
      <c r="L1913" s="1179"/>
      <c r="M1913" s="1183"/>
      <c r="N1913" s="1183"/>
      <c r="O1913" s="1183"/>
      <c r="P1913" s="1201"/>
      <c r="Q1913" s="1201"/>
      <c r="R1913" s="1201"/>
      <c r="S1913" s="1201"/>
      <c r="T1913" s="1201"/>
    </row>
    <row r="1914" spans="12:20">
      <c r="L1914" s="1179"/>
      <c r="M1914" s="1183"/>
      <c r="N1914" s="1183"/>
      <c r="O1914" s="1183"/>
      <c r="P1914" s="1201"/>
      <c r="Q1914" s="1201"/>
      <c r="R1914" s="1201"/>
      <c r="S1914" s="1201"/>
      <c r="T1914" s="1201"/>
    </row>
    <row r="1915" spans="12:20">
      <c r="L1915" s="1179"/>
      <c r="M1915" s="1183"/>
      <c r="N1915" s="1183"/>
      <c r="O1915" s="1183"/>
      <c r="P1915" s="1201"/>
      <c r="Q1915" s="1201"/>
      <c r="R1915" s="1201"/>
      <c r="S1915" s="1201"/>
      <c r="T1915" s="1201"/>
    </row>
    <row r="1916" spans="12:20">
      <c r="L1916" s="1179"/>
      <c r="M1916" s="1183"/>
      <c r="N1916" s="1183"/>
      <c r="O1916" s="1183"/>
      <c r="P1916" s="1201"/>
      <c r="Q1916" s="1201"/>
      <c r="R1916" s="1201"/>
      <c r="S1916" s="1201"/>
      <c r="T1916" s="1201"/>
    </row>
    <row r="1917" spans="12:20">
      <c r="L1917" s="1179"/>
      <c r="M1917" s="1183"/>
      <c r="N1917" s="1183"/>
      <c r="O1917" s="1183"/>
      <c r="P1917" s="1201"/>
      <c r="Q1917" s="1201"/>
      <c r="R1917" s="1201"/>
      <c r="S1917" s="1201"/>
      <c r="T1917" s="1201"/>
    </row>
    <row r="1918" spans="12:20">
      <c r="L1918" s="1179"/>
      <c r="M1918" s="1183"/>
      <c r="N1918" s="1183"/>
      <c r="O1918" s="1183"/>
      <c r="P1918" s="1201"/>
      <c r="Q1918" s="1201"/>
      <c r="R1918" s="1201"/>
      <c r="S1918" s="1201"/>
      <c r="T1918" s="1201"/>
    </row>
    <row r="1919" spans="12:20">
      <c r="L1919" s="1179"/>
      <c r="M1919" s="1183"/>
      <c r="N1919" s="1183"/>
      <c r="O1919" s="1183"/>
      <c r="P1919" s="1201"/>
      <c r="Q1919" s="1201"/>
      <c r="R1919" s="1201"/>
      <c r="S1919" s="1201"/>
      <c r="T1919" s="1201"/>
    </row>
    <row r="1920" spans="12:20">
      <c r="L1920" s="1179"/>
      <c r="M1920" s="1183"/>
      <c r="N1920" s="1183"/>
      <c r="O1920" s="1183"/>
      <c r="P1920" s="1201"/>
      <c r="Q1920" s="1201"/>
      <c r="R1920" s="1201"/>
      <c r="S1920" s="1201"/>
      <c r="T1920" s="1201"/>
    </row>
    <row r="1921" spans="12:20">
      <c r="L1921" s="1179"/>
      <c r="M1921" s="1183"/>
      <c r="N1921" s="1183"/>
      <c r="O1921" s="1183"/>
      <c r="P1921" s="1201"/>
      <c r="Q1921" s="1201"/>
      <c r="R1921" s="1201"/>
      <c r="S1921" s="1201"/>
      <c r="T1921" s="1201"/>
    </row>
    <row r="1922" spans="12:20">
      <c r="L1922" s="1179"/>
      <c r="M1922" s="1183"/>
      <c r="N1922" s="1183"/>
      <c r="O1922" s="1183"/>
      <c r="P1922" s="1201"/>
      <c r="Q1922" s="1201"/>
      <c r="R1922" s="1201"/>
      <c r="S1922" s="1201"/>
      <c r="T1922" s="1201"/>
    </row>
    <row r="1923" spans="12:20">
      <c r="L1923" s="1179"/>
      <c r="M1923" s="1183"/>
      <c r="N1923" s="1183"/>
      <c r="O1923" s="1183"/>
      <c r="P1923" s="1201"/>
      <c r="Q1923" s="1201"/>
      <c r="R1923" s="1201"/>
      <c r="S1923" s="1201"/>
      <c r="T1923" s="1201"/>
    </row>
    <row r="1924" spans="12:20">
      <c r="L1924" s="1179"/>
      <c r="M1924" s="1183"/>
      <c r="N1924" s="1183"/>
      <c r="O1924" s="1183"/>
      <c r="P1924" s="1201"/>
      <c r="Q1924" s="1201"/>
      <c r="R1924" s="1201"/>
      <c r="S1924" s="1201"/>
      <c r="T1924" s="1201"/>
    </row>
    <row r="1925" spans="12:20">
      <c r="L1925" s="1179"/>
      <c r="M1925" s="1183"/>
      <c r="N1925" s="1183"/>
      <c r="O1925" s="1183"/>
      <c r="P1925" s="1201"/>
      <c r="Q1925" s="1201"/>
      <c r="R1925" s="1201"/>
      <c r="S1925" s="1201"/>
      <c r="T1925" s="1201"/>
    </row>
    <row r="1926" spans="12:20">
      <c r="L1926" s="1179"/>
      <c r="M1926" s="1183"/>
      <c r="N1926" s="1183"/>
      <c r="O1926" s="1183"/>
      <c r="P1926" s="1201"/>
      <c r="Q1926" s="1201"/>
      <c r="R1926" s="1201"/>
      <c r="S1926" s="1201"/>
      <c r="T1926" s="1201"/>
    </row>
    <row r="1927" spans="12:20">
      <c r="L1927" s="1179"/>
      <c r="M1927" s="1183"/>
      <c r="N1927" s="1183"/>
      <c r="O1927" s="1183"/>
      <c r="P1927" s="1201"/>
      <c r="Q1927" s="1201"/>
      <c r="R1927" s="1201"/>
      <c r="S1927" s="1201"/>
      <c r="T1927" s="1201"/>
    </row>
    <row r="1928" spans="12:20">
      <c r="L1928" s="1179"/>
      <c r="M1928" s="1183"/>
      <c r="N1928" s="1183"/>
      <c r="O1928" s="1183"/>
      <c r="P1928" s="1201"/>
      <c r="Q1928" s="1201"/>
      <c r="R1928" s="1201"/>
      <c r="S1928" s="1201"/>
      <c r="T1928" s="1201"/>
    </row>
    <row r="1929" spans="12:20">
      <c r="L1929" s="1179"/>
      <c r="M1929" s="1183"/>
      <c r="N1929" s="1183"/>
      <c r="O1929" s="1183"/>
      <c r="P1929" s="1201"/>
      <c r="Q1929" s="1201"/>
      <c r="R1929" s="1201"/>
      <c r="S1929" s="1201"/>
      <c r="T1929" s="1201"/>
    </row>
    <row r="1930" spans="12:20">
      <c r="L1930" s="1179"/>
      <c r="M1930" s="1183"/>
      <c r="N1930" s="1183"/>
      <c r="O1930" s="1183"/>
      <c r="P1930" s="1201"/>
      <c r="Q1930" s="1201"/>
      <c r="R1930" s="1201"/>
      <c r="S1930" s="1201"/>
      <c r="T1930" s="1201"/>
    </row>
    <row r="1931" spans="12:20">
      <c r="L1931" s="1179"/>
      <c r="M1931" s="1183"/>
      <c r="N1931" s="1183"/>
      <c r="O1931" s="1183"/>
      <c r="P1931" s="1201"/>
      <c r="Q1931" s="1201"/>
      <c r="R1931" s="1201"/>
      <c r="S1931" s="1201"/>
      <c r="T1931" s="1201"/>
    </row>
    <row r="1932" spans="12:20">
      <c r="L1932" s="1179"/>
      <c r="M1932" s="1183"/>
      <c r="N1932" s="1183"/>
      <c r="O1932" s="1183"/>
      <c r="P1932" s="1201"/>
      <c r="Q1932" s="1201"/>
      <c r="R1932" s="1201"/>
      <c r="S1932" s="1201"/>
      <c r="T1932" s="1201"/>
    </row>
    <row r="1933" spans="12:20">
      <c r="L1933" s="1179"/>
      <c r="M1933" s="1183"/>
      <c r="N1933" s="1183"/>
      <c r="O1933" s="1183"/>
      <c r="P1933" s="1201"/>
      <c r="Q1933" s="1201"/>
      <c r="R1933" s="1201"/>
      <c r="S1933" s="1201"/>
      <c r="T1933" s="1201"/>
    </row>
    <row r="1934" spans="12:20">
      <c r="L1934" s="1179"/>
      <c r="M1934" s="1183"/>
      <c r="N1934" s="1183"/>
      <c r="O1934" s="1183"/>
      <c r="P1934" s="1201"/>
      <c r="Q1934" s="1201"/>
      <c r="R1934" s="1201"/>
      <c r="S1934" s="1201"/>
      <c r="T1934" s="1201"/>
    </row>
    <row r="1935" spans="12:20">
      <c r="L1935" s="1179"/>
      <c r="M1935" s="1183"/>
      <c r="N1935" s="1183"/>
      <c r="O1935" s="1183"/>
      <c r="P1935" s="1201"/>
      <c r="Q1935" s="1201"/>
      <c r="R1935" s="1201"/>
      <c r="S1935" s="1201"/>
      <c r="T1935" s="1201"/>
    </row>
    <row r="1936" spans="12:20">
      <c r="L1936" s="1179"/>
      <c r="M1936" s="1183"/>
      <c r="N1936" s="1183"/>
      <c r="O1936" s="1183"/>
      <c r="P1936" s="1201"/>
      <c r="Q1936" s="1201"/>
      <c r="R1936" s="1201"/>
      <c r="S1936" s="1201"/>
      <c r="T1936" s="1201"/>
    </row>
    <row r="1937" spans="12:20">
      <c r="L1937" s="1179"/>
      <c r="M1937" s="1183"/>
      <c r="N1937" s="1183"/>
      <c r="O1937" s="1183"/>
      <c r="P1937" s="1201"/>
      <c r="Q1937" s="1201"/>
      <c r="R1937" s="1201"/>
      <c r="S1937" s="1201"/>
      <c r="T1937" s="1201"/>
    </row>
    <row r="1938" spans="12:20">
      <c r="L1938" s="1179"/>
      <c r="M1938" s="1183"/>
      <c r="N1938" s="1183"/>
      <c r="O1938" s="1183"/>
      <c r="P1938" s="1201"/>
      <c r="Q1938" s="1201"/>
      <c r="R1938" s="1201"/>
      <c r="S1938" s="1201"/>
      <c r="T1938" s="1201"/>
    </row>
    <row r="1939" spans="12:20">
      <c r="L1939" s="1179"/>
      <c r="M1939" s="1183"/>
      <c r="N1939" s="1183"/>
      <c r="O1939" s="1183"/>
      <c r="P1939" s="1201"/>
      <c r="Q1939" s="1201"/>
      <c r="R1939" s="1201"/>
      <c r="S1939" s="1201"/>
      <c r="T1939" s="1201"/>
    </row>
    <row r="1940" spans="12:20">
      <c r="L1940" s="1179"/>
      <c r="M1940" s="1183"/>
      <c r="N1940" s="1183"/>
      <c r="O1940" s="1183"/>
      <c r="P1940" s="1201"/>
      <c r="Q1940" s="1201"/>
      <c r="R1940" s="1201"/>
      <c r="S1940" s="1201"/>
      <c r="T1940" s="1201"/>
    </row>
    <row r="1941" spans="12:20">
      <c r="L1941" s="1179"/>
      <c r="M1941" s="1183"/>
      <c r="N1941" s="1183"/>
      <c r="O1941" s="1183"/>
      <c r="P1941" s="1201"/>
      <c r="Q1941" s="1201"/>
      <c r="R1941" s="1201"/>
      <c r="S1941" s="1201"/>
      <c r="T1941" s="1201"/>
    </row>
    <row r="1942" spans="12:20">
      <c r="L1942" s="1179"/>
      <c r="M1942" s="1183"/>
      <c r="N1942" s="1183"/>
      <c r="O1942" s="1183"/>
      <c r="P1942" s="1201"/>
      <c r="Q1942" s="1201"/>
      <c r="R1942" s="1201"/>
      <c r="S1942" s="1201"/>
      <c r="T1942" s="1201"/>
    </row>
    <row r="1943" spans="12:20">
      <c r="L1943" s="1179"/>
      <c r="M1943" s="1183"/>
      <c r="N1943" s="1183"/>
      <c r="O1943" s="1183"/>
      <c r="P1943" s="1201"/>
      <c r="Q1943" s="1201"/>
      <c r="R1943" s="1201"/>
      <c r="S1943" s="1201"/>
      <c r="T1943" s="1201"/>
    </row>
    <row r="1944" spans="12:20">
      <c r="L1944" s="1179"/>
      <c r="M1944" s="1183"/>
      <c r="N1944" s="1183"/>
      <c r="O1944" s="1183"/>
      <c r="P1944" s="1201"/>
      <c r="Q1944" s="1201"/>
      <c r="R1944" s="1201"/>
      <c r="S1944" s="1201"/>
      <c r="T1944" s="1201"/>
    </row>
    <row r="1945" spans="12:20">
      <c r="L1945" s="1179"/>
      <c r="M1945" s="1183"/>
      <c r="N1945" s="1183"/>
      <c r="O1945" s="1183"/>
      <c r="P1945" s="1201"/>
      <c r="Q1945" s="1201"/>
      <c r="R1945" s="1201"/>
      <c r="S1945" s="1201"/>
      <c r="T1945" s="1201"/>
    </row>
    <row r="1946" spans="12:20">
      <c r="L1946" s="1179"/>
      <c r="M1946" s="1183"/>
      <c r="N1946" s="1183"/>
      <c r="O1946" s="1183"/>
      <c r="P1946" s="1201"/>
      <c r="Q1946" s="1201"/>
      <c r="R1946" s="1201"/>
      <c r="S1946" s="1201"/>
      <c r="T1946" s="1201"/>
    </row>
    <row r="1947" spans="12:20">
      <c r="L1947" s="1179"/>
      <c r="M1947" s="1183"/>
      <c r="N1947" s="1183"/>
      <c r="O1947" s="1183"/>
      <c r="P1947" s="1201"/>
      <c r="Q1947" s="1201"/>
      <c r="R1947" s="1201"/>
      <c r="S1947" s="1201"/>
      <c r="T1947" s="1201"/>
    </row>
    <row r="1948" spans="12:20">
      <c r="L1948" s="1179"/>
      <c r="M1948" s="1183"/>
      <c r="N1948" s="1183"/>
      <c r="O1948" s="1183"/>
      <c r="P1948" s="1201"/>
      <c r="Q1948" s="1201"/>
      <c r="R1948" s="1201"/>
      <c r="S1948" s="1201"/>
      <c r="T1948" s="1201"/>
    </row>
    <row r="1949" spans="12:20">
      <c r="L1949" s="1179"/>
      <c r="M1949" s="1183"/>
      <c r="N1949" s="1183"/>
      <c r="O1949" s="1183"/>
      <c r="P1949" s="1201"/>
      <c r="Q1949" s="1201"/>
      <c r="R1949" s="1201"/>
      <c r="S1949" s="1201"/>
      <c r="T1949" s="1201"/>
    </row>
    <row r="1950" spans="12:20">
      <c r="L1950" s="1179"/>
      <c r="M1950" s="1183"/>
      <c r="N1950" s="1183"/>
      <c r="O1950" s="1183"/>
      <c r="P1950" s="1201"/>
      <c r="Q1950" s="1201"/>
      <c r="R1950" s="1201"/>
      <c r="S1950" s="1201"/>
      <c r="T1950" s="1201"/>
    </row>
    <row r="1951" spans="12:20">
      <c r="L1951" s="1179"/>
      <c r="M1951" s="1183"/>
      <c r="N1951" s="1183"/>
      <c r="O1951" s="1183"/>
      <c r="P1951" s="1201"/>
      <c r="Q1951" s="1201"/>
      <c r="R1951" s="1201"/>
      <c r="S1951" s="1201"/>
      <c r="T1951" s="1201"/>
    </row>
    <row r="1952" spans="12:20">
      <c r="L1952" s="1179"/>
      <c r="M1952" s="1183"/>
      <c r="N1952" s="1183"/>
      <c r="O1952" s="1183"/>
      <c r="P1952" s="1201"/>
      <c r="Q1952" s="1201"/>
      <c r="R1952" s="1201"/>
      <c r="S1952" s="1201"/>
      <c r="T1952" s="1201"/>
    </row>
    <row r="1953" spans="12:20">
      <c r="L1953" s="1179"/>
      <c r="M1953" s="1183"/>
      <c r="N1953" s="1183"/>
      <c r="O1953" s="1183"/>
      <c r="P1953" s="1201"/>
      <c r="Q1953" s="1201"/>
      <c r="R1953" s="1201"/>
      <c r="S1953" s="1201"/>
      <c r="T1953" s="1201"/>
    </row>
    <row r="1954" spans="12:20">
      <c r="L1954" s="1179"/>
      <c r="M1954" s="1183"/>
      <c r="N1954" s="1183"/>
      <c r="O1954" s="1183"/>
      <c r="P1954" s="1201"/>
      <c r="Q1954" s="1201"/>
      <c r="R1954" s="1201"/>
      <c r="S1954" s="1201"/>
      <c r="T1954" s="1201"/>
    </row>
    <row r="1955" spans="12:20">
      <c r="L1955" s="1179"/>
      <c r="M1955" s="1183"/>
      <c r="N1955" s="1183"/>
      <c r="O1955" s="1183"/>
      <c r="P1955" s="1201"/>
      <c r="Q1955" s="1201"/>
      <c r="R1955" s="1201"/>
      <c r="S1955" s="1201"/>
      <c r="T1955" s="1201"/>
    </row>
    <row r="1956" spans="12:20">
      <c r="L1956" s="1179"/>
      <c r="M1956" s="1183"/>
      <c r="N1956" s="1183"/>
      <c r="O1956" s="1183"/>
      <c r="P1956" s="1201"/>
      <c r="Q1956" s="1201"/>
      <c r="R1956" s="1201"/>
      <c r="S1956" s="1201"/>
      <c r="T1956" s="1201"/>
    </row>
    <row r="1957" spans="12:20">
      <c r="L1957" s="1179"/>
      <c r="M1957" s="1183"/>
      <c r="N1957" s="1183"/>
      <c r="O1957" s="1183"/>
      <c r="P1957" s="1201"/>
      <c r="Q1957" s="1201"/>
      <c r="R1957" s="1201"/>
      <c r="S1957" s="1201"/>
      <c r="T1957" s="1201"/>
    </row>
    <row r="1958" spans="12:20">
      <c r="L1958" s="1179"/>
      <c r="M1958" s="1183"/>
      <c r="N1958" s="1183"/>
      <c r="O1958" s="1183"/>
      <c r="P1958" s="1201"/>
      <c r="Q1958" s="1201"/>
      <c r="R1958" s="1201"/>
      <c r="S1958" s="1201"/>
      <c r="T1958" s="1201"/>
    </row>
    <row r="1959" spans="12:20">
      <c r="L1959" s="1179"/>
      <c r="M1959" s="1183"/>
      <c r="N1959" s="1183"/>
      <c r="O1959" s="1183"/>
      <c r="P1959" s="1201"/>
      <c r="Q1959" s="1201"/>
      <c r="R1959" s="1201"/>
      <c r="S1959" s="1201"/>
      <c r="T1959" s="1201"/>
    </row>
    <row r="1960" spans="12:20">
      <c r="L1960" s="1179"/>
      <c r="M1960" s="1183"/>
      <c r="N1960" s="1183"/>
      <c r="O1960" s="1183"/>
      <c r="P1960" s="1201"/>
      <c r="Q1960" s="1201"/>
      <c r="R1960" s="1201"/>
      <c r="S1960" s="1201"/>
      <c r="T1960" s="1201"/>
    </row>
    <row r="1961" spans="12:20">
      <c r="L1961" s="1179"/>
      <c r="M1961" s="1183"/>
      <c r="N1961" s="1183"/>
      <c r="O1961" s="1183"/>
      <c r="P1961" s="1201"/>
      <c r="Q1961" s="1201"/>
      <c r="R1961" s="1201"/>
      <c r="S1961" s="1201"/>
      <c r="T1961" s="1201"/>
    </row>
    <row r="1962" spans="12:20">
      <c r="L1962" s="1179"/>
      <c r="M1962" s="1183"/>
      <c r="N1962" s="1183"/>
      <c r="O1962" s="1183"/>
      <c r="P1962" s="1201"/>
      <c r="Q1962" s="1201"/>
      <c r="R1962" s="1201"/>
      <c r="S1962" s="1201"/>
      <c r="T1962" s="1201"/>
    </row>
    <row r="1963" spans="12:20">
      <c r="L1963" s="1179"/>
      <c r="M1963" s="1183"/>
      <c r="N1963" s="1183"/>
      <c r="O1963" s="1183"/>
      <c r="P1963" s="1201"/>
      <c r="Q1963" s="1201"/>
      <c r="R1963" s="1201"/>
      <c r="S1963" s="1201"/>
      <c r="T1963" s="1201"/>
    </row>
    <row r="1964" spans="12:20">
      <c r="L1964" s="1179"/>
      <c r="M1964" s="1183"/>
      <c r="N1964" s="1183"/>
      <c r="O1964" s="1183"/>
      <c r="P1964" s="1201"/>
      <c r="Q1964" s="1201"/>
      <c r="R1964" s="1201"/>
      <c r="S1964" s="1201"/>
      <c r="T1964" s="1201"/>
    </row>
    <row r="1965" spans="12:20">
      <c r="L1965" s="1179"/>
      <c r="M1965" s="1183"/>
      <c r="N1965" s="1183"/>
      <c r="O1965" s="1183"/>
      <c r="P1965" s="1201"/>
      <c r="Q1965" s="1201"/>
      <c r="R1965" s="1201"/>
      <c r="S1965" s="1201"/>
      <c r="T1965" s="1201"/>
    </row>
    <row r="1966" spans="12:20">
      <c r="L1966" s="1179"/>
      <c r="M1966" s="1183"/>
      <c r="N1966" s="1183"/>
      <c r="O1966" s="1183"/>
      <c r="P1966" s="1201"/>
      <c r="Q1966" s="1201"/>
      <c r="R1966" s="1201"/>
      <c r="S1966" s="1201"/>
      <c r="T1966" s="1201"/>
    </row>
    <row r="1967" spans="12:20">
      <c r="L1967" s="1179"/>
      <c r="M1967" s="1183"/>
      <c r="N1967" s="1183"/>
      <c r="O1967" s="1183"/>
      <c r="P1967" s="1201"/>
      <c r="Q1967" s="1201"/>
      <c r="R1967" s="1201"/>
      <c r="S1967" s="1201"/>
      <c r="T1967" s="1201"/>
    </row>
    <row r="1968" spans="12:20">
      <c r="L1968" s="1179"/>
      <c r="M1968" s="1183"/>
      <c r="N1968" s="1183"/>
      <c r="O1968" s="1183"/>
      <c r="P1968" s="1201"/>
      <c r="Q1968" s="1201"/>
      <c r="R1968" s="1201"/>
      <c r="S1968" s="1201"/>
      <c r="T1968" s="1201"/>
    </row>
    <row r="1969" spans="12:20">
      <c r="L1969" s="1179"/>
      <c r="M1969" s="1183"/>
      <c r="N1969" s="1183"/>
      <c r="O1969" s="1183"/>
      <c r="P1969" s="1201"/>
      <c r="Q1969" s="1201"/>
      <c r="R1969" s="1201"/>
      <c r="S1969" s="1201"/>
      <c r="T1969" s="1201"/>
    </row>
    <row r="1970" spans="12:20">
      <c r="L1970" s="1179"/>
      <c r="M1970" s="1183"/>
      <c r="N1970" s="1183"/>
      <c r="O1970" s="1183"/>
      <c r="P1970" s="1201"/>
      <c r="Q1970" s="1201"/>
      <c r="R1970" s="1201"/>
      <c r="S1970" s="1201"/>
      <c r="T1970" s="1201"/>
    </row>
    <row r="1971" spans="12:20">
      <c r="L1971" s="1179"/>
      <c r="M1971" s="1183"/>
      <c r="N1971" s="1183"/>
      <c r="O1971" s="1183"/>
      <c r="P1971" s="1201"/>
      <c r="Q1971" s="1201"/>
      <c r="R1971" s="1201"/>
      <c r="S1971" s="1201"/>
      <c r="T1971" s="1201"/>
    </row>
    <row r="1972" spans="12:20">
      <c r="L1972" s="1179"/>
      <c r="M1972" s="1183"/>
      <c r="N1972" s="1183"/>
      <c r="O1972" s="1183"/>
      <c r="P1972" s="1201"/>
      <c r="Q1972" s="1201"/>
      <c r="R1972" s="1201"/>
      <c r="S1972" s="1201"/>
      <c r="T1972" s="1201"/>
    </row>
    <row r="1973" spans="12:20">
      <c r="L1973" s="1179"/>
      <c r="M1973" s="1183"/>
      <c r="N1973" s="1183"/>
      <c r="O1973" s="1183"/>
      <c r="P1973" s="1201"/>
      <c r="Q1973" s="1201"/>
      <c r="R1973" s="1201"/>
      <c r="S1973" s="1201"/>
      <c r="T1973" s="1201"/>
    </row>
    <row r="1974" spans="12:20">
      <c r="L1974" s="1179"/>
      <c r="M1974" s="1183"/>
      <c r="N1974" s="1183"/>
      <c r="O1974" s="1183"/>
      <c r="P1974" s="1201"/>
      <c r="Q1974" s="1201"/>
      <c r="R1974" s="1201"/>
      <c r="S1974" s="1201"/>
      <c r="T1974" s="1201"/>
    </row>
    <row r="1975" spans="12:20">
      <c r="L1975" s="1179"/>
      <c r="M1975" s="1183"/>
      <c r="N1975" s="1183"/>
      <c r="O1975" s="1183"/>
      <c r="P1975" s="1201"/>
      <c r="Q1975" s="1201"/>
      <c r="R1975" s="1201"/>
      <c r="S1975" s="1201"/>
      <c r="T1975" s="1201"/>
    </row>
    <row r="1976" spans="12:20">
      <c r="L1976" s="1179"/>
      <c r="M1976" s="1183"/>
      <c r="N1976" s="1183"/>
      <c r="O1976" s="1183"/>
      <c r="P1976" s="1201"/>
      <c r="Q1976" s="1201"/>
      <c r="R1976" s="1201"/>
      <c r="S1976" s="1201"/>
      <c r="T1976" s="1201"/>
    </row>
    <row r="1977" spans="12:20">
      <c r="L1977" s="1179"/>
      <c r="M1977" s="1183"/>
      <c r="N1977" s="1183"/>
      <c r="O1977" s="1183"/>
      <c r="P1977" s="1201"/>
      <c r="Q1977" s="1201"/>
      <c r="R1977" s="1201"/>
      <c r="S1977" s="1201"/>
      <c r="T1977" s="1201"/>
    </row>
    <row r="1978" spans="12:20">
      <c r="L1978" s="1179"/>
      <c r="M1978" s="1183"/>
      <c r="N1978" s="1183"/>
      <c r="O1978" s="1183"/>
      <c r="P1978" s="1201"/>
      <c r="Q1978" s="1201"/>
      <c r="R1978" s="1201"/>
      <c r="S1978" s="1201"/>
      <c r="T1978" s="1201"/>
    </row>
    <row r="1979" spans="12:20">
      <c r="L1979" s="1179"/>
      <c r="M1979" s="1183"/>
      <c r="N1979" s="1183"/>
      <c r="O1979" s="1183"/>
      <c r="P1979" s="1201"/>
      <c r="Q1979" s="1201"/>
      <c r="R1979" s="1201"/>
      <c r="S1979" s="1201"/>
      <c r="T1979" s="1201"/>
    </row>
    <row r="1980" spans="12:20">
      <c r="L1980" s="1179"/>
      <c r="M1980" s="1183"/>
      <c r="N1980" s="1183"/>
      <c r="O1980" s="1183"/>
      <c r="P1980" s="1201"/>
      <c r="Q1980" s="1201"/>
      <c r="R1980" s="1201"/>
      <c r="S1980" s="1201"/>
      <c r="T1980" s="1201"/>
    </row>
    <row r="1981" spans="12:20">
      <c r="L1981" s="1179"/>
      <c r="M1981" s="1183"/>
      <c r="N1981" s="1183"/>
      <c r="O1981" s="1183"/>
      <c r="P1981" s="1201"/>
      <c r="Q1981" s="1201"/>
      <c r="R1981" s="1201"/>
      <c r="S1981" s="1201"/>
      <c r="T1981" s="1201"/>
    </row>
    <row r="1982" spans="12:20">
      <c r="L1982" s="1179"/>
      <c r="M1982" s="1183"/>
      <c r="N1982" s="1183"/>
      <c r="O1982" s="1183"/>
      <c r="P1982" s="1201"/>
      <c r="Q1982" s="1201"/>
      <c r="R1982" s="1201"/>
      <c r="S1982" s="1201"/>
      <c r="T1982" s="1201"/>
    </row>
    <row r="1983" spans="12:20">
      <c r="L1983" s="1179"/>
      <c r="M1983" s="1183"/>
      <c r="N1983" s="1183"/>
      <c r="O1983" s="1183"/>
      <c r="P1983" s="1201"/>
      <c r="Q1983" s="1201"/>
      <c r="R1983" s="1201"/>
      <c r="S1983" s="1201"/>
      <c r="T1983" s="1201"/>
    </row>
    <row r="1984" spans="12:20">
      <c r="L1984" s="1179"/>
      <c r="M1984" s="1183"/>
      <c r="N1984" s="1183"/>
      <c r="O1984" s="1183"/>
      <c r="P1984" s="1201"/>
      <c r="Q1984" s="1201"/>
      <c r="R1984" s="1201"/>
      <c r="S1984" s="1201"/>
      <c r="T1984" s="1201"/>
    </row>
    <row r="1985" spans="12:20">
      <c r="L1985" s="1179"/>
      <c r="M1985" s="1183"/>
      <c r="N1985" s="1183"/>
      <c r="O1985" s="1183"/>
      <c r="P1985" s="1201"/>
      <c r="Q1985" s="1201"/>
      <c r="R1985" s="1201"/>
      <c r="S1985" s="1201"/>
      <c r="T1985" s="1201"/>
    </row>
    <row r="1986" spans="12:20">
      <c r="L1986" s="1179"/>
      <c r="M1986" s="1183"/>
      <c r="N1986" s="1183"/>
      <c r="O1986" s="1183"/>
      <c r="P1986" s="1201"/>
      <c r="Q1986" s="1201"/>
      <c r="R1986" s="1201"/>
      <c r="S1986" s="1201"/>
      <c r="T1986" s="1201"/>
    </row>
    <row r="1987" spans="12:20">
      <c r="L1987" s="1179"/>
      <c r="M1987" s="1183"/>
      <c r="N1987" s="1183"/>
      <c r="O1987" s="1183"/>
      <c r="P1987" s="1201"/>
      <c r="Q1987" s="1201"/>
      <c r="R1987" s="1201"/>
      <c r="S1987" s="1201"/>
      <c r="T1987" s="1201"/>
    </row>
    <row r="1988" spans="12:20">
      <c r="L1988" s="1179"/>
      <c r="M1988" s="1183"/>
      <c r="N1988" s="1183"/>
      <c r="O1988" s="1183"/>
      <c r="P1988" s="1201"/>
      <c r="Q1988" s="1201"/>
      <c r="R1988" s="1201"/>
      <c r="S1988" s="1201"/>
      <c r="T1988" s="1201"/>
    </row>
    <row r="1989" spans="12:20">
      <c r="L1989" s="1179"/>
      <c r="M1989" s="1183"/>
      <c r="N1989" s="1183"/>
      <c r="O1989" s="1183"/>
      <c r="P1989" s="1201"/>
      <c r="Q1989" s="1201"/>
      <c r="R1989" s="1201"/>
      <c r="S1989" s="1201"/>
      <c r="T1989" s="1201"/>
    </row>
    <row r="1990" spans="12:20">
      <c r="L1990" s="1179"/>
      <c r="M1990" s="1183"/>
      <c r="N1990" s="1183"/>
      <c r="O1990" s="1183"/>
      <c r="P1990" s="1201"/>
      <c r="Q1990" s="1201"/>
      <c r="R1990" s="1201"/>
      <c r="S1990" s="1201"/>
      <c r="T1990" s="1201"/>
    </row>
    <row r="1991" spans="12:20">
      <c r="L1991" s="1179"/>
      <c r="M1991" s="1183"/>
      <c r="N1991" s="1183"/>
      <c r="O1991" s="1183"/>
      <c r="P1991" s="1201"/>
      <c r="Q1991" s="1201"/>
      <c r="R1991" s="1201"/>
      <c r="S1991" s="1201"/>
      <c r="T1991" s="1201"/>
    </row>
    <row r="1992" spans="12:20">
      <c r="L1992" s="1179"/>
      <c r="M1992" s="1183"/>
      <c r="N1992" s="1183"/>
      <c r="O1992" s="1183"/>
      <c r="P1992" s="1201"/>
      <c r="Q1992" s="1201"/>
      <c r="R1992" s="1201"/>
      <c r="S1992" s="1201"/>
      <c r="T1992" s="1201"/>
    </row>
    <row r="1993" spans="12:20">
      <c r="L1993" s="1179"/>
      <c r="M1993" s="1183"/>
      <c r="N1993" s="1183"/>
      <c r="O1993" s="1183"/>
      <c r="P1993" s="1201"/>
      <c r="Q1993" s="1201"/>
      <c r="R1993" s="1201"/>
      <c r="S1993" s="1201"/>
      <c r="T1993" s="1201"/>
    </row>
    <row r="1994" spans="12:20">
      <c r="L1994" s="1179"/>
      <c r="M1994" s="1183"/>
      <c r="N1994" s="1183"/>
      <c r="O1994" s="1183"/>
      <c r="P1994" s="1201"/>
      <c r="Q1994" s="1201"/>
      <c r="R1994" s="1201"/>
      <c r="S1994" s="1201"/>
      <c r="T1994" s="1201"/>
    </row>
    <row r="1995" spans="12:20">
      <c r="L1995" s="1179"/>
      <c r="M1995" s="1183"/>
      <c r="N1995" s="1183"/>
      <c r="O1995" s="1183"/>
      <c r="P1995" s="1201"/>
      <c r="Q1995" s="1201"/>
      <c r="R1995" s="1201"/>
      <c r="S1995" s="1201"/>
      <c r="T1995" s="1201"/>
    </row>
    <row r="1996" spans="12:20">
      <c r="L1996" s="1179"/>
      <c r="M1996" s="1183"/>
      <c r="N1996" s="1183"/>
      <c r="O1996" s="1183"/>
      <c r="P1996" s="1201"/>
      <c r="Q1996" s="1201"/>
      <c r="R1996" s="1201"/>
      <c r="S1996" s="1201"/>
      <c r="T1996" s="1201"/>
    </row>
    <row r="1997" spans="12:20">
      <c r="L1997" s="1179"/>
      <c r="M1997" s="1183"/>
      <c r="N1997" s="1183"/>
      <c r="O1997" s="1183"/>
      <c r="P1997" s="1201"/>
      <c r="Q1997" s="1201"/>
      <c r="R1997" s="1201"/>
      <c r="S1997" s="1201"/>
      <c r="T1997" s="1201"/>
    </row>
    <row r="1998" spans="12:20">
      <c r="L1998" s="1179"/>
      <c r="M1998" s="1183"/>
      <c r="N1998" s="1183"/>
      <c r="O1998" s="1183"/>
      <c r="P1998" s="1201"/>
      <c r="Q1998" s="1201"/>
      <c r="R1998" s="1201"/>
      <c r="S1998" s="1201"/>
      <c r="T1998" s="1201"/>
    </row>
    <row r="1999" spans="12:20">
      <c r="L1999" s="1179"/>
      <c r="M1999" s="1183"/>
      <c r="N1999" s="1183"/>
      <c r="O1999" s="1183"/>
      <c r="P1999" s="1201"/>
      <c r="Q1999" s="1201"/>
      <c r="R1999" s="1201"/>
      <c r="S1999" s="1201"/>
      <c r="T1999" s="1201"/>
    </row>
    <row r="2000" spans="12:20">
      <c r="L2000" s="1179"/>
      <c r="M2000" s="1183"/>
      <c r="N2000" s="1183"/>
      <c r="O2000" s="1183"/>
      <c r="P2000" s="1201"/>
      <c r="Q2000" s="1201"/>
      <c r="R2000" s="1201"/>
      <c r="S2000" s="1201"/>
      <c r="T2000" s="1201"/>
    </row>
    <row r="2001" spans="12:20">
      <c r="L2001" s="1179"/>
      <c r="M2001" s="1183"/>
      <c r="N2001" s="1183"/>
      <c r="O2001" s="1183"/>
      <c r="P2001" s="1201"/>
      <c r="Q2001" s="1201"/>
      <c r="R2001" s="1201"/>
      <c r="S2001" s="1201"/>
      <c r="T2001" s="1201"/>
    </row>
    <row r="2002" spans="12:20">
      <c r="L2002" s="1179"/>
      <c r="M2002" s="1183"/>
      <c r="N2002" s="1183"/>
      <c r="O2002" s="1183"/>
      <c r="P2002" s="1201"/>
      <c r="Q2002" s="1201"/>
      <c r="R2002" s="1201"/>
      <c r="S2002" s="1201"/>
      <c r="T2002" s="1201"/>
    </row>
    <row r="2003" spans="12:20">
      <c r="L2003" s="1179"/>
      <c r="M2003" s="1183"/>
      <c r="N2003" s="1183"/>
      <c r="O2003" s="1183"/>
      <c r="P2003" s="1201"/>
      <c r="Q2003" s="1201"/>
      <c r="R2003" s="1201"/>
      <c r="S2003" s="1201"/>
      <c r="T2003" s="1201"/>
    </row>
    <row r="2004" spans="12:20">
      <c r="L2004" s="1179"/>
      <c r="M2004" s="1183"/>
      <c r="N2004" s="1183"/>
      <c r="O2004" s="1183"/>
      <c r="P2004" s="1201"/>
      <c r="Q2004" s="1201"/>
      <c r="R2004" s="1201"/>
      <c r="S2004" s="1201"/>
      <c r="T2004" s="1201"/>
    </row>
    <row r="2005" spans="12:20">
      <c r="L2005" s="1179"/>
      <c r="M2005" s="1183"/>
      <c r="N2005" s="1183"/>
      <c r="O2005" s="1183"/>
      <c r="P2005" s="1201"/>
      <c r="Q2005" s="1201"/>
      <c r="R2005" s="1201"/>
      <c r="S2005" s="1201"/>
      <c r="T2005" s="1201"/>
    </row>
    <row r="2006" spans="12:20">
      <c r="L2006" s="1179"/>
      <c r="M2006" s="1183"/>
      <c r="N2006" s="1183"/>
      <c r="O2006" s="1183"/>
      <c r="P2006" s="1201"/>
      <c r="Q2006" s="1201"/>
      <c r="R2006" s="1201"/>
      <c r="S2006" s="1201"/>
      <c r="T2006" s="1201"/>
    </row>
    <row r="2007" spans="12:20">
      <c r="L2007" s="1179"/>
      <c r="M2007" s="1183"/>
      <c r="N2007" s="1183"/>
      <c r="O2007" s="1183"/>
      <c r="P2007" s="1201"/>
      <c r="Q2007" s="1201"/>
      <c r="R2007" s="1201"/>
      <c r="S2007" s="1201"/>
      <c r="T2007" s="1201"/>
    </row>
    <row r="2008" spans="12:20">
      <c r="L2008" s="1179"/>
      <c r="M2008" s="1183"/>
      <c r="N2008" s="1183"/>
      <c r="O2008" s="1183"/>
      <c r="P2008" s="1201"/>
      <c r="Q2008" s="1201"/>
      <c r="R2008" s="1201"/>
      <c r="S2008" s="1201"/>
      <c r="T2008" s="1201"/>
    </row>
    <row r="2009" spans="12:20">
      <c r="L2009" s="1179"/>
      <c r="M2009" s="1183"/>
      <c r="N2009" s="1183"/>
      <c r="O2009" s="1183"/>
      <c r="P2009" s="1201"/>
      <c r="Q2009" s="1201"/>
      <c r="R2009" s="1201"/>
      <c r="S2009" s="1201"/>
      <c r="T2009" s="1201"/>
    </row>
    <row r="2010" spans="12:20">
      <c r="L2010" s="1179"/>
      <c r="M2010" s="1183"/>
      <c r="N2010" s="1183"/>
      <c r="O2010" s="1183"/>
      <c r="P2010" s="1201"/>
      <c r="Q2010" s="1201"/>
      <c r="R2010" s="1201"/>
      <c r="S2010" s="1201"/>
      <c r="T2010" s="1201"/>
    </row>
    <row r="2011" spans="12:20">
      <c r="L2011" s="1179"/>
      <c r="M2011" s="1183"/>
      <c r="N2011" s="1183"/>
      <c r="O2011" s="1183"/>
      <c r="P2011" s="1201"/>
      <c r="Q2011" s="1201"/>
      <c r="R2011" s="1201"/>
      <c r="S2011" s="1201"/>
      <c r="T2011" s="1201"/>
    </row>
    <row r="2012" spans="12:20">
      <c r="L2012" s="1179"/>
      <c r="M2012" s="1183"/>
      <c r="N2012" s="1183"/>
      <c r="O2012" s="1183"/>
      <c r="P2012" s="1201"/>
      <c r="Q2012" s="1201"/>
      <c r="R2012" s="1201"/>
      <c r="S2012" s="1201"/>
      <c r="T2012" s="1201"/>
    </row>
    <row r="2013" spans="12:20">
      <c r="L2013" s="1179"/>
      <c r="M2013" s="1183"/>
      <c r="N2013" s="1183"/>
      <c r="O2013" s="1183"/>
      <c r="P2013" s="1201"/>
      <c r="Q2013" s="1201"/>
      <c r="R2013" s="1201"/>
      <c r="S2013" s="1201"/>
      <c r="T2013" s="1201"/>
    </row>
    <row r="2014" spans="12:20">
      <c r="L2014" s="1179"/>
      <c r="M2014" s="1183"/>
      <c r="N2014" s="1183"/>
      <c r="O2014" s="1183"/>
      <c r="P2014" s="1201"/>
      <c r="Q2014" s="1201"/>
      <c r="R2014" s="1201"/>
      <c r="S2014" s="1201"/>
      <c r="T2014" s="1201"/>
    </row>
    <row r="2015" spans="12:20">
      <c r="L2015" s="1179"/>
      <c r="M2015" s="1183"/>
      <c r="N2015" s="1183"/>
      <c r="O2015" s="1183"/>
      <c r="P2015" s="1201"/>
      <c r="Q2015" s="1201"/>
      <c r="R2015" s="1201"/>
      <c r="S2015" s="1201"/>
      <c r="T2015" s="1201"/>
    </row>
    <row r="2016" spans="12:20">
      <c r="L2016" s="1179"/>
      <c r="M2016" s="1183"/>
      <c r="N2016" s="1183"/>
      <c r="O2016" s="1183"/>
      <c r="P2016" s="1201"/>
      <c r="Q2016" s="1201"/>
      <c r="R2016" s="1201"/>
      <c r="S2016" s="1201"/>
      <c r="T2016" s="1201"/>
    </row>
    <row r="2017" spans="12:20">
      <c r="L2017" s="1179"/>
      <c r="M2017" s="1183"/>
      <c r="N2017" s="1183"/>
      <c r="O2017" s="1183"/>
      <c r="P2017" s="1201"/>
      <c r="Q2017" s="1201"/>
      <c r="R2017" s="1201"/>
      <c r="S2017" s="1201"/>
      <c r="T2017" s="1201"/>
    </row>
    <row r="2018" spans="12:20">
      <c r="L2018" s="1179"/>
      <c r="M2018" s="1183"/>
      <c r="N2018" s="1183"/>
      <c r="O2018" s="1183"/>
      <c r="P2018" s="1201"/>
      <c r="Q2018" s="1201"/>
      <c r="R2018" s="1201"/>
      <c r="S2018" s="1201"/>
      <c r="T2018" s="1201"/>
    </row>
    <row r="2019" spans="12:20">
      <c r="L2019" s="1179"/>
      <c r="M2019" s="1183"/>
      <c r="N2019" s="1183"/>
      <c r="O2019" s="1183"/>
      <c r="P2019" s="1201"/>
      <c r="Q2019" s="1201"/>
      <c r="R2019" s="1201"/>
      <c r="S2019" s="1201"/>
      <c r="T2019" s="1201"/>
    </row>
    <row r="2020" spans="12:20">
      <c r="L2020" s="1179"/>
      <c r="M2020" s="1183"/>
      <c r="N2020" s="1183"/>
      <c r="O2020" s="1183"/>
      <c r="P2020" s="1201"/>
      <c r="Q2020" s="1201"/>
      <c r="R2020" s="1201"/>
      <c r="S2020" s="1201"/>
      <c r="T2020" s="1201"/>
    </row>
    <row r="2021" spans="12:20">
      <c r="L2021" s="1179"/>
      <c r="M2021" s="1183"/>
      <c r="N2021" s="1183"/>
      <c r="O2021" s="1183"/>
      <c r="P2021" s="1201"/>
      <c r="Q2021" s="1201"/>
      <c r="R2021" s="1201"/>
      <c r="S2021" s="1201"/>
      <c r="T2021" s="1201"/>
    </row>
    <row r="2022" spans="12:20">
      <c r="L2022" s="1179"/>
      <c r="M2022" s="1183"/>
      <c r="N2022" s="1183"/>
      <c r="O2022" s="1183"/>
      <c r="P2022" s="1201"/>
      <c r="Q2022" s="1201"/>
      <c r="R2022" s="1201"/>
      <c r="S2022" s="1201"/>
      <c r="T2022" s="1201"/>
    </row>
    <row r="2023" spans="12:20">
      <c r="L2023" s="1179"/>
      <c r="M2023" s="1183"/>
      <c r="N2023" s="1183"/>
      <c r="O2023" s="1183"/>
      <c r="P2023" s="1201"/>
      <c r="Q2023" s="1201"/>
      <c r="R2023" s="1201"/>
      <c r="S2023" s="1201"/>
      <c r="T2023" s="1201"/>
    </row>
    <row r="2024" spans="12:20">
      <c r="L2024" s="1179"/>
      <c r="M2024" s="1183"/>
      <c r="N2024" s="1183"/>
      <c r="O2024" s="1183"/>
      <c r="P2024" s="1201"/>
      <c r="Q2024" s="1201"/>
      <c r="R2024" s="1201"/>
      <c r="S2024" s="1201"/>
      <c r="T2024" s="1201"/>
    </row>
    <row r="2025" spans="12:20">
      <c r="L2025" s="1179"/>
      <c r="M2025" s="1183"/>
      <c r="N2025" s="1183"/>
      <c r="O2025" s="1183"/>
      <c r="P2025" s="1201"/>
      <c r="Q2025" s="1201"/>
      <c r="R2025" s="1201"/>
      <c r="S2025" s="1201"/>
      <c r="T2025" s="1201"/>
    </row>
    <row r="2026" spans="12:20">
      <c r="L2026" s="1179"/>
      <c r="M2026" s="1183"/>
      <c r="N2026" s="1183"/>
      <c r="O2026" s="1183"/>
      <c r="P2026" s="1201"/>
      <c r="Q2026" s="1201"/>
      <c r="R2026" s="1201"/>
      <c r="S2026" s="1201"/>
      <c r="T2026" s="1201"/>
    </row>
    <row r="2027" spans="12:20">
      <c r="L2027" s="1179"/>
      <c r="M2027" s="1183"/>
      <c r="N2027" s="1183"/>
      <c r="O2027" s="1183"/>
      <c r="P2027" s="1201"/>
      <c r="Q2027" s="1201"/>
      <c r="R2027" s="1201"/>
      <c r="S2027" s="1201"/>
      <c r="T2027" s="1201"/>
    </row>
    <row r="2028" spans="12:20">
      <c r="L2028" s="1179"/>
      <c r="M2028" s="1183"/>
      <c r="N2028" s="1183"/>
      <c r="O2028" s="1183"/>
      <c r="P2028" s="1201"/>
      <c r="Q2028" s="1201"/>
      <c r="R2028" s="1201"/>
      <c r="S2028" s="1201"/>
      <c r="T2028" s="1201"/>
    </row>
    <row r="2029" spans="12:20">
      <c r="L2029" s="1179"/>
      <c r="M2029" s="1183"/>
      <c r="N2029" s="1183"/>
      <c r="O2029" s="1183"/>
      <c r="P2029" s="1201"/>
      <c r="Q2029" s="1201"/>
      <c r="R2029" s="1201"/>
      <c r="S2029" s="1201"/>
      <c r="T2029" s="1201"/>
    </row>
    <row r="2030" spans="12:20">
      <c r="L2030" s="1179"/>
      <c r="M2030" s="1183"/>
      <c r="N2030" s="1183"/>
      <c r="O2030" s="1183"/>
      <c r="P2030" s="1201"/>
      <c r="Q2030" s="1201"/>
      <c r="R2030" s="1201"/>
      <c r="S2030" s="1201"/>
      <c r="T2030" s="1201"/>
    </row>
    <row r="2031" spans="12:20">
      <c r="L2031" s="1179"/>
      <c r="M2031" s="1183"/>
      <c r="N2031" s="1183"/>
      <c r="O2031" s="1183"/>
      <c r="P2031" s="1201"/>
      <c r="Q2031" s="1201"/>
      <c r="R2031" s="1201"/>
      <c r="S2031" s="1201"/>
      <c r="T2031" s="1201"/>
    </row>
    <row r="2032" spans="12:20">
      <c r="L2032" s="1179"/>
      <c r="M2032" s="1183"/>
      <c r="N2032" s="1183"/>
      <c r="O2032" s="1183"/>
      <c r="P2032" s="1201"/>
      <c r="Q2032" s="1201"/>
      <c r="R2032" s="1201"/>
      <c r="S2032" s="1201"/>
      <c r="T2032" s="1201"/>
    </row>
    <row r="2033" spans="12:20">
      <c r="L2033" s="1179"/>
      <c r="M2033" s="1183"/>
      <c r="N2033" s="1183"/>
      <c r="O2033" s="1183"/>
      <c r="P2033" s="1201"/>
      <c r="Q2033" s="1201"/>
      <c r="R2033" s="1201"/>
      <c r="S2033" s="1201"/>
      <c r="T2033" s="1201"/>
    </row>
    <row r="2034" spans="12:20">
      <c r="L2034" s="1179"/>
      <c r="M2034" s="1183"/>
      <c r="N2034" s="1183"/>
      <c r="O2034" s="1183"/>
      <c r="P2034" s="1201"/>
      <c r="Q2034" s="1201"/>
      <c r="R2034" s="1201"/>
      <c r="S2034" s="1201"/>
      <c r="T2034" s="1201"/>
    </row>
    <row r="2035" spans="12:20">
      <c r="L2035" s="1179"/>
      <c r="M2035" s="1183"/>
      <c r="N2035" s="1183"/>
      <c r="O2035" s="1183"/>
      <c r="P2035" s="1201"/>
      <c r="Q2035" s="1201"/>
      <c r="R2035" s="1201"/>
      <c r="S2035" s="1201"/>
      <c r="T2035" s="1201"/>
    </row>
    <row r="2036" spans="12:20">
      <c r="L2036" s="1179"/>
      <c r="M2036" s="1183"/>
      <c r="N2036" s="1183"/>
      <c r="O2036" s="1183"/>
      <c r="P2036" s="1201"/>
      <c r="Q2036" s="1201"/>
      <c r="R2036" s="1201"/>
      <c r="S2036" s="1201"/>
      <c r="T2036" s="1201"/>
    </row>
    <row r="2037" spans="12:20">
      <c r="L2037" s="1179"/>
      <c r="M2037" s="1183"/>
      <c r="N2037" s="1183"/>
      <c r="O2037" s="1183"/>
      <c r="P2037" s="1201"/>
      <c r="Q2037" s="1201"/>
      <c r="R2037" s="1201"/>
      <c r="S2037" s="1201"/>
      <c r="T2037" s="1201"/>
    </row>
    <row r="2038" spans="12:20">
      <c r="L2038" s="1179"/>
      <c r="M2038" s="1183"/>
      <c r="N2038" s="1183"/>
      <c r="O2038" s="1183"/>
      <c r="P2038" s="1201"/>
      <c r="Q2038" s="1201"/>
      <c r="R2038" s="1201"/>
      <c r="S2038" s="1201"/>
      <c r="T2038" s="1201"/>
    </row>
    <row r="2039" spans="12:20">
      <c r="L2039" s="1179"/>
      <c r="M2039" s="1183"/>
      <c r="N2039" s="1183"/>
      <c r="O2039" s="1183"/>
      <c r="P2039" s="1201"/>
      <c r="Q2039" s="1201"/>
      <c r="R2039" s="1201"/>
      <c r="S2039" s="1201"/>
      <c r="T2039" s="1201"/>
    </row>
    <row r="2040" spans="12:20">
      <c r="L2040" s="1179"/>
      <c r="M2040" s="1183"/>
      <c r="N2040" s="1183"/>
      <c r="O2040" s="1183"/>
      <c r="P2040" s="1201"/>
      <c r="Q2040" s="1201"/>
      <c r="R2040" s="1201"/>
      <c r="S2040" s="1201"/>
      <c r="T2040" s="1201"/>
    </row>
    <row r="2041" spans="12:20">
      <c r="L2041" s="1179"/>
      <c r="M2041" s="1183"/>
      <c r="N2041" s="1183"/>
      <c r="O2041" s="1183"/>
      <c r="P2041" s="1201"/>
      <c r="Q2041" s="1201"/>
      <c r="R2041" s="1201"/>
      <c r="S2041" s="1201"/>
      <c r="T2041" s="1201"/>
    </row>
    <row r="2042" spans="12:20">
      <c r="L2042" s="1179"/>
      <c r="M2042" s="1183"/>
      <c r="N2042" s="1183"/>
      <c r="O2042" s="1183"/>
      <c r="P2042" s="1201"/>
      <c r="Q2042" s="1201"/>
      <c r="R2042" s="1201"/>
      <c r="S2042" s="1201"/>
      <c r="T2042" s="1201"/>
    </row>
    <row r="2043" spans="12:20">
      <c r="L2043" s="1179"/>
      <c r="M2043" s="1183"/>
      <c r="N2043" s="1183"/>
      <c r="O2043" s="1183"/>
      <c r="P2043" s="1201"/>
      <c r="Q2043" s="1201"/>
      <c r="R2043" s="1201"/>
      <c r="S2043" s="1201"/>
      <c r="T2043" s="1201"/>
    </row>
    <row r="2044" spans="12:20">
      <c r="L2044" s="1179"/>
      <c r="M2044" s="1183"/>
      <c r="N2044" s="1183"/>
      <c r="O2044" s="1183"/>
      <c r="P2044" s="1201"/>
      <c r="Q2044" s="1201"/>
      <c r="R2044" s="1201"/>
      <c r="S2044" s="1201"/>
      <c r="T2044" s="1201"/>
    </row>
    <row r="2045" spans="12:20">
      <c r="L2045" s="1179"/>
      <c r="M2045" s="1183"/>
      <c r="N2045" s="1183"/>
      <c r="O2045" s="1183"/>
      <c r="P2045" s="1201"/>
      <c r="Q2045" s="1201"/>
      <c r="R2045" s="1201"/>
      <c r="S2045" s="1201"/>
      <c r="T2045" s="1201"/>
    </row>
    <row r="2046" spans="12:20">
      <c r="L2046" s="1179"/>
      <c r="M2046" s="1183"/>
      <c r="N2046" s="1183"/>
      <c r="O2046" s="1183"/>
      <c r="P2046" s="1201"/>
      <c r="Q2046" s="1201"/>
      <c r="R2046" s="1201"/>
      <c r="S2046" s="1201"/>
      <c r="T2046" s="1201"/>
    </row>
    <row r="2047" spans="12:20">
      <c r="L2047" s="1179"/>
      <c r="M2047" s="1183"/>
      <c r="N2047" s="1183"/>
      <c r="O2047" s="1183"/>
      <c r="P2047" s="1201"/>
      <c r="Q2047" s="1201"/>
      <c r="R2047" s="1201"/>
      <c r="S2047" s="1201"/>
      <c r="T2047" s="1201"/>
    </row>
    <row r="2048" spans="12:20">
      <c r="L2048" s="1179"/>
      <c r="M2048" s="1183"/>
      <c r="N2048" s="1183"/>
      <c r="O2048" s="1183"/>
      <c r="P2048" s="1201"/>
      <c r="Q2048" s="1201"/>
      <c r="R2048" s="1201"/>
      <c r="S2048" s="1201"/>
      <c r="T2048" s="1201"/>
    </row>
    <row r="2049" spans="12:20">
      <c r="L2049" s="1179"/>
      <c r="M2049" s="1183"/>
      <c r="N2049" s="1183"/>
      <c r="O2049" s="1183"/>
      <c r="P2049" s="1201"/>
      <c r="Q2049" s="1201"/>
      <c r="R2049" s="1201"/>
      <c r="S2049" s="1201"/>
      <c r="T2049" s="1201"/>
    </row>
    <row r="2050" spans="12:20">
      <c r="L2050" s="1179"/>
      <c r="M2050" s="1183"/>
      <c r="N2050" s="1183"/>
      <c r="O2050" s="1183"/>
      <c r="P2050" s="1201"/>
      <c r="Q2050" s="1201"/>
      <c r="R2050" s="1201"/>
      <c r="S2050" s="1201"/>
      <c r="T2050" s="1201"/>
    </row>
    <row r="2051" spans="12:20">
      <c r="L2051" s="1179"/>
      <c r="M2051" s="1183"/>
      <c r="N2051" s="1183"/>
      <c r="O2051" s="1183"/>
      <c r="P2051" s="1201"/>
      <c r="Q2051" s="1201"/>
      <c r="R2051" s="1201"/>
      <c r="S2051" s="1201"/>
      <c r="T2051" s="1201"/>
    </row>
    <row r="2052" spans="12:20">
      <c r="L2052" s="1179"/>
      <c r="M2052" s="1183"/>
      <c r="N2052" s="1183"/>
      <c r="O2052" s="1183"/>
      <c r="P2052" s="1201"/>
      <c r="Q2052" s="1201"/>
      <c r="R2052" s="1201"/>
      <c r="S2052" s="1201"/>
      <c r="T2052" s="1201"/>
    </row>
    <row r="2053" spans="12:20">
      <c r="L2053" s="1179"/>
      <c r="M2053" s="1183"/>
      <c r="N2053" s="1183"/>
      <c r="O2053" s="1183"/>
      <c r="P2053" s="1201"/>
      <c r="Q2053" s="1201"/>
      <c r="R2053" s="1201"/>
      <c r="S2053" s="1201"/>
      <c r="T2053" s="1201"/>
    </row>
    <row r="2054" spans="12:20">
      <c r="L2054" s="1179"/>
      <c r="M2054" s="1183"/>
      <c r="N2054" s="1183"/>
      <c r="O2054" s="1183"/>
      <c r="P2054" s="1201"/>
      <c r="Q2054" s="1201"/>
      <c r="R2054" s="1201"/>
      <c r="S2054" s="1201"/>
      <c r="T2054" s="1201"/>
    </row>
    <row r="2055" spans="12:20">
      <c r="L2055" s="1179"/>
      <c r="M2055" s="1183"/>
      <c r="N2055" s="1183"/>
      <c r="O2055" s="1183"/>
      <c r="P2055" s="1201"/>
      <c r="Q2055" s="1201"/>
      <c r="R2055" s="1201"/>
      <c r="S2055" s="1201"/>
      <c r="T2055" s="1201"/>
    </row>
    <row r="2056" spans="12:20">
      <c r="L2056" s="1179"/>
      <c r="M2056" s="1183"/>
      <c r="N2056" s="1183"/>
      <c r="O2056" s="1183"/>
      <c r="P2056" s="1201"/>
      <c r="Q2056" s="1201"/>
      <c r="R2056" s="1201"/>
      <c r="S2056" s="1201"/>
      <c r="T2056" s="1201"/>
    </row>
    <row r="2057" spans="12:20">
      <c r="L2057" s="1179"/>
      <c r="M2057" s="1183"/>
      <c r="N2057" s="1183"/>
      <c r="O2057" s="1183"/>
      <c r="P2057" s="1201"/>
      <c r="Q2057" s="1201"/>
      <c r="R2057" s="1201"/>
      <c r="S2057" s="1201"/>
      <c r="T2057" s="1201"/>
    </row>
    <row r="2058" spans="12:20">
      <c r="L2058" s="1179"/>
      <c r="M2058" s="1183"/>
      <c r="N2058" s="1183"/>
      <c r="O2058" s="1183"/>
      <c r="P2058" s="1201"/>
      <c r="Q2058" s="1201"/>
      <c r="R2058" s="1201"/>
      <c r="S2058" s="1201"/>
      <c r="T2058" s="1201"/>
    </row>
    <row r="2059" spans="12:20">
      <c r="L2059" s="1179"/>
      <c r="M2059" s="1183"/>
      <c r="N2059" s="1183"/>
      <c r="O2059" s="1183"/>
      <c r="P2059" s="1201"/>
      <c r="Q2059" s="1201"/>
      <c r="R2059" s="1201"/>
      <c r="S2059" s="1201"/>
      <c r="T2059" s="1201"/>
    </row>
    <row r="2060" spans="12:20">
      <c r="L2060" s="1179"/>
      <c r="M2060" s="1183"/>
      <c r="N2060" s="1183"/>
      <c r="O2060" s="1183"/>
      <c r="P2060" s="1201"/>
      <c r="Q2060" s="1201"/>
      <c r="R2060" s="1201"/>
      <c r="S2060" s="1201"/>
      <c r="T2060" s="1201"/>
    </row>
    <row r="2061" spans="12:20">
      <c r="L2061" s="1179"/>
      <c r="M2061" s="1183"/>
      <c r="N2061" s="1183"/>
      <c r="O2061" s="1183"/>
      <c r="P2061" s="1201"/>
      <c r="Q2061" s="1201"/>
      <c r="R2061" s="1201"/>
      <c r="S2061" s="1201"/>
      <c r="T2061" s="1201"/>
    </row>
    <row r="2062" spans="12:20">
      <c r="L2062" s="1179"/>
      <c r="M2062" s="1183"/>
      <c r="N2062" s="1183"/>
      <c r="O2062" s="1183"/>
      <c r="P2062" s="1201"/>
      <c r="Q2062" s="1201"/>
      <c r="R2062" s="1201"/>
      <c r="S2062" s="1201"/>
      <c r="T2062" s="1201"/>
    </row>
    <row r="2063" spans="12:20">
      <c r="L2063" s="1179"/>
      <c r="M2063" s="1183"/>
      <c r="N2063" s="1183"/>
      <c r="O2063" s="1183"/>
      <c r="P2063" s="1201"/>
      <c r="Q2063" s="1201"/>
      <c r="R2063" s="1201"/>
      <c r="S2063" s="1201"/>
      <c r="T2063" s="1201"/>
    </row>
    <row r="2064" spans="12:20">
      <c r="L2064" s="1179"/>
      <c r="M2064" s="1183"/>
      <c r="N2064" s="1183"/>
      <c r="O2064" s="1183"/>
      <c r="P2064" s="1201"/>
      <c r="Q2064" s="1201"/>
      <c r="R2064" s="1201"/>
      <c r="S2064" s="1201"/>
      <c r="T2064" s="1201"/>
    </row>
    <row r="2065" spans="12:20">
      <c r="L2065" s="1179"/>
      <c r="M2065" s="1183"/>
      <c r="N2065" s="1183"/>
      <c r="O2065" s="1183"/>
      <c r="P2065" s="1201"/>
      <c r="Q2065" s="1201"/>
      <c r="R2065" s="1201"/>
      <c r="S2065" s="1201"/>
      <c r="T2065" s="1201"/>
    </row>
    <row r="2066" spans="12:20">
      <c r="L2066" s="1179"/>
      <c r="M2066" s="1183"/>
      <c r="N2066" s="1183"/>
      <c r="O2066" s="1183"/>
      <c r="P2066" s="1201"/>
      <c r="Q2066" s="1201"/>
      <c r="R2066" s="1201"/>
      <c r="S2066" s="1201"/>
      <c r="T2066" s="1201"/>
    </row>
    <row r="2067" spans="12:20">
      <c r="L2067" s="1179"/>
      <c r="M2067" s="1183"/>
      <c r="N2067" s="1183"/>
      <c r="O2067" s="1183"/>
      <c r="P2067" s="1201"/>
      <c r="Q2067" s="1201"/>
      <c r="R2067" s="1201"/>
      <c r="S2067" s="1201"/>
      <c r="T2067" s="1201"/>
    </row>
    <row r="2068" spans="12:20">
      <c r="L2068" s="1179"/>
      <c r="M2068" s="1183"/>
      <c r="N2068" s="1183"/>
      <c r="O2068" s="1183"/>
      <c r="P2068" s="1201"/>
      <c r="Q2068" s="1201"/>
      <c r="R2068" s="1201"/>
      <c r="S2068" s="1201"/>
      <c r="T2068" s="1201"/>
    </row>
    <row r="2069" spans="12:20">
      <c r="L2069" s="1179"/>
      <c r="M2069" s="1183"/>
      <c r="N2069" s="1183"/>
      <c r="O2069" s="1183"/>
      <c r="P2069" s="1201"/>
      <c r="Q2069" s="1201"/>
      <c r="R2069" s="1201"/>
      <c r="S2069" s="1201"/>
      <c r="T2069" s="1201"/>
    </row>
    <row r="2070" spans="12:20">
      <c r="L2070" s="1179"/>
      <c r="M2070" s="1183"/>
      <c r="N2070" s="1183"/>
      <c r="O2070" s="1183"/>
      <c r="P2070" s="1201"/>
      <c r="Q2070" s="1201"/>
      <c r="R2070" s="1201"/>
      <c r="S2070" s="1201"/>
      <c r="T2070" s="1201"/>
    </row>
    <row r="2071" spans="12:20">
      <c r="L2071" s="1179"/>
      <c r="M2071" s="1183"/>
      <c r="N2071" s="1183"/>
      <c r="O2071" s="1183"/>
      <c r="P2071" s="1201"/>
      <c r="Q2071" s="1201"/>
      <c r="R2071" s="1201"/>
      <c r="S2071" s="1201"/>
      <c r="T2071" s="1201"/>
    </row>
    <row r="2072" spans="12:20">
      <c r="L2072" s="1179"/>
      <c r="M2072" s="1183"/>
      <c r="N2072" s="1183"/>
      <c r="O2072" s="1183"/>
      <c r="P2072" s="1201"/>
      <c r="Q2072" s="1201"/>
      <c r="R2072" s="1201"/>
      <c r="S2072" s="1201"/>
      <c r="T2072" s="1201"/>
    </row>
    <row r="2073" spans="12:20">
      <c r="L2073" s="1179"/>
      <c r="M2073" s="1183"/>
      <c r="N2073" s="1183"/>
      <c r="O2073" s="1183"/>
      <c r="P2073" s="1201"/>
      <c r="Q2073" s="1201"/>
      <c r="R2073" s="1201"/>
      <c r="S2073" s="1201"/>
      <c r="T2073" s="1201"/>
    </row>
    <row r="2074" spans="12:20">
      <c r="L2074" s="1179"/>
      <c r="M2074" s="1183"/>
      <c r="N2074" s="1183"/>
      <c r="O2074" s="1183"/>
      <c r="P2074" s="1201"/>
      <c r="Q2074" s="1201"/>
      <c r="R2074" s="1201"/>
      <c r="S2074" s="1201"/>
      <c r="T2074" s="1201"/>
    </row>
    <row r="2075" spans="12:20">
      <c r="L2075" s="1179"/>
      <c r="M2075" s="1183"/>
      <c r="N2075" s="1183"/>
      <c r="O2075" s="1183"/>
      <c r="P2075" s="1201"/>
      <c r="Q2075" s="1201"/>
      <c r="R2075" s="1201"/>
      <c r="S2075" s="1201"/>
      <c r="T2075" s="1201"/>
    </row>
    <row r="2076" spans="12:20">
      <c r="L2076" s="1179"/>
      <c r="M2076" s="1183"/>
      <c r="N2076" s="1183"/>
      <c r="O2076" s="1183"/>
      <c r="P2076" s="1201"/>
      <c r="Q2076" s="1201"/>
      <c r="R2076" s="1201"/>
      <c r="S2076" s="1201"/>
      <c r="T2076" s="1201"/>
    </row>
    <row r="2077" spans="12:20">
      <c r="L2077" s="1179"/>
      <c r="M2077" s="1183"/>
      <c r="N2077" s="1183"/>
      <c r="O2077" s="1183"/>
      <c r="P2077" s="1201"/>
      <c r="Q2077" s="1201"/>
      <c r="R2077" s="1201"/>
      <c r="S2077" s="1201"/>
      <c r="T2077" s="1201"/>
    </row>
    <row r="2078" spans="12:20">
      <c r="L2078" s="1179"/>
      <c r="M2078" s="1183"/>
      <c r="N2078" s="1183"/>
      <c r="O2078" s="1183"/>
      <c r="P2078" s="1201"/>
      <c r="Q2078" s="1201"/>
      <c r="R2078" s="1201"/>
      <c r="S2078" s="1201"/>
      <c r="T2078" s="1201"/>
    </row>
    <row r="2079" spans="12:20">
      <c r="L2079" s="1179"/>
      <c r="M2079" s="1183"/>
      <c r="N2079" s="1183"/>
      <c r="O2079" s="1183"/>
      <c r="P2079" s="1201"/>
      <c r="Q2079" s="1201"/>
      <c r="R2079" s="1201"/>
      <c r="S2079" s="1201"/>
      <c r="T2079" s="1201"/>
    </row>
    <row r="2080" spans="12:20">
      <c r="L2080" s="1179"/>
      <c r="M2080" s="1183"/>
      <c r="N2080" s="1183"/>
      <c r="O2080" s="1183"/>
      <c r="P2080" s="1201"/>
      <c r="Q2080" s="1201"/>
      <c r="R2080" s="1201"/>
      <c r="S2080" s="1201"/>
      <c r="T2080" s="1201"/>
    </row>
    <row r="2081" spans="12:20">
      <c r="L2081" s="1179"/>
      <c r="M2081" s="1183"/>
      <c r="N2081" s="1183"/>
      <c r="O2081" s="1183"/>
      <c r="P2081" s="1201"/>
      <c r="Q2081" s="1201"/>
      <c r="R2081" s="1201"/>
      <c r="S2081" s="1201"/>
      <c r="T2081" s="1201"/>
    </row>
    <row r="2082" spans="12:20">
      <c r="L2082" s="1179"/>
      <c r="M2082" s="1183"/>
      <c r="N2082" s="1183"/>
      <c r="O2082" s="1183"/>
      <c r="P2082" s="1201"/>
      <c r="Q2082" s="1201"/>
      <c r="R2082" s="1201"/>
      <c r="S2082" s="1201"/>
      <c r="T2082" s="1201"/>
    </row>
    <row r="2083" spans="12:20">
      <c r="L2083" s="1179"/>
      <c r="M2083" s="1183"/>
      <c r="N2083" s="1183"/>
      <c r="O2083" s="1183"/>
      <c r="P2083" s="1201"/>
      <c r="Q2083" s="1201"/>
      <c r="R2083" s="1201"/>
      <c r="S2083" s="1201"/>
      <c r="T2083" s="1201"/>
    </row>
    <row r="2084" spans="12:20">
      <c r="L2084" s="1179"/>
      <c r="M2084" s="1183"/>
      <c r="N2084" s="1183"/>
      <c r="O2084" s="1183"/>
      <c r="P2084" s="1201"/>
      <c r="Q2084" s="1201"/>
      <c r="R2084" s="1201"/>
      <c r="S2084" s="1201"/>
      <c r="T2084" s="1201"/>
    </row>
    <row r="2085" spans="12:20">
      <c r="L2085" s="1179"/>
      <c r="M2085" s="1183"/>
      <c r="N2085" s="1183"/>
      <c r="O2085" s="1183"/>
      <c r="P2085" s="1201"/>
      <c r="Q2085" s="1201"/>
      <c r="R2085" s="1201"/>
      <c r="S2085" s="1201"/>
      <c r="T2085" s="1201"/>
    </row>
    <row r="2086" spans="12:20">
      <c r="L2086" s="1179"/>
      <c r="M2086" s="1183"/>
      <c r="N2086" s="1183"/>
      <c r="O2086" s="1183"/>
      <c r="P2086" s="1201"/>
      <c r="Q2086" s="1201"/>
      <c r="R2086" s="1201"/>
      <c r="S2086" s="1201"/>
      <c r="T2086" s="1201"/>
    </row>
    <row r="2087" spans="12:20">
      <c r="L2087" s="1179"/>
      <c r="M2087" s="1183"/>
      <c r="N2087" s="1183"/>
      <c r="O2087" s="1183"/>
      <c r="P2087" s="1201"/>
      <c r="Q2087" s="1201"/>
      <c r="R2087" s="1201"/>
      <c r="S2087" s="1201"/>
      <c r="T2087" s="1201"/>
    </row>
    <row r="2088" spans="12:20">
      <c r="L2088" s="1179"/>
      <c r="M2088" s="1183"/>
      <c r="N2088" s="1183"/>
      <c r="O2088" s="1183"/>
      <c r="P2088" s="1201"/>
      <c r="Q2088" s="1201"/>
      <c r="R2088" s="1201"/>
      <c r="S2088" s="1201"/>
      <c r="T2088" s="1201"/>
    </row>
    <row r="2089" spans="12:20">
      <c r="L2089" s="1179"/>
      <c r="M2089" s="1183"/>
      <c r="N2089" s="1183"/>
      <c r="O2089" s="1183"/>
      <c r="P2089" s="1201"/>
      <c r="Q2089" s="1201"/>
      <c r="R2089" s="1201"/>
      <c r="S2089" s="1201"/>
      <c r="T2089" s="1201"/>
    </row>
    <row r="2090" spans="12:20">
      <c r="L2090" s="1179"/>
      <c r="M2090" s="1183"/>
      <c r="N2090" s="1183"/>
      <c r="O2090" s="1183"/>
      <c r="P2090" s="1201"/>
      <c r="Q2090" s="1201"/>
      <c r="R2090" s="1201"/>
      <c r="S2090" s="1201"/>
      <c r="T2090" s="1201"/>
    </row>
    <row r="2091" spans="12:20">
      <c r="L2091" s="1179"/>
      <c r="M2091" s="1183"/>
      <c r="N2091" s="1183"/>
      <c r="O2091" s="1183"/>
      <c r="P2091" s="1201"/>
      <c r="Q2091" s="1201"/>
      <c r="R2091" s="1201"/>
      <c r="S2091" s="1201"/>
      <c r="T2091" s="1201"/>
    </row>
    <row r="2092" spans="12:20">
      <c r="L2092" s="1179"/>
      <c r="M2092" s="1183"/>
      <c r="N2092" s="1183"/>
      <c r="O2092" s="1183"/>
      <c r="P2092" s="1201"/>
      <c r="Q2092" s="1201"/>
      <c r="R2092" s="1201"/>
      <c r="S2092" s="1201"/>
      <c r="T2092" s="1201"/>
    </row>
    <row r="2093" spans="12:20">
      <c r="L2093" s="1179"/>
      <c r="M2093" s="1183"/>
      <c r="N2093" s="1183"/>
      <c r="O2093" s="1183"/>
      <c r="P2093" s="1201"/>
      <c r="Q2093" s="1201"/>
      <c r="R2093" s="1201"/>
      <c r="S2093" s="1201"/>
      <c r="T2093" s="1201"/>
    </row>
    <row r="2094" spans="12:20">
      <c r="L2094" s="1179"/>
      <c r="M2094" s="1183"/>
      <c r="N2094" s="1183"/>
      <c r="O2094" s="1183"/>
      <c r="P2094" s="1201"/>
      <c r="Q2094" s="1201"/>
      <c r="R2094" s="1201"/>
      <c r="S2094" s="1201"/>
      <c r="T2094" s="1201"/>
    </row>
    <row r="2095" spans="12:20">
      <c r="L2095" s="1179"/>
      <c r="M2095" s="1183"/>
      <c r="N2095" s="1183"/>
      <c r="O2095" s="1183"/>
      <c r="P2095" s="1201"/>
      <c r="Q2095" s="1201"/>
      <c r="R2095" s="1201"/>
      <c r="S2095" s="1201"/>
      <c r="T2095" s="1201"/>
    </row>
    <row r="2096" spans="12:20">
      <c r="L2096" s="1179"/>
      <c r="M2096" s="1183"/>
      <c r="N2096" s="1183"/>
      <c r="O2096" s="1183"/>
      <c r="P2096" s="1201"/>
      <c r="Q2096" s="1201"/>
      <c r="R2096" s="1201"/>
      <c r="S2096" s="1201"/>
      <c r="T2096" s="1201"/>
    </row>
    <row r="2097" spans="12:20">
      <c r="L2097" s="1179"/>
      <c r="M2097" s="1183"/>
      <c r="N2097" s="1183"/>
      <c r="O2097" s="1183"/>
      <c r="P2097" s="1201"/>
      <c r="Q2097" s="1201"/>
      <c r="R2097" s="1201"/>
      <c r="S2097" s="1201"/>
      <c r="T2097" s="1201"/>
    </row>
    <row r="2098" spans="12:20">
      <c r="L2098" s="1179"/>
      <c r="M2098" s="1183"/>
      <c r="N2098" s="1183"/>
      <c r="O2098" s="1183"/>
      <c r="P2098" s="1201"/>
      <c r="Q2098" s="1201"/>
      <c r="R2098" s="1201"/>
      <c r="S2098" s="1201"/>
      <c r="T2098" s="1201"/>
    </row>
    <row r="2099" spans="12:20">
      <c r="L2099" s="1179"/>
      <c r="M2099" s="1183"/>
      <c r="N2099" s="1183"/>
      <c r="O2099" s="1183"/>
      <c r="P2099" s="1201"/>
      <c r="Q2099" s="1201"/>
      <c r="R2099" s="1201"/>
      <c r="S2099" s="1201"/>
      <c r="T2099" s="1201"/>
    </row>
    <row r="2100" spans="12:20">
      <c r="L2100" s="1179"/>
      <c r="M2100" s="1183"/>
      <c r="N2100" s="1183"/>
      <c r="O2100" s="1183"/>
      <c r="P2100" s="1201"/>
      <c r="Q2100" s="1201"/>
      <c r="R2100" s="1201"/>
      <c r="S2100" s="1201"/>
      <c r="T2100" s="1201"/>
    </row>
    <row r="2101" spans="12:20">
      <c r="L2101" s="1179"/>
      <c r="M2101" s="1183"/>
      <c r="N2101" s="1183"/>
      <c r="O2101" s="1183"/>
      <c r="P2101" s="1201"/>
      <c r="Q2101" s="1201"/>
      <c r="R2101" s="1201"/>
      <c r="S2101" s="1201"/>
      <c r="T2101" s="1201"/>
    </row>
    <row r="2102" spans="12:20">
      <c r="L2102" s="1179"/>
      <c r="M2102" s="1183"/>
      <c r="N2102" s="1183"/>
      <c r="O2102" s="1183"/>
      <c r="P2102" s="1201"/>
      <c r="Q2102" s="1201"/>
      <c r="R2102" s="1201"/>
      <c r="S2102" s="1201"/>
      <c r="T2102" s="1201"/>
    </row>
    <row r="2103" spans="12:20">
      <c r="L2103" s="1179"/>
      <c r="M2103" s="1183"/>
      <c r="N2103" s="1183"/>
      <c r="O2103" s="1183"/>
      <c r="P2103" s="1201"/>
      <c r="Q2103" s="1201"/>
      <c r="R2103" s="1201"/>
      <c r="S2103" s="1201"/>
      <c r="T2103" s="1201"/>
    </row>
    <row r="2104" spans="12:20">
      <c r="L2104" s="1179"/>
      <c r="M2104" s="1183"/>
      <c r="N2104" s="1183"/>
      <c r="O2104" s="1183"/>
      <c r="P2104" s="1201"/>
      <c r="Q2104" s="1201"/>
      <c r="R2104" s="1201"/>
      <c r="S2104" s="1201"/>
      <c r="T2104" s="1201"/>
    </row>
    <row r="2105" spans="12:20">
      <c r="L2105" s="1179"/>
      <c r="M2105" s="1183"/>
      <c r="N2105" s="1183"/>
      <c r="O2105" s="1183"/>
      <c r="P2105" s="1201"/>
      <c r="Q2105" s="1201"/>
      <c r="R2105" s="1201"/>
      <c r="S2105" s="1201"/>
      <c r="T2105" s="1201"/>
    </row>
    <row r="2106" spans="12:20">
      <c r="L2106" s="1179"/>
      <c r="M2106" s="1183"/>
      <c r="N2106" s="1183"/>
      <c r="O2106" s="1183"/>
      <c r="P2106" s="1201"/>
      <c r="Q2106" s="1201"/>
      <c r="R2106" s="1201"/>
      <c r="S2106" s="1201"/>
      <c r="T2106" s="1201"/>
    </row>
    <row r="2107" spans="12:20">
      <c r="L2107" s="1179"/>
      <c r="M2107" s="1183"/>
      <c r="N2107" s="1183"/>
      <c r="O2107" s="1183"/>
      <c r="P2107" s="1201"/>
      <c r="Q2107" s="1201"/>
      <c r="R2107" s="1201"/>
      <c r="S2107" s="1201"/>
      <c r="T2107" s="1201"/>
    </row>
    <row r="2108" spans="12:20">
      <c r="L2108" s="1179"/>
      <c r="M2108" s="1183"/>
      <c r="N2108" s="1183"/>
      <c r="O2108" s="1183"/>
      <c r="P2108" s="1201"/>
      <c r="Q2108" s="1201"/>
      <c r="R2108" s="1201"/>
      <c r="S2108" s="1201"/>
      <c r="T2108" s="1201"/>
    </row>
    <row r="2109" spans="12:20">
      <c r="L2109" s="1179"/>
      <c r="M2109" s="1183"/>
      <c r="N2109" s="1183"/>
      <c r="O2109" s="1183"/>
      <c r="P2109" s="1201"/>
      <c r="Q2109" s="1201"/>
      <c r="R2109" s="1201"/>
      <c r="S2109" s="1201"/>
      <c r="T2109" s="1201"/>
    </row>
    <row r="2110" spans="12:20">
      <c r="L2110" s="1179"/>
      <c r="M2110" s="1183"/>
      <c r="N2110" s="1183"/>
      <c r="O2110" s="1183"/>
      <c r="P2110" s="1201"/>
      <c r="Q2110" s="1201"/>
      <c r="R2110" s="1201"/>
      <c r="S2110" s="1201"/>
      <c r="T2110" s="1201"/>
    </row>
    <row r="2111" spans="12:20">
      <c r="L2111" s="1179"/>
      <c r="M2111" s="1183"/>
      <c r="N2111" s="1183"/>
      <c r="O2111" s="1183"/>
      <c r="P2111" s="1201"/>
      <c r="Q2111" s="1201"/>
      <c r="R2111" s="1201"/>
      <c r="S2111" s="1201"/>
      <c r="T2111" s="1201"/>
    </row>
    <row r="2112" spans="12:20">
      <c r="L2112" s="1179"/>
      <c r="M2112" s="1183"/>
      <c r="N2112" s="1183"/>
      <c r="O2112" s="1183"/>
      <c r="P2112" s="1201"/>
      <c r="Q2112" s="1201"/>
      <c r="R2112" s="1201"/>
      <c r="S2112" s="1201"/>
      <c r="T2112" s="1201"/>
    </row>
    <row r="2113" spans="12:20">
      <c r="L2113" s="1179"/>
      <c r="M2113" s="1183"/>
      <c r="N2113" s="1183"/>
      <c r="O2113" s="1183"/>
      <c r="P2113" s="1201"/>
      <c r="Q2113" s="1201"/>
      <c r="R2113" s="1201"/>
      <c r="S2113" s="1201"/>
      <c r="T2113" s="1201"/>
    </row>
    <row r="2114" spans="12:20">
      <c r="L2114" s="1179"/>
      <c r="M2114" s="1183"/>
      <c r="N2114" s="1183"/>
      <c r="O2114" s="1183"/>
      <c r="P2114" s="1201"/>
      <c r="Q2114" s="1201"/>
      <c r="R2114" s="1201"/>
      <c r="S2114" s="1201"/>
      <c r="T2114" s="1201"/>
    </row>
    <row r="2115" spans="12:20">
      <c r="L2115" s="1179"/>
      <c r="M2115" s="1183"/>
      <c r="N2115" s="1183"/>
      <c r="O2115" s="1183"/>
      <c r="P2115" s="1201"/>
      <c r="Q2115" s="1201"/>
      <c r="R2115" s="1201"/>
      <c r="S2115" s="1201"/>
      <c r="T2115" s="1201"/>
    </row>
    <row r="2116" spans="12:20">
      <c r="L2116" s="1179"/>
      <c r="M2116" s="1183"/>
      <c r="N2116" s="1183"/>
      <c r="O2116" s="1183"/>
      <c r="P2116" s="1201"/>
      <c r="Q2116" s="1201"/>
      <c r="R2116" s="1201"/>
      <c r="S2116" s="1201"/>
      <c r="T2116" s="1201"/>
    </row>
    <row r="2117" spans="12:20">
      <c r="L2117" s="1179"/>
      <c r="M2117" s="1183"/>
      <c r="N2117" s="1183"/>
      <c r="O2117" s="1183"/>
      <c r="P2117" s="1201"/>
      <c r="Q2117" s="1201"/>
      <c r="R2117" s="1201"/>
      <c r="S2117" s="1201"/>
      <c r="T2117" s="1201"/>
    </row>
    <row r="2118" spans="12:20">
      <c r="L2118" s="1179"/>
      <c r="M2118" s="1183"/>
      <c r="N2118" s="1183"/>
      <c r="O2118" s="1183"/>
      <c r="P2118" s="1201"/>
      <c r="Q2118" s="1201"/>
      <c r="R2118" s="1201"/>
      <c r="S2118" s="1201"/>
      <c r="T2118" s="1201"/>
    </row>
    <row r="2119" spans="12:20">
      <c r="L2119" s="1179"/>
      <c r="M2119" s="1183"/>
      <c r="N2119" s="1183"/>
      <c r="O2119" s="1183"/>
      <c r="P2119" s="1201"/>
      <c r="Q2119" s="1201"/>
      <c r="R2119" s="1201"/>
      <c r="S2119" s="1201"/>
      <c r="T2119" s="1201"/>
    </row>
    <row r="2120" spans="12:20">
      <c r="L2120" s="1179"/>
      <c r="M2120" s="1183"/>
      <c r="N2120" s="1183"/>
      <c r="O2120" s="1183"/>
      <c r="P2120" s="1201"/>
      <c r="Q2120" s="1201"/>
      <c r="R2120" s="1201"/>
      <c r="S2120" s="1201"/>
      <c r="T2120" s="1201"/>
    </row>
    <row r="2121" spans="12:20">
      <c r="L2121" s="1179"/>
      <c r="M2121" s="1183"/>
      <c r="N2121" s="1183"/>
      <c r="O2121" s="1183"/>
      <c r="P2121" s="1201"/>
      <c r="Q2121" s="1201"/>
      <c r="R2121" s="1201"/>
      <c r="S2121" s="1201"/>
      <c r="T2121" s="1201"/>
    </row>
    <row r="2122" spans="12:20">
      <c r="L2122" s="1179"/>
      <c r="M2122" s="1183"/>
      <c r="N2122" s="1183"/>
      <c r="O2122" s="1183"/>
      <c r="P2122" s="1201"/>
      <c r="Q2122" s="1201"/>
      <c r="R2122" s="1201"/>
      <c r="S2122" s="1201"/>
      <c r="T2122" s="1201"/>
    </row>
    <row r="2123" spans="12:20">
      <c r="L2123" s="1179"/>
      <c r="M2123" s="1183"/>
      <c r="N2123" s="1183"/>
      <c r="O2123" s="1183"/>
      <c r="P2123" s="1201"/>
      <c r="Q2123" s="1201"/>
      <c r="R2123" s="1201"/>
      <c r="S2123" s="1201"/>
      <c r="T2123" s="1201"/>
    </row>
    <row r="2124" spans="12:20">
      <c r="L2124" s="1179"/>
      <c r="M2124" s="1183"/>
      <c r="N2124" s="1183"/>
      <c r="O2124" s="1183"/>
      <c r="P2124" s="1201"/>
      <c r="Q2124" s="1201"/>
      <c r="R2124" s="1201"/>
      <c r="S2124" s="1201"/>
      <c r="T2124" s="1201"/>
    </row>
    <row r="2125" spans="12:20">
      <c r="L2125" s="1179"/>
      <c r="M2125" s="1183"/>
      <c r="N2125" s="1183"/>
      <c r="O2125" s="1183"/>
      <c r="P2125" s="1201"/>
      <c r="Q2125" s="1201"/>
      <c r="R2125" s="1201"/>
      <c r="S2125" s="1201"/>
      <c r="T2125" s="1201"/>
    </row>
    <row r="2126" spans="12:20">
      <c r="L2126" s="1179"/>
      <c r="M2126" s="1183"/>
      <c r="N2126" s="1183"/>
      <c r="O2126" s="1183"/>
      <c r="P2126" s="1201"/>
      <c r="Q2126" s="1201"/>
      <c r="R2126" s="1201"/>
      <c r="S2126" s="1201"/>
      <c r="T2126" s="1201"/>
    </row>
    <row r="2127" spans="12:20">
      <c r="L2127" s="1179"/>
      <c r="M2127" s="1183"/>
      <c r="N2127" s="1183"/>
      <c r="O2127" s="1183"/>
      <c r="P2127" s="1201"/>
      <c r="Q2127" s="1201"/>
      <c r="R2127" s="1201"/>
      <c r="S2127" s="1201"/>
      <c r="T2127" s="1201"/>
    </row>
    <row r="2128" spans="12:20">
      <c r="L2128" s="1179"/>
      <c r="M2128" s="1183"/>
      <c r="N2128" s="1183"/>
      <c r="O2128" s="1183"/>
      <c r="P2128" s="1201"/>
      <c r="Q2128" s="1201"/>
      <c r="R2128" s="1201"/>
      <c r="S2128" s="1201"/>
      <c r="T2128" s="1201"/>
    </row>
    <row r="2129" spans="12:20">
      <c r="L2129" s="1179"/>
      <c r="M2129" s="1183"/>
      <c r="N2129" s="1183"/>
      <c r="O2129" s="1183"/>
      <c r="P2129" s="1201"/>
      <c r="Q2129" s="1201"/>
      <c r="R2129" s="1201"/>
      <c r="S2129" s="1201"/>
      <c r="T2129" s="1201"/>
    </row>
    <row r="2130" spans="12:20">
      <c r="L2130" s="1179"/>
      <c r="M2130" s="1183"/>
      <c r="N2130" s="1183"/>
      <c r="O2130" s="1183"/>
      <c r="P2130" s="1201"/>
      <c r="Q2130" s="1201"/>
      <c r="R2130" s="1201"/>
      <c r="S2130" s="1201"/>
      <c r="T2130" s="1201"/>
    </row>
    <row r="2131" spans="12:20">
      <c r="L2131" s="1179"/>
      <c r="M2131" s="1183"/>
      <c r="N2131" s="1183"/>
      <c r="O2131" s="1183"/>
      <c r="P2131" s="1201"/>
      <c r="Q2131" s="1201"/>
      <c r="R2131" s="1201"/>
      <c r="S2131" s="1201"/>
      <c r="T2131" s="1201"/>
    </row>
    <row r="2132" spans="12:20">
      <c r="L2132" s="1179"/>
      <c r="M2132" s="1183"/>
      <c r="N2132" s="1183"/>
      <c r="O2132" s="1183"/>
      <c r="P2132" s="1201"/>
      <c r="Q2132" s="1201"/>
      <c r="R2132" s="1201"/>
      <c r="S2132" s="1201"/>
      <c r="T2132" s="1201"/>
    </row>
    <row r="2133" spans="12:20">
      <c r="L2133" s="1179"/>
      <c r="M2133" s="1183"/>
      <c r="N2133" s="1183"/>
      <c r="O2133" s="1183"/>
      <c r="P2133" s="1201"/>
      <c r="Q2133" s="1201"/>
      <c r="R2133" s="1201"/>
      <c r="S2133" s="1201"/>
      <c r="T2133" s="1201"/>
    </row>
    <row r="2134" spans="12:20">
      <c r="L2134" s="1179"/>
      <c r="M2134" s="1183"/>
      <c r="N2134" s="1183"/>
      <c r="O2134" s="1183"/>
      <c r="P2134" s="1201"/>
      <c r="Q2134" s="1201"/>
      <c r="R2134" s="1201"/>
      <c r="S2134" s="1201"/>
      <c r="T2134" s="1201"/>
    </row>
    <row r="2135" spans="12:20">
      <c r="L2135" s="1179"/>
      <c r="M2135" s="1183"/>
      <c r="N2135" s="1183"/>
      <c r="O2135" s="1183"/>
      <c r="P2135" s="1201"/>
      <c r="Q2135" s="1201"/>
      <c r="R2135" s="1201"/>
      <c r="S2135" s="1201"/>
      <c r="T2135" s="1201"/>
    </row>
    <row r="2136" spans="12:20">
      <c r="L2136" s="1179"/>
      <c r="M2136" s="1183"/>
      <c r="N2136" s="1183"/>
      <c r="O2136" s="1183"/>
      <c r="P2136" s="1201"/>
      <c r="Q2136" s="1201"/>
      <c r="R2136" s="1201"/>
      <c r="S2136" s="1201"/>
      <c r="T2136" s="1201"/>
    </row>
    <row r="2137" spans="12:20">
      <c r="L2137" s="1179"/>
      <c r="M2137" s="1183"/>
      <c r="N2137" s="1183"/>
      <c r="O2137" s="1183"/>
      <c r="P2137" s="1201"/>
      <c r="Q2137" s="1201"/>
      <c r="R2137" s="1201"/>
      <c r="S2137" s="1201"/>
      <c r="T2137" s="1201"/>
    </row>
    <row r="2138" spans="12:20">
      <c r="L2138" s="1179"/>
      <c r="M2138" s="1183"/>
      <c r="N2138" s="1183"/>
      <c r="O2138" s="1183"/>
      <c r="P2138" s="1201"/>
      <c r="Q2138" s="1201"/>
      <c r="R2138" s="1201"/>
      <c r="S2138" s="1201"/>
      <c r="T2138" s="1201"/>
    </row>
    <row r="2139" spans="12:20">
      <c r="L2139" s="1179"/>
      <c r="M2139" s="1183"/>
      <c r="N2139" s="1183"/>
      <c r="O2139" s="1183"/>
      <c r="P2139" s="1201"/>
      <c r="Q2139" s="1201"/>
      <c r="R2139" s="1201"/>
      <c r="S2139" s="1201"/>
      <c r="T2139" s="1201"/>
    </row>
    <row r="2140" spans="12:20">
      <c r="L2140" s="1179"/>
      <c r="M2140" s="1183"/>
      <c r="N2140" s="1183"/>
      <c r="O2140" s="1183"/>
      <c r="P2140" s="1201"/>
      <c r="Q2140" s="1201"/>
      <c r="R2140" s="1201"/>
      <c r="S2140" s="1201"/>
      <c r="T2140" s="1201"/>
    </row>
    <row r="2141" spans="12:20">
      <c r="L2141" s="1179"/>
      <c r="M2141" s="1183"/>
      <c r="N2141" s="1183"/>
      <c r="O2141" s="1183"/>
      <c r="P2141" s="1201"/>
      <c r="Q2141" s="1201"/>
      <c r="R2141" s="1201"/>
      <c r="S2141" s="1201"/>
      <c r="T2141" s="1201"/>
    </row>
    <row r="2142" spans="12:20">
      <c r="L2142" s="1179"/>
      <c r="M2142" s="1183"/>
      <c r="N2142" s="1183"/>
      <c r="O2142" s="1183"/>
      <c r="P2142" s="1201"/>
      <c r="Q2142" s="1201"/>
      <c r="R2142" s="1201"/>
      <c r="S2142" s="1201"/>
      <c r="T2142" s="1201"/>
    </row>
    <row r="2143" spans="12:20">
      <c r="L2143" s="1179"/>
      <c r="M2143" s="1183"/>
      <c r="N2143" s="1183"/>
      <c r="O2143" s="1183"/>
      <c r="P2143" s="1201"/>
      <c r="Q2143" s="1201"/>
      <c r="R2143" s="1201"/>
      <c r="S2143" s="1201"/>
      <c r="T2143" s="1201"/>
    </row>
    <row r="2144" spans="12:20">
      <c r="L2144" s="1179"/>
      <c r="M2144" s="1183"/>
      <c r="N2144" s="1183"/>
      <c r="O2144" s="1183"/>
      <c r="P2144" s="1201"/>
      <c r="Q2144" s="1201"/>
      <c r="R2144" s="1201"/>
      <c r="S2144" s="1201"/>
      <c r="T2144" s="1201"/>
    </row>
    <row r="2145" spans="12:20">
      <c r="L2145" s="1179"/>
      <c r="M2145" s="1183"/>
      <c r="N2145" s="1183"/>
      <c r="O2145" s="1183"/>
      <c r="P2145" s="1201"/>
      <c r="Q2145" s="1201"/>
      <c r="R2145" s="1201"/>
      <c r="S2145" s="1201"/>
      <c r="T2145" s="1201"/>
    </row>
    <row r="2146" spans="12:20">
      <c r="L2146" s="1179"/>
      <c r="M2146" s="1183"/>
      <c r="N2146" s="1183"/>
      <c r="O2146" s="1183"/>
      <c r="P2146" s="1201"/>
      <c r="Q2146" s="1201"/>
      <c r="R2146" s="1201"/>
      <c r="S2146" s="1201"/>
      <c r="T2146" s="1201"/>
    </row>
    <row r="2147" spans="12:20">
      <c r="L2147" s="1179"/>
      <c r="M2147" s="1183"/>
      <c r="N2147" s="1183"/>
      <c r="O2147" s="1183"/>
      <c r="P2147" s="1201"/>
      <c r="Q2147" s="1201"/>
      <c r="R2147" s="1201"/>
      <c r="S2147" s="1201"/>
      <c r="T2147" s="1201"/>
    </row>
    <row r="2148" spans="12:20">
      <c r="L2148" s="1179"/>
      <c r="M2148" s="1183"/>
      <c r="N2148" s="1183"/>
      <c r="O2148" s="1183"/>
      <c r="P2148" s="1201"/>
      <c r="Q2148" s="1201"/>
      <c r="R2148" s="1201"/>
      <c r="S2148" s="1201"/>
      <c r="T2148" s="1201"/>
    </row>
    <row r="2149" spans="12:20">
      <c r="L2149" s="1179"/>
      <c r="M2149" s="1183"/>
      <c r="N2149" s="1183"/>
      <c r="O2149" s="1183"/>
      <c r="P2149" s="1201"/>
      <c r="Q2149" s="1201"/>
      <c r="R2149" s="1201"/>
      <c r="S2149" s="1201"/>
      <c r="T2149" s="1201"/>
    </row>
    <row r="2150" spans="12:20">
      <c r="L2150" s="1179"/>
      <c r="M2150" s="1183"/>
      <c r="N2150" s="1183"/>
      <c r="O2150" s="1183"/>
      <c r="P2150" s="1201"/>
      <c r="Q2150" s="1201"/>
      <c r="R2150" s="1201"/>
      <c r="S2150" s="1201"/>
      <c r="T2150" s="1201"/>
    </row>
    <row r="2151" spans="12:20">
      <c r="L2151" s="1179"/>
      <c r="M2151" s="1183"/>
      <c r="N2151" s="1183"/>
      <c r="O2151" s="1183"/>
      <c r="P2151" s="1201"/>
      <c r="Q2151" s="1201"/>
      <c r="R2151" s="1201"/>
      <c r="S2151" s="1201"/>
      <c r="T2151" s="1201"/>
    </row>
    <row r="2152" spans="12:20">
      <c r="L2152" s="1179"/>
      <c r="M2152" s="1183"/>
      <c r="N2152" s="1183"/>
      <c r="O2152" s="1183"/>
      <c r="P2152" s="1201"/>
      <c r="Q2152" s="1201"/>
      <c r="R2152" s="1201"/>
      <c r="S2152" s="1201"/>
      <c r="T2152" s="1201"/>
    </row>
    <row r="2153" spans="12:20">
      <c r="L2153" s="1179"/>
      <c r="M2153" s="1183"/>
      <c r="N2153" s="1183"/>
      <c r="O2153" s="1183"/>
      <c r="P2153" s="1201"/>
      <c r="Q2153" s="1201"/>
      <c r="R2153" s="1201"/>
      <c r="S2153" s="1201"/>
      <c r="T2153" s="1201"/>
    </row>
    <row r="2154" spans="12:20">
      <c r="L2154" s="1179"/>
      <c r="M2154" s="1183"/>
      <c r="N2154" s="1183"/>
      <c r="O2154" s="1183"/>
      <c r="P2154" s="1201"/>
      <c r="Q2154" s="1201"/>
      <c r="R2154" s="1201"/>
      <c r="S2154" s="1201"/>
      <c r="T2154" s="1201"/>
    </row>
    <row r="2155" spans="12:20">
      <c r="L2155" s="1179"/>
      <c r="M2155" s="1183"/>
      <c r="N2155" s="1183"/>
      <c r="O2155" s="1183"/>
      <c r="P2155" s="1201"/>
      <c r="Q2155" s="1201"/>
      <c r="R2155" s="1201"/>
      <c r="S2155" s="1201"/>
      <c r="T2155" s="1201"/>
    </row>
    <row r="2156" spans="12:20">
      <c r="L2156" s="1179"/>
      <c r="M2156" s="1183"/>
      <c r="N2156" s="1183"/>
      <c r="O2156" s="1183"/>
      <c r="P2156" s="1201"/>
      <c r="Q2156" s="1201"/>
      <c r="R2156" s="1201"/>
      <c r="S2156" s="1201"/>
      <c r="T2156" s="1201"/>
    </row>
    <row r="2157" spans="12:20">
      <c r="L2157" s="1179"/>
      <c r="M2157" s="1183"/>
      <c r="N2157" s="1183"/>
      <c r="O2157" s="1183"/>
      <c r="P2157" s="1201"/>
      <c r="Q2157" s="1201"/>
      <c r="R2157" s="1201"/>
      <c r="S2157" s="1201"/>
      <c r="T2157" s="1201"/>
    </row>
    <row r="2158" spans="12:20">
      <c r="L2158" s="1179"/>
      <c r="M2158" s="1183"/>
      <c r="N2158" s="1183"/>
      <c r="O2158" s="1183"/>
      <c r="P2158" s="1201"/>
      <c r="Q2158" s="1201"/>
      <c r="R2158" s="1201"/>
      <c r="S2158" s="1201"/>
      <c r="T2158" s="1201"/>
    </row>
    <row r="2159" spans="12:20">
      <c r="L2159" s="1179"/>
      <c r="M2159" s="1183"/>
      <c r="N2159" s="1183"/>
      <c r="O2159" s="1183"/>
      <c r="P2159" s="1201"/>
      <c r="Q2159" s="1201"/>
      <c r="R2159" s="1201"/>
      <c r="S2159" s="1201"/>
      <c r="T2159" s="1201"/>
    </row>
    <row r="2160" spans="12:20">
      <c r="L2160" s="1179"/>
      <c r="M2160" s="1183"/>
      <c r="N2160" s="1183"/>
      <c r="O2160" s="1183"/>
      <c r="P2160" s="1201"/>
      <c r="Q2160" s="1201"/>
      <c r="R2160" s="1201"/>
      <c r="S2160" s="1201"/>
      <c r="T2160" s="1201"/>
    </row>
    <row r="2161" spans="12:20">
      <c r="L2161" s="1179"/>
      <c r="M2161" s="1183"/>
      <c r="N2161" s="1183"/>
      <c r="O2161" s="1183"/>
      <c r="P2161" s="1201"/>
      <c r="Q2161" s="1201"/>
      <c r="R2161" s="1201"/>
      <c r="S2161" s="1201"/>
      <c r="T2161" s="1201"/>
    </row>
    <row r="2162" spans="12:20">
      <c r="L2162" s="1179"/>
      <c r="M2162" s="1183"/>
      <c r="N2162" s="1183"/>
      <c r="O2162" s="1183"/>
      <c r="P2162" s="1201"/>
      <c r="Q2162" s="1201"/>
      <c r="R2162" s="1201"/>
      <c r="S2162" s="1201"/>
      <c r="T2162" s="1201"/>
    </row>
    <row r="2163" spans="12:20">
      <c r="L2163" s="1179"/>
      <c r="M2163" s="1183"/>
      <c r="N2163" s="1183"/>
      <c r="O2163" s="1183"/>
      <c r="P2163" s="1201"/>
      <c r="Q2163" s="1201"/>
      <c r="R2163" s="1201"/>
      <c r="S2163" s="1201"/>
      <c r="T2163" s="1201"/>
    </row>
    <row r="2164" spans="12:20">
      <c r="L2164" s="1179"/>
      <c r="M2164" s="1183"/>
      <c r="N2164" s="1183"/>
      <c r="O2164" s="1183"/>
      <c r="P2164" s="1201"/>
      <c r="Q2164" s="1201"/>
      <c r="R2164" s="1201"/>
      <c r="S2164" s="1201"/>
      <c r="T2164" s="1201"/>
    </row>
    <row r="2165" spans="12:20">
      <c r="L2165" s="1179"/>
      <c r="M2165" s="1183"/>
      <c r="N2165" s="1183"/>
      <c r="O2165" s="1183"/>
      <c r="P2165" s="1201"/>
      <c r="Q2165" s="1201"/>
      <c r="R2165" s="1201"/>
      <c r="S2165" s="1201"/>
      <c r="T2165" s="1201"/>
    </row>
    <row r="2166" spans="12:20">
      <c r="L2166" s="1179"/>
      <c r="M2166" s="1183"/>
      <c r="N2166" s="1183"/>
      <c r="O2166" s="1183"/>
      <c r="P2166" s="1201"/>
      <c r="Q2166" s="1201"/>
      <c r="R2166" s="1201"/>
      <c r="S2166" s="1201"/>
      <c r="T2166" s="1201"/>
    </row>
    <row r="2167" spans="12:20">
      <c r="L2167" s="1179"/>
      <c r="M2167" s="1183"/>
      <c r="N2167" s="1183"/>
      <c r="O2167" s="1183"/>
      <c r="P2167" s="1201"/>
      <c r="Q2167" s="1201"/>
      <c r="R2167" s="1201"/>
      <c r="S2167" s="1201"/>
      <c r="T2167" s="1201"/>
    </row>
    <row r="2168" spans="12:20">
      <c r="L2168" s="1179"/>
      <c r="M2168" s="1183"/>
      <c r="N2168" s="1183"/>
      <c r="O2168" s="1183"/>
      <c r="P2168" s="1201"/>
      <c r="Q2168" s="1201"/>
      <c r="R2168" s="1201"/>
      <c r="S2168" s="1201"/>
      <c r="T2168" s="1201"/>
    </row>
    <row r="2169" spans="12:20">
      <c r="L2169" s="1179"/>
      <c r="M2169" s="1183"/>
      <c r="N2169" s="1183"/>
      <c r="O2169" s="1183"/>
      <c r="P2169" s="1201"/>
      <c r="Q2169" s="1201"/>
      <c r="R2169" s="1201"/>
      <c r="S2169" s="1201"/>
      <c r="T2169" s="1201"/>
    </row>
    <row r="2170" spans="12:20">
      <c r="L2170" s="1179"/>
      <c r="M2170" s="1183"/>
      <c r="N2170" s="1183"/>
      <c r="O2170" s="1183"/>
      <c r="P2170" s="1201"/>
      <c r="Q2170" s="1201"/>
      <c r="R2170" s="1201"/>
      <c r="S2170" s="1201"/>
      <c r="T2170" s="1201"/>
    </row>
    <row r="2171" spans="12:20">
      <c r="L2171" s="1179"/>
      <c r="M2171" s="1183"/>
      <c r="N2171" s="1183"/>
      <c r="O2171" s="1183"/>
      <c r="P2171" s="1201"/>
      <c r="Q2171" s="1201"/>
      <c r="R2171" s="1201"/>
      <c r="S2171" s="1201"/>
      <c r="T2171" s="1201"/>
    </row>
    <row r="2172" spans="12:20">
      <c r="L2172" s="1179"/>
      <c r="M2172" s="1183"/>
      <c r="N2172" s="1183"/>
      <c r="O2172" s="1183"/>
      <c r="P2172" s="1201"/>
      <c r="Q2172" s="1201"/>
      <c r="R2172" s="1201"/>
      <c r="S2172" s="1201"/>
      <c r="T2172" s="1201"/>
    </row>
    <row r="2173" spans="12:20">
      <c r="L2173" s="1179"/>
      <c r="M2173" s="1183"/>
      <c r="N2173" s="1183"/>
      <c r="O2173" s="1183"/>
      <c r="P2173" s="1201"/>
      <c r="Q2173" s="1201"/>
      <c r="R2173" s="1201"/>
      <c r="S2173" s="1201"/>
      <c r="T2173" s="1201"/>
    </row>
    <row r="2174" spans="12:20">
      <c r="L2174" s="1179"/>
      <c r="M2174" s="1183"/>
      <c r="N2174" s="1183"/>
      <c r="O2174" s="1183"/>
      <c r="P2174" s="1201"/>
      <c r="Q2174" s="1201"/>
      <c r="R2174" s="1201"/>
      <c r="S2174" s="1201"/>
      <c r="T2174" s="1201"/>
    </row>
    <row r="2175" spans="12:20">
      <c r="L2175" s="1179"/>
      <c r="M2175" s="1183"/>
      <c r="N2175" s="1183"/>
      <c r="O2175" s="1183"/>
      <c r="P2175" s="1201"/>
      <c r="Q2175" s="1201"/>
      <c r="R2175" s="1201"/>
      <c r="S2175" s="1201"/>
      <c r="T2175" s="1201"/>
    </row>
    <row r="2176" spans="12:20">
      <c r="L2176" s="1179"/>
      <c r="M2176" s="1183"/>
      <c r="N2176" s="1183"/>
      <c r="O2176" s="1183"/>
      <c r="P2176" s="1201"/>
      <c r="Q2176" s="1201"/>
      <c r="R2176" s="1201"/>
      <c r="S2176" s="1201"/>
      <c r="T2176" s="1201"/>
    </row>
    <row r="2177" spans="12:20">
      <c r="L2177" s="1179"/>
      <c r="M2177" s="1183"/>
      <c r="N2177" s="1183"/>
      <c r="O2177" s="1183"/>
      <c r="P2177" s="1201"/>
      <c r="Q2177" s="1201"/>
      <c r="R2177" s="1201"/>
      <c r="S2177" s="1201"/>
      <c r="T2177" s="1201"/>
    </row>
    <row r="2178" spans="12:20">
      <c r="L2178" s="1179"/>
      <c r="M2178" s="1183"/>
      <c r="N2178" s="1183"/>
      <c r="O2178" s="1183"/>
      <c r="P2178" s="1201"/>
      <c r="Q2178" s="1201"/>
      <c r="R2178" s="1201"/>
      <c r="S2178" s="1201"/>
      <c r="T2178" s="1201"/>
    </row>
    <row r="2179" spans="12:20">
      <c r="L2179" s="1179"/>
      <c r="M2179" s="1183"/>
      <c r="N2179" s="1183"/>
      <c r="O2179" s="1183"/>
      <c r="P2179" s="1201"/>
      <c r="Q2179" s="1201"/>
      <c r="R2179" s="1201"/>
      <c r="S2179" s="1201"/>
      <c r="T2179" s="1201"/>
    </row>
    <row r="2180" spans="12:20">
      <c r="L2180" s="1179"/>
      <c r="M2180" s="1183"/>
      <c r="N2180" s="1183"/>
      <c r="O2180" s="1183"/>
      <c r="P2180" s="1201"/>
      <c r="Q2180" s="1201"/>
      <c r="R2180" s="1201"/>
      <c r="S2180" s="1201"/>
      <c r="T2180" s="1201"/>
    </row>
    <row r="2181" spans="12:20">
      <c r="L2181" s="1179"/>
      <c r="M2181" s="1183"/>
      <c r="N2181" s="1183"/>
      <c r="O2181" s="1183"/>
      <c r="P2181" s="1201"/>
      <c r="Q2181" s="1201"/>
      <c r="R2181" s="1201"/>
      <c r="S2181" s="1201"/>
      <c r="T2181" s="1201"/>
    </row>
    <row r="2182" spans="12:20">
      <c r="L2182" s="1179"/>
      <c r="M2182" s="1183"/>
      <c r="N2182" s="1183"/>
      <c r="O2182" s="1183"/>
      <c r="P2182" s="1201"/>
      <c r="Q2182" s="1201"/>
      <c r="R2182" s="1201"/>
      <c r="S2182" s="1201"/>
      <c r="T2182" s="1201"/>
    </row>
    <row r="2183" spans="12:20">
      <c r="L2183" s="1179"/>
      <c r="M2183" s="1183"/>
      <c r="N2183" s="1183"/>
      <c r="O2183" s="1183"/>
      <c r="P2183" s="1201"/>
      <c r="Q2183" s="1201"/>
      <c r="R2183" s="1201"/>
      <c r="S2183" s="1201"/>
      <c r="T2183" s="1201"/>
    </row>
    <row r="2184" spans="12:20">
      <c r="L2184" s="1179"/>
      <c r="M2184" s="1183"/>
      <c r="N2184" s="1183"/>
      <c r="O2184" s="1183"/>
      <c r="P2184" s="1201"/>
      <c r="Q2184" s="1201"/>
      <c r="R2184" s="1201"/>
      <c r="S2184" s="1201"/>
      <c r="T2184" s="1201"/>
    </row>
    <row r="2185" spans="12:20">
      <c r="L2185" s="1179"/>
      <c r="M2185" s="1183"/>
      <c r="N2185" s="1183"/>
      <c r="O2185" s="1183"/>
      <c r="P2185" s="1201"/>
      <c r="Q2185" s="1201"/>
      <c r="R2185" s="1201"/>
      <c r="S2185" s="1201"/>
      <c r="T2185" s="1201"/>
    </row>
    <row r="2186" spans="12:20">
      <c r="L2186" s="1179"/>
      <c r="M2186" s="1183"/>
      <c r="N2186" s="1183"/>
      <c r="O2186" s="1183"/>
      <c r="P2186" s="1201"/>
      <c r="Q2186" s="1201"/>
      <c r="R2186" s="1201"/>
      <c r="S2186" s="1201"/>
      <c r="T2186" s="1201"/>
    </row>
    <row r="2187" spans="12:20">
      <c r="L2187" s="1179"/>
      <c r="M2187" s="1183"/>
      <c r="N2187" s="1183"/>
      <c r="O2187" s="1183"/>
      <c r="P2187" s="1201"/>
      <c r="Q2187" s="1201"/>
      <c r="R2187" s="1201"/>
      <c r="S2187" s="1201"/>
      <c r="T2187" s="1201"/>
    </row>
    <row r="2188" spans="12:20">
      <c r="L2188" s="1179"/>
      <c r="M2188" s="1183"/>
      <c r="N2188" s="1183"/>
      <c r="O2188" s="1183"/>
      <c r="P2188" s="1201"/>
      <c r="Q2188" s="1201"/>
      <c r="R2188" s="1201"/>
      <c r="S2188" s="1201"/>
      <c r="T2188" s="1201"/>
    </row>
    <row r="2189" spans="12:20">
      <c r="L2189" s="1179"/>
      <c r="M2189" s="1183"/>
      <c r="N2189" s="1183"/>
      <c r="O2189" s="1183"/>
      <c r="P2189" s="1201"/>
      <c r="Q2189" s="1201"/>
      <c r="R2189" s="1201"/>
      <c r="S2189" s="1201"/>
      <c r="T2189" s="1201"/>
    </row>
    <row r="2190" spans="12:20">
      <c r="L2190" s="1179"/>
      <c r="M2190" s="1183"/>
      <c r="N2190" s="1183"/>
      <c r="O2190" s="1183"/>
      <c r="P2190" s="1201"/>
      <c r="Q2190" s="1201"/>
      <c r="R2190" s="1201"/>
      <c r="S2190" s="1201"/>
      <c r="T2190" s="1201"/>
    </row>
    <row r="2191" spans="12:20">
      <c r="L2191" s="1179"/>
      <c r="M2191" s="1183"/>
      <c r="N2191" s="1183"/>
      <c r="O2191" s="1183"/>
      <c r="P2191" s="1201"/>
      <c r="Q2191" s="1201"/>
      <c r="R2191" s="1201"/>
      <c r="S2191" s="1201"/>
      <c r="T2191" s="1201"/>
    </row>
    <row r="2192" spans="12:20">
      <c r="L2192" s="1179"/>
      <c r="M2192" s="1183"/>
      <c r="N2192" s="1183"/>
      <c r="O2192" s="1183"/>
      <c r="P2192" s="1201"/>
      <c r="Q2192" s="1201"/>
      <c r="R2192" s="1201"/>
      <c r="S2192" s="1201"/>
      <c r="T2192" s="1201"/>
    </row>
    <row r="2193" spans="12:20">
      <c r="L2193" s="1179"/>
      <c r="M2193" s="1183"/>
      <c r="N2193" s="1183"/>
      <c r="O2193" s="1183"/>
      <c r="P2193" s="1201"/>
      <c r="Q2193" s="1201"/>
      <c r="R2193" s="1201"/>
      <c r="S2193" s="1201"/>
      <c r="T2193" s="1201"/>
    </row>
    <row r="2194" spans="12:20">
      <c r="L2194" s="1179"/>
      <c r="M2194" s="1183"/>
      <c r="N2194" s="1183"/>
      <c r="O2194" s="1183"/>
      <c r="P2194" s="1201"/>
      <c r="Q2194" s="1201"/>
      <c r="R2194" s="1201"/>
      <c r="S2194" s="1201"/>
      <c r="T2194" s="1201"/>
    </row>
    <row r="2195" spans="12:20">
      <c r="L2195" s="1179"/>
      <c r="M2195" s="1183"/>
      <c r="N2195" s="1183"/>
      <c r="O2195" s="1183"/>
      <c r="P2195" s="1201"/>
      <c r="Q2195" s="1201"/>
      <c r="R2195" s="1201"/>
      <c r="S2195" s="1201"/>
      <c r="T2195" s="1201"/>
    </row>
    <row r="2196" spans="12:20">
      <c r="L2196" s="1179"/>
      <c r="M2196" s="1183"/>
      <c r="N2196" s="1183"/>
      <c r="O2196" s="1183"/>
      <c r="P2196" s="1201"/>
      <c r="Q2196" s="1201"/>
      <c r="R2196" s="1201"/>
      <c r="S2196" s="1201"/>
      <c r="T2196" s="1201"/>
    </row>
    <row r="2197" spans="12:20">
      <c r="L2197" s="1179"/>
      <c r="M2197" s="1183"/>
      <c r="N2197" s="1183"/>
      <c r="O2197" s="1183"/>
      <c r="P2197" s="1201"/>
      <c r="Q2197" s="1201"/>
      <c r="R2197" s="1201"/>
      <c r="S2197" s="1201"/>
      <c r="T2197" s="1201"/>
    </row>
    <row r="2198" spans="12:20">
      <c r="L2198" s="1179"/>
      <c r="M2198" s="1183"/>
      <c r="N2198" s="1183"/>
      <c r="O2198" s="1183"/>
      <c r="P2198" s="1201"/>
      <c r="Q2198" s="1201"/>
      <c r="R2198" s="1201"/>
      <c r="S2198" s="1201"/>
      <c r="T2198" s="1201"/>
    </row>
    <row r="2199" spans="12:20">
      <c r="L2199" s="1179"/>
      <c r="M2199" s="1183"/>
      <c r="N2199" s="1183"/>
      <c r="O2199" s="1183"/>
      <c r="P2199" s="1201"/>
      <c r="Q2199" s="1201"/>
      <c r="R2199" s="1201"/>
      <c r="S2199" s="1201"/>
      <c r="T2199" s="1201"/>
    </row>
    <row r="2200" spans="12:20">
      <c r="L2200" s="1179"/>
      <c r="M2200" s="1183"/>
      <c r="N2200" s="1183"/>
      <c r="O2200" s="1183"/>
      <c r="P2200" s="1201"/>
      <c r="Q2200" s="1201"/>
      <c r="R2200" s="1201"/>
      <c r="S2200" s="1201"/>
      <c r="T2200" s="1201"/>
    </row>
    <row r="2201" spans="12:20">
      <c r="L2201" s="1179"/>
      <c r="M2201" s="1183"/>
      <c r="N2201" s="1183"/>
      <c r="O2201" s="1183"/>
      <c r="P2201" s="1201"/>
      <c r="Q2201" s="1201"/>
      <c r="R2201" s="1201"/>
      <c r="S2201" s="1201"/>
      <c r="T2201" s="1201"/>
    </row>
    <row r="2202" spans="12:20">
      <c r="L2202" s="1179"/>
      <c r="M2202" s="1183"/>
      <c r="N2202" s="1183"/>
      <c r="O2202" s="1183"/>
      <c r="P2202" s="1201"/>
      <c r="Q2202" s="1201"/>
      <c r="R2202" s="1201"/>
      <c r="S2202" s="1201"/>
      <c r="T2202" s="1201"/>
    </row>
    <row r="2203" spans="12:20">
      <c r="L2203" s="1179"/>
      <c r="M2203" s="1183"/>
      <c r="N2203" s="1183"/>
      <c r="O2203" s="1183"/>
      <c r="P2203" s="1201"/>
      <c r="Q2203" s="1201"/>
      <c r="R2203" s="1201"/>
      <c r="S2203" s="1201"/>
      <c r="T2203" s="1201"/>
    </row>
    <row r="2204" spans="12:20">
      <c r="L2204" s="1179"/>
      <c r="M2204" s="1183"/>
      <c r="N2204" s="1183"/>
      <c r="O2204" s="1183"/>
      <c r="P2204" s="1201"/>
      <c r="Q2204" s="1201"/>
      <c r="R2204" s="1201"/>
      <c r="S2204" s="1201"/>
      <c r="T2204" s="1201"/>
    </row>
    <row r="2205" spans="12:20">
      <c r="L2205" s="1179"/>
      <c r="M2205" s="1183"/>
      <c r="N2205" s="1183"/>
      <c r="O2205" s="1183"/>
      <c r="P2205" s="1201"/>
      <c r="Q2205" s="1201"/>
      <c r="R2205" s="1201"/>
      <c r="S2205" s="1201"/>
      <c r="T2205" s="1201"/>
    </row>
    <row r="2206" spans="12:20">
      <c r="L2206" s="1179"/>
      <c r="M2206" s="1183"/>
      <c r="N2206" s="1183"/>
      <c r="O2206" s="1183"/>
      <c r="P2206" s="1201"/>
      <c r="Q2206" s="1201"/>
      <c r="R2206" s="1201"/>
      <c r="S2206" s="1201"/>
      <c r="T2206" s="1201"/>
    </row>
    <row r="2207" spans="12:20">
      <c r="L2207" s="1179"/>
      <c r="M2207" s="1183"/>
      <c r="N2207" s="1183"/>
      <c r="O2207" s="1183"/>
      <c r="P2207" s="1201"/>
      <c r="Q2207" s="1201"/>
      <c r="R2207" s="1201"/>
      <c r="S2207" s="1201"/>
      <c r="T2207" s="1201"/>
    </row>
    <row r="2208" spans="12:20">
      <c r="L2208" s="1179"/>
      <c r="M2208" s="1183"/>
      <c r="N2208" s="1183"/>
      <c r="O2208" s="1183"/>
      <c r="P2208" s="1201"/>
      <c r="Q2208" s="1201"/>
      <c r="R2208" s="1201"/>
      <c r="S2208" s="1201"/>
      <c r="T2208" s="1201"/>
    </row>
    <row r="2209" spans="12:20">
      <c r="L2209" s="1179"/>
      <c r="M2209" s="1183"/>
      <c r="N2209" s="1183"/>
      <c r="O2209" s="1183"/>
      <c r="P2209" s="1201"/>
      <c r="Q2209" s="1201"/>
      <c r="R2209" s="1201"/>
      <c r="S2209" s="1201"/>
      <c r="T2209" s="1201"/>
    </row>
    <row r="2210" spans="12:20">
      <c r="L2210" s="1179"/>
      <c r="M2210" s="1183"/>
      <c r="N2210" s="1183"/>
      <c r="O2210" s="1183"/>
      <c r="P2210" s="1201"/>
      <c r="Q2210" s="1201"/>
      <c r="R2210" s="1201"/>
      <c r="S2210" s="1201"/>
      <c r="T2210" s="1201"/>
    </row>
    <row r="2211" spans="12:20">
      <c r="L2211" s="1179"/>
      <c r="M2211" s="1183"/>
      <c r="N2211" s="1183"/>
      <c r="O2211" s="1183"/>
      <c r="P2211" s="1201"/>
      <c r="Q2211" s="1201"/>
      <c r="R2211" s="1201"/>
      <c r="S2211" s="1201"/>
      <c r="T2211" s="1201"/>
    </row>
    <row r="2212" spans="12:20">
      <c r="L2212" s="1179"/>
      <c r="M2212" s="1183"/>
      <c r="N2212" s="1183"/>
      <c r="O2212" s="1183"/>
      <c r="P2212" s="1201"/>
      <c r="Q2212" s="1201"/>
      <c r="R2212" s="1201"/>
      <c r="S2212" s="1201"/>
      <c r="T2212" s="1201"/>
    </row>
    <row r="2213" spans="12:20">
      <c r="L2213" s="1179"/>
      <c r="M2213" s="1183"/>
      <c r="N2213" s="1183"/>
      <c r="O2213" s="1183"/>
      <c r="P2213" s="1201"/>
      <c r="Q2213" s="1201"/>
      <c r="R2213" s="1201"/>
      <c r="S2213" s="1201"/>
      <c r="T2213" s="1201"/>
    </row>
    <row r="2214" spans="12:20">
      <c r="L2214" s="1179"/>
      <c r="M2214" s="1183"/>
      <c r="N2214" s="1183"/>
      <c r="O2214" s="1183"/>
      <c r="P2214" s="1201"/>
      <c r="Q2214" s="1201"/>
      <c r="R2214" s="1201"/>
      <c r="S2214" s="1201"/>
      <c r="T2214" s="1201"/>
    </row>
    <row r="2215" spans="12:20">
      <c r="L2215" s="1179"/>
      <c r="M2215" s="1183"/>
      <c r="N2215" s="1183"/>
      <c r="O2215" s="1183"/>
      <c r="P2215" s="1201"/>
      <c r="Q2215" s="1201"/>
      <c r="R2215" s="1201"/>
      <c r="S2215" s="1201"/>
      <c r="T2215" s="1201"/>
    </row>
    <row r="2216" spans="12:20">
      <c r="L2216" s="1179"/>
      <c r="M2216" s="1183"/>
      <c r="N2216" s="1183"/>
      <c r="O2216" s="1183"/>
      <c r="P2216" s="1201"/>
      <c r="Q2216" s="1201"/>
      <c r="R2216" s="1201"/>
      <c r="S2216" s="1201"/>
      <c r="T2216" s="1201"/>
    </row>
    <row r="2217" spans="12:20">
      <c r="L2217" s="1179"/>
      <c r="M2217" s="1183"/>
      <c r="N2217" s="1183"/>
      <c r="O2217" s="1183"/>
      <c r="P2217" s="1201"/>
      <c r="Q2217" s="1201"/>
      <c r="R2217" s="1201"/>
      <c r="S2217" s="1201"/>
      <c r="T2217" s="1201"/>
    </row>
    <row r="2218" spans="12:20">
      <c r="L2218" s="1179"/>
      <c r="M2218" s="1183"/>
      <c r="N2218" s="1183"/>
      <c r="O2218" s="1183"/>
      <c r="P2218" s="1201"/>
      <c r="Q2218" s="1201"/>
      <c r="R2218" s="1201"/>
      <c r="S2218" s="1201"/>
      <c r="T2218" s="1201"/>
    </row>
    <row r="2219" spans="12:20">
      <c r="L2219" s="1179"/>
      <c r="M2219" s="1183"/>
      <c r="N2219" s="1183"/>
      <c r="O2219" s="1183"/>
      <c r="P2219" s="1201"/>
      <c r="Q2219" s="1201"/>
      <c r="R2219" s="1201"/>
      <c r="S2219" s="1201"/>
      <c r="T2219" s="1201"/>
    </row>
    <row r="2220" spans="12:20">
      <c r="L2220" s="1179"/>
      <c r="M2220" s="1183"/>
      <c r="N2220" s="1183"/>
      <c r="O2220" s="1183"/>
      <c r="P2220" s="1201"/>
      <c r="Q2220" s="1201"/>
      <c r="R2220" s="1201"/>
      <c r="S2220" s="1201"/>
      <c r="T2220" s="1201"/>
    </row>
    <row r="2221" spans="12:20">
      <c r="L2221" s="1179"/>
      <c r="M2221" s="1183"/>
      <c r="N2221" s="1183"/>
      <c r="O2221" s="1183"/>
      <c r="P2221" s="1201"/>
      <c r="Q2221" s="1201"/>
      <c r="R2221" s="1201"/>
      <c r="S2221" s="1201"/>
      <c r="T2221" s="1201"/>
    </row>
    <row r="2222" spans="12:20">
      <c r="L2222" s="1179"/>
      <c r="M2222" s="1183"/>
      <c r="N2222" s="1183"/>
      <c r="O2222" s="1183"/>
      <c r="P2222" s="1201"/>
      <c r="Q2222" s="1201"/>
      <c r="R2222" s="1201"/>
      <c r="S2222" s="1201"/>
      <c r="T2222" s="1201"/>
    </row>
    <row r="2223" spans="12:20">
      <c r="L2223" s="1179"/>
      <c r="M2223" s="1183"/>
      <c r="N2223" s="1183"/>
      <c r="O2223" s="1183"/>
      <c r="P2223" s="1201"/>
      <c r="Q2223" s="1201"/>
      <c r="R2223" s="1201"/>
      <c r="S2223" s="1201"/>
      <c r="T2223" s="1201"/>
    </row>
    <row r="2224" spans="12:20">
      <c r="L2224" s="1179"/>
      <c r="M2224" s="1183"/>
      <c r="N2224" s="1183"/>
      <c r="O2224" s="1183"/>
      <c r="P2224" s="1201"/>
      <c r="Q2224" s="1201"/>
      <c r="R2224" s="1201"/>
      <c r="S2224" s="1201"/>
      <c r="T2224" s="1201"/>
    </row>
    <row r="2225" spans="12:20">
      <c r="L2225" s="1179"/>
      <c r="M2225" s="1183"/>
      <c r="N2225" s="1183"/>
      <c r="O2225" s="1183"/>
      <c r="P2225" s="1201"/>
      <c r="Q2225" s="1201"/>
      <c r="R2225" s="1201"/>
      <c r="S2225" s="1201"/>
      <c r="T2225" s="1201"/>
    </row>
    <row r="2226" spans="12:20">
      <c r="L2226" s="1179"/>
      <c r="M2226" s="1183"/>
      <c r="N2226" s="1183"/>
      <c r="O2226" s="1183"/>
      <c r="P2226" s="1201"/>
      <c r="Q2226" s="1201"/>
      <c r="R2226" s="1201"/>
      <c r="S2226" s="1201"/>
      <c r="T2226" s="1201"/>
    </row>
    <row r="2227" spans="12:20">
      <c r="L2227" s="1179"/>
      <c r="M2227" s="1183"/>
      <c r="N2227" s="1183"/>
      <c r="O2227" s="1183"/>
      <c r="P2227" s="1201"/>
      <c r="Q2227" s="1201"/>
      <c r="R2227" s="1201"/>
      <c r="S2227" s="1201"/>
      <c r="T2227" s="1201"/>
    </row>
    <row r="2228" spans="12:20">
      <c r="L2228" s="1179"/>
      <c r="M2228" s="1183"/>
      <c r="N2228" s="1183"/>
      <c r="O2228" s="1183"/>
      <c r="P2228" s="1201"/>
      <c r="Q2228" s="1201"/>
      <c r="R2228" s="1201"/>
      <c r="S2228" s="1201"/>
      <c r="T2228" s="1201"/>
    </row>
    <row r="2229" spans="12:20">
      <c r="L2229" s="1179"/>
      <c r="M2229" s="1183"/>
      <c r="N2229" s="1183"/>
      <c r="O2229" s="1183"/>
      <c r="P2229" s="1201"/>
      <c r="Q2229" s="1201"/>
      <c r="R2229" s="1201"/>
      <c r="S2229" s="1201"/>
      <c r="T2229" s="1201"/>
    </row>
    <row r="2230" spans="12:20">
      <c r="L2230" s="1179"/>
      <c r="M2230" s="1183"/>
      <c r="N2230" s="1183"/>
      <c r="O2230" s="1183"/>
      <c r="P2230" s="1201"/>
      <c r="Q2230" s="1201"/>
      <c r="R2230" s="1201"/>
      <c r="S2230" s="1201"/>
      <c r="T2230" s="1201"/>
    </row>
    <row r="2231" spans="12:20">
      <c r="L2231" s="1179"/>
      <c r="M2231" s="1183"/>
      <c r="N2231" s="1183"/>
      <c r="O2231" s="1183"/>
      <c r="P2231" s="1201"/>
      <c r="Q2231" s="1201"/>
      <c r="R2231" s="1201"/>
      <c r="S2231" s="1201"/>
      <c r="T2231" s="1201"/>
    </row>
    <row r="2232" spans="12:20">
      <c r="L2232" s="1179"/>
      <c r="M2232" s="1183"/>
      <c r="N2232" s="1183"/>
      <c r="O2232" s="1183"/>
      <c r="P2232" s="1201"/>
      <c r="Q2232" s="1201"/>
      <c r="R2232" s="1201"/>
      <c r="S2232" s="1201"/>
      <c r="T2232" s="1201"/>
    </row>
    <row r="2233" spans="12:20">
      <c r="L2233" s="1179"/>
      <c r="M2233" s="1183"/>
      <c r="N2233" s="1183"/>
      <c r="O2233" s="1183"/>
      <c r="P2233" s="1201"/>
      <c r="Q2233" s="1201"/>
      <c r="R2233" s="1201"/>
      <c r="S2233" s="1201"/>
      <c r="T2233" s="1201"/>
    </row>
    <row r="2234" spans="12:20">
      <c r="L2234" s="1179"/>
      <c r="M2234" s="1183"/>
      <c r="N2234" s="1183"/>
      <c r="O2234" s="1183"/>
      <c r="P2234" s="1201"/>
      <c r="Q2234" s="1201"/>
      <c r="R2234" s="1201"/>
      <c r="S2234" s="1201"/>
      <c r="T2234" s="1201"/>
    </row>
    <row r="2235" spans="12:20">
      <c r="L2235" s="1179"/>
      <c r="M2235" s="1183"/>
      <c r="N2235" s="1183"/>
      <c r="O2235" s="1183"/>
      <c r="P2235" s="1201"/>
      <c r="Q2235" s="1201"/>
      <c r="R2235" s="1201"/>
      <c r="S2235" s="1201"/>
      <c r="T2235" s="1201"/>
    </row>
    <row r="2236" spans="12:20">
      <c r="L2236" s="1179"/>
      <c r="M2236" s="1183"/>
      <c r="N2236" s="1183"/>
      <c r="O2236" s="1183"/>
      <c r="P2236" s="1201"/>
      <c r="Q2236" s="1201"/>
      <c r="R2236" s="1201"/>
      <c r="S2236" s="1201"/>
      <c r="T2236" s="1201"/>
    </row>
    <row r="2237" spans="12:20">
      <c r="L2237" s="1179"/>
      <c r="M2237" s="1183"/>
      <c r="N2237" s="1183"/>
      <c r="O2237" s="1183"/>
      <c r="P2237" s="1201"/>
      <c r="Q2237" s="1201"/>
      <c r="R2237" s="1201"/>
      <c r="S2237" s="1201"/>
      <c r="T2237" s="1201"/>
    </row>
    <row r="2238" spans="12:20">
      <c r="L2238" s="1179"/>
      <c r="M2238" s="1183"/>
      <c r="N2238" s="1183"/>
      <c r="O2238" s="1183"/>
      <c r="P2238" s="1201"/>
      <c r="Q2238" s="1201"/>
      <c r="R2238" s="1201"/>
      <c r="S2238" s="1201"/>
      <c r="T2238" s="1201"/>
    </row>
    <row r="2239" spans="12:20">
      <c r="L2239" s="1179"/>
      <c r="M2239" s="1183"/>
      <c r="N2239" s="1183"/>
      <c r="O2239" s="1183"/>
      <c r="P2239" s="1201"/>
      <c r="Q2239" s="1201"/>
      <c r="R2239" s="1201"/>
      <c r="S2239" s="1201"/>
      <c r="T2239" s="1201"/>
    </row>
    <row r="2240" spans="12:20">
      <c r="L2240" s="1179"/>
      <c r="M2240" s="1183"/>
      <c r="N2240" s="1183"/>
      <c r="O2240" s="1183"/>
      <c r="P2240" s="1201"/>
      <c r="Q2240" s="1201"/>
      <c r="R2240" s="1201"/>
      <c r="S2240" s="1201"/>
      <c r="T2240" s="1201"/>
    </row>
    <row r="2241" spans="12:20">
      <c r="L2241" s="1179"/>
      <c r="M2241" s="1183"/>
      <c r="N2241" s="1183"/>
      <c r="O2241" s="1183"/>
      <c r="P2241" s="1201"/>
      <c r="Q2241" s="1201"/>
      <c r="R2241" s="1201"/>
      <c r="S2241" s="1201"/>
      <c r="T2241" s="1201"/>
    </row>
    <row r="2242" spans="12:20">
      <c r="L2242" s="1179"/>
      <c r="M2242" s="1183"/>
      <c r="N2242" s="1183"/>
      <c r="O2242" s="1183"/>
      <c r="P2242" s="1201"/>
      <c r="Q2242" s="1201"/>
      <c r="R2242" s="1201"/>
      <c r="S2242" s="1201"/>
      <c r="T2242" s="1201"/>
    </row>
    <row r="2243" spans="12:20">
      <c r="L2243" s="1179"/>
      <c r="M2243" s="1183"/>
      <c r="N2243" s="1183"/>
      <c r="O2243" s="1183"/>
      <c r="P2243" s="1201"/>
      <c r="Q2243" s="1201"/>
      <c r="R2243" s="1201"/>
      <c r="S2243" s="1201"/>
      <c r="T2243" s="1201"/>
    </row>
    <row r="2244" spans="12:20">
      <c r="L2244" s="1179"/>
      <c r="M2244" s="1183"/>
      <c r="N2244" s="1183"/>
      <c r="O2244" s="1183"/>
      <c r="P2244" s="1201"/>
      <c r="Q2244" s="1201"/>
      <c r="R2244" s="1201"/>
      <c r="S2244" s="1201"/>
      <c r="T2244" s="1201"/>
    </row>
    <row r="2245" spans="12:20">
      <c r="L2245" s="1179"/>
      <c r="M2245" s="1183"/>
      <c r="N2245" s="1183"/>
      <c r="O2245" s="1183"/>
      <c r="P2245" s="1201"/>
      <c r="Q2245" s="1201"/>
      <c r="R2245" s="1201"/>
      <c r="S2245" s="1201"/>
      <c r="T2245" s="1201"/>
    </row>
    <row r="2246" spans="12:20">
      <c r="L2246" s="1179"/>
      <c r="M2246" s="1183"/>
      <c r="N2246" s="1183"/>
      <c r="O2246" s="1183"/>
      <c r="P2246" s="1201"/>
      <c r="Q2246" s="1201"/>
      <c r="R2246" s="1201"/>
      <c r="S2246" s="1201"/>
      <c r="T2246" s="1201"/>
    </row>
    <row r="2247" spans="12:20">
      <c r="L2247" s="1179"/>
      <c r="M2247" s="1183"/>
      <c r="N2247" s="1183"/>
      <c r="O2247" s="1183"/>
      <c r="P2247" s="1201"/>
      <c r="Q2247" s="1201"/>
      <c r="R2247" s="1201"/>
      <c r="S2247" s="1201"/>
      <c r="T2247" s="1201"/>
    </row>
    <row r="2248" spans="12:20">
      <c r="L2248" s="1179"/>
      <c r="M2248" s="1183"/>
      <c r="N2248" s="1183"/>
      <c r="O2248" s="1183"/>
      <c r="P2248" s="1201"/>
      <c r="Q2248" s="1201"/>
      <c r="R2248" s="1201"/>
      <c r="S2248" s="1201"/>
      <c r="T2248" s="1201"/>
    </row>
    <row r="2249" spans="12:20">
      <c r="L2249" s="1179"/>
      <c r="M2249" s="1183"/>
      <c r="N2249" s="1183"/>
      <c r="O2249" s="1183"/>
      <c r="P2249" s="1201"/>
      <c r="Q2249" s="1201"/>
      <c r="R2249" s="1201"/>
      <c r="S2249" s="1201"/>
      <c r="T2249" s="1201"/>
    </row>
    <row r="2250" spans="12:20">
      <c r="L2250" s="1179"/>
      <c r="M2250" s="1183"/>
      <c r="N2250" s="1183"/>
      <c r="O2250" s="1183"/>
      <c r="P2250" s="1201"/>
      <c r="Q2250" s="1201"/>
      <c r="R2250" s="1201"/>
      <c r="S2250" s="1201"/>
      <c r="T2250" s="1201"/>
    </row>
    <row r="2251" spans="12:20">
      <c r="L2251" s="1179"/>
      <c r="M2251" s="1183"/>
      <c r="N2251" s="1183"/>
      <c r="O2251" s="1183"/>
      <c r="P2251" s="1201"/>
      <c r="Q2251" s="1201"/>
      <c r="R2251" s="1201"/>
      <c r="S2251" s="1201"/>
      <c r="T2251" s="1201"/>
    </row>
    <row r="2252" spans="12:20">
      <c r="L2252" s="1179"/>
      <c r="M2252" s="1183"/>
      <c r="N2252" s="1183"/>
      <c r="O2252" s="1183"/>
      <c r="P2252" s="1201"/>
      <c r="Q2252" s="1201"/>
      <c r="R2252" s="1201"/>
      <c r="S2252" s="1201"/>
      <c r="T2252" s="1201"/>
    </row>
    <row r="2253" spans="12:20">
      <c r="L2253" s="1179"/>
      <c r="M2253" s="1183"/>
      <c r="N2253" s="1183"/>
      <c r="O2253" s="1183"/>
      <c r="P2253" s="1201"/>
      <c r="Q2253" s="1201"/>
      <c r="R2253" s="1201"/>
      <c r="S2253" s="1201"/>
      <c r="T2253" s="1201"/>
    </row>
    <row r="2254" spans="12:20">
      <c r="L2254" s="1179"/>
      <c r="M2254" s="1183"/>
      <c r="N2254" s="1183"/>
      <c r="O2254" s="1183"/>
      <c r="P2254" s="1201"/>
      <c r="Q2254" s="1201"/>
      <c r="R2254" s="1201"/>
      <c r="S2254" s="1201"/>
      <c r="T2254" s="1201"/>
    </row>
    <row r="2255" spans="12:20">
      <c r="L2255" s="1179"/>
      <c r="M2255" s="1183"/>
      <c r="N2255" s="1183"/>
      <c r="O2255" s="1183"/>
      <c r="P2255" s="1201"/>
      <c r="Q2255" s="1201"/>
      <c r="R2255" s="1201"/>
      <c r="S2255" s="1201"/>
      <c r="T2255" s="1201"/>
    </row>
    <row r="2256" spans="12:20">
      <c r="L2256" s="1179"/>
      <c r="M2256" s="1183"/>
      <c r="N2256" s="1183"/>
      <c r="O2256" s="1183"/>
      <c r="P2256" s="1201"/>
      <c r="Q2256" s="1201"/>
      <c r="R2256" s="1201"/>
      <c r="S2256" s="1201"/>
      <c r="T2256" s="1201"/>
    </row>
    <row r="2257" spans="12:20">
      <c r="L2257" s="1179"/>
      <c r="M2257" s="1183"/>
      <c r="N2257" s="1183"/>
      <c r="O2257" s="1183"/>
      <c r="P2257" s="1201"/>
      <c r="Q2257" s="1201"/>
      <c r="R2257" s="1201"/>
      <c r="S2257" s="1201"/>
      <c r="T2257" s="1201"/>
    </row>
    <row r="2258" spans="12:20">
      <c r="L2258" s="1179"/>
      <c r="M2258" s="1183"/>
      <c r="N2258" s="1183"/>
      <c r="O2258" s="1183"/>
      <c r="P2258" s="1201"/>
      <c r="Q2258" s="1201"/>
      <c r="R2258" s="1201"/>
      <c r="S2258" s="1201"/>
      <c r="T2258" s="1201"/>
    </row>
    <row r="2259" spans="12:20">
      <c r="L2259" s="1179"/>
      <c r="M2259" s="1183"/>
      <c r="N2259" s="1183"/>
      <c r="O2259" s="1183"/>
      <c r="P2259" s="1201"/>
      <c r="Q2259" s="1201"/>
      <c r="R2259" s="1201"/>
      <c r="S2259" s="1201"/>
      <c r="T2259" s="1201"/>
    </row>
    <row r="2260" spans="12:20">
      <c r="L2260" s="1179"/>
      <c r="M2260" s="1183"/>
      <c r="N2260" s="1183"/>
      <c r="O2260" s="1183"/>
      <c r="P2260" s="1201"/>
      <c r="Q2260" s="1201"/>
      <c r="R2260" s="1201"/>
      <c r="S2260" s="1201"/>
      <c r="T2260" s="1201"/>
    </row>
    <row r="2261" spans="12:20">
      <c r="L2261" s="1179"/>
      <c r="M2261" s="1183"/>
      <c r="N2261" s="1183"/>
      <c r="O2261" s="1183"/>
      <c r="P2261" s="1201"/>
      <c r="Q2261" s="1201"/>
      <c r="R2261" s="1201"/>
      <c r="S2261" s="1201"/>
      <c r="T2261" s="1201"/>
    </row>
    <row r="2262" spans="12:20">
      <c r="L2262" s="1179"/>
      <c r="M2262" s="1183"/>
      <c r="N2262" s="1183"/>
      <c r="O2262" s="1183"/>
      <c r="P2262" s="1201"/>
      <c r="Q2262" s="1201"/>
      <c r="R2262" s="1201"/>
      <c r="S2262" s="1201"/>
      <c r="T2262" s="1201"/>
    </row>
    <row r="2263" spans="12:20">
      <c r="L2263" s="1179"/>
      <c r="M2263" s="1183"/>
      <c r="N2263" s="1183"/>
      <c r="O2263" s="1183"/>
      <c r="P2263" s="1201"/>
      <c r="Q2263" s="1201"/>
      <c r="R2263" s="1201"/>
      <c r="S2263" s="1201"/>
      <c r="T2263" s="1201"/>
    </row>
    <row r="2264" spans="12:20">
      <c r="L2264" s="1179"/>
      <c r="M2264" s="1183"/>
      <c r="N2264" s="1183"/>
      <c r="O2264" s="1183"/>
      <c r="P2264" s="1201"/>
      <c r="Q2264" s="1201"/>
      <c r="R2264" s="1201"/>
      <c r="S2264" s="1201"/>
      <c r="T2264" s="1201"/>
    </row>
    <row r="2265" spans="12:20">
      <c r="L2265" s="1179"/>
      <c r="M2265" s="1183"/>
      <c r="N2265" s="1183"/>
      <c r="O2265" s="1183"/>
      <c r="P2265" s="1201"/>
      <c r="Q2265" s="1201"/>
      <c r="R2265" s="1201"/>
      <c r="S2265" s="1201"/>
      <c r="T2265" s="1201"/>
    </row>
    <row r="2266" spans="12:20">
      <c r="L2266" s="1179"/>
      <c r="M2266" s="1183"/>
      <c r="N2266" s="1183"/>
      <c r="O2266" s="1183"/>
      <c r="P2266" s="1201"/>
      <c r="Q2266" s="1201"/>
      <c r="R2266" s="1201"/>
      <c r="S2266" s="1201"/>
      <c r="T2266" s="1201"/>
    </row>
    <row r="2267" spans="12:20">
      <c r="L2267" s="1179"/>
      <c r="M2267" s="1183"/>
      <c r="N2267" s="1183"/>
      <c r="O2267" s="1183"/>
      <c r="P2267" s="1201"/>
      <c r="Q2267" s="1201"/>
      <c r="R2267" s="1201"/>
      <c r="S2267" s="1201"/>
      <c r="T2267" s="1201"/>
    </row>
    <row r="2268" spans="12:20">
      <c r="L2268" s="1179"/>
      <c r="M2268" s="1183"/>
      <c r="N2268" s="1183"/>
      <c r="O2268" s="1183"/>
      <c r="P2268" s="1201"/>
      <c r="Q2268" s="1201"/>
      <c r="R2268" s="1201"/>
      <c r="S2268" s="1201"/>
      <c r="T2268" s="1201"/>
    </row>
    <row r="2269" spans="12:20">
      <c r="L2269" s="1179"/>
      <c r="M2269" s="1183"/>
      <c r="N2269" s="1183"/>
      <c r="O2269" s="1183"/>
      <c r="P2269" s="1201"/>
      <c r="Q2269" s="1201"/>
      <c r="R2269" s="1201"/>
      <c r="S2269" s="1201"/>
      <c r="T2269" s="1201"/>
    </row>
    <row r="2270" spans="12:20">
      <c r="L2270" s="1179"/>
      <c r="M2270" s="1183"/>
      <c r="N2270" s="1183"/>
      <c r="O2270" s="1183"/>
      <c r="P2270" s="1201"/>
      <c r="Q2270" s="1201"/>
      <c r="R2270" s="1201"/>
      <c r="S2270" s="1201"/>
      <c r="T2270" s="1201"/>
    </row>
    <row r="2271" spans="12:20">
      <c r="L2271" s="1179"/>
      <c r="M2271" s="1183"/>
      <c r="N2271" s="1183"/>
      <c r="O2271" s="1183"/>
      <c r="P2271" s="1201"/>
      <c r="Q2271" s="1201"/>
      <c r="R2271" s="1201"/>
      <c r="S2271" s="1201"/>
      <c r="T2271" s="1201"/>
    </row>
    <row r="2272" spans="12:20">
      <c r="L2272" s="1179"/>
      <c r="M2272" s="1183"/>
      <c r="N2272" s="1183"/>
      <c r="O2272" s="1183"/>
      <c r="P2272" s="1201"/>
      <c r="Q2272" s="1201"/>
      <c r="R2272" s="1201"/>
      <c r="S2272" s="1201"/>
      <c r="T2272" s="1201"/>
    </row>
    <row r="2273" spans="12:20">
      <c r="L2273" s="1179"/>
      <c r="M2273" s="1183"/>
      <c r="N2273" s="1183"/>
      <c r="O2273" s="1183"/>
      <c r="P2273" s="1201"/>
      <c r="Q2273" s="1201"/>
      <c r="R2273" s="1201"/>
      <c r="S2273" s="1201"/>
      <c r="T2273" s="1201"/>
    </row>
    <row r="2274" spans="12:20">
      <c r="L2274" s="1179"/>
      <c r="M2274" s="1183"/>
      <c r="N2274" s="1183"/>
      <c r="O2274" s="1183"/>
      <c r="P2274" s="1201"/>
      <c r="Q2274" s="1201"/>
      <c r="R2274" s="1201"/>
      <c r="S2274" s="1201"/>
      <c r="T2274" s="1201"/>
    </row>
    <row r="2275" spans="12:20">
      <c r="L2275" s="1179"/>
      <c r="M2275" s="1183"/>
      <c r="N2275" s="1183"/>
      <c r="O2275" s="1183"/>
      <c r="P2275" s="1201"/>
      <c r="Q2275" s="1201"/>
      <c r="R2275" s="1201"/>
      <c r="S2275" s="1201"/>
      <c r="T2275" s="1201"/>
    </row>
    <row r="2276" spans="12:20">
      <c r="L2276" s="1179"/>
      <c r="M2276" s="1183"/>
      <c r="N2276" s="1183"/>
      <c r="O2276" s="1183"/>
      <c r="P2276" s="1201"/>
      <c r="Q2276" s="1201"/>
      <c r="R2276" s="1201"/>
      <c r="S2276" s="1201"/>
      <c r="T2276" s="1201"/>
    </row>
    <row r="2277" spans="12:20">
      <c r="L2277" s="1179"/>
      <c r="M2277" s="1183"/>
      <c r="N2277" s="1183"/>
      <c r="O2277" s="1183"/>
      <c r="P2277" s="1201"/>
      <c r="Q2277" s="1201"/>
      <c r="R2277" s="1201"/>
      <c r="S2277" s="1201"/>
      <c r="T2277" s="1201"/>
    </row>
    <row r="2278" spans="12:20">
      <c r="L2278" s="1179"/>
      <c r="M2278" s="1183"/>
      <c r="N2278" s="1183"/>
      <c r="O2278" s="1183"/>
      <c r="P2278" s="1201"/>
      <c r="Q2278" s="1201"/>
      <c r="R2278" s="1201"/>
      <c r="S2278" s="1201"/>
      <c r="T2278" s="1201"/>
    </row>
    <row r="2279" spans="12:20">
      <c r="L2279" s="1179"/>
      <c r="M2279" s="1183"/>
      <c r="N2279" s="1183"/>
      <c r="O2279" s="1183"/>
      <c r="P2279" s="1201"/>
      <c r="Q2279" s="1201"/>
      <c r="R2279" s="1201"/>
      <c r="S2279" s="1201"/>
      <c r="T2279" s="1201"/>
    </row>
    <row r="2280" spans="12:20">
      <c r="L2280" s="1179"/>
      <c r="M2280" s="1183"/>
      <c r="N2280" s="1183"/>
      <c r="O2280" s="1183"/>
      <c r="P2280" s="1201"/>
      <c r="Q2280" s="1201"/>
      <c r="R2280" s="1201"/>
      <c r="S2280" s="1201"/>
      <c r="T2280" s="1201"/>
    </row>
    <row r="2281" spans="12:20">
      <c r="L2281" s="1179"/>
      <c r="M2281" s="1183"/>
      <c r="N2281" s="1183"/>
      <c r="O2281" s="1183"/>
      <c r="P2281" s="1201"/>
      <c r="Q2281" s="1201"/>
      <c r="R2281" s="1201"/>
      <c r="S2281" s="1201"/>
      <c r="T2281" s="1201"/>
    </row>
    <row r="2282" spans="12:20">
      <c r="L2282" s="1179"/>
      <c r="M2282" s="1183"/>
      <c r="N2282" s="1183"/>
      <c r="O2282" s="1183"/>
      <c r="P2282" s="1201"/>
      <c r="Q2282" s="1201"/>
      <c r="R2282" s="1201"/>
      <c r="S2282" s="1201"/>
      <c r="T2282" s="1201"/>
    </row>
    <row r="2283" spans="12:20">
      <c r="L2283" s="1179"/>
      <c r="M2283" s="1183"/>
      <c r="N2283" s="1183"/>
      <c r="O2283" s="1183"/>
      <c r="P2283" s="1201"/>
      <c r="Q2283" s="1201"/>
      <c r="R2283" s="1201"/>
      <c r="S2283" s="1201"/>
      <c r="T2283" s="1201"/>
    </row>
    <row r="2284" spans="12:20">
      <c r="L2284" s="1179"/>
      <c r="M2284" s="1183"/>
      <c r="N2284" s="1183"/>
      <c r="O2284" s="1183"/>
      <c r="P2284" s="1201"/>
      <c r="Q2284" s="1201"/>
      <c r="R2284" s="1201"/>
      <c r="S2284" s="1201"/>
      <c r="T2284" s="1201"/>
    </row>
    <row r="2285" spans="12:20">
      <c r="L2285" s="1179"/>
      <c r="M2285" s="1183"/>
      <c r="N2285" s="1183"/>
      <c r="O2285" s="1183"/>
      <c r="P2285" s="1201"/>
      <c r="Q2285" s="1201"/>
      <c r="R2285" s="1201"/>
      <c r="S2285" s="1201"/>
      <c r="T2285" s="1201"/>
    </row>
    <row r="2286" spans="12:20">
      <c r="L2286" s="1179"/>
      <c r="M2286" s="1183"/>
      <c r="N2286" s="1183"/>
      <c r="O2286" s="1183"/>
      <c r="P2286" s="1201"/>
      <c r="Q2286" s="1201"/>
      <c r="R2286" s="1201"/>
      <c r="S2286" s="1201"/>
      <c r="T2286" s="1201"/>
    </row>
    <row r="2287" spans="12:20">
      <c r="L2287" s="1179"/>
      <c r="M2287" s="1183"/>
      <c r="N2287" s="1183"/>
      <c r="O2287" s="1183"/>
      <c r="P2287" s="1201"/>
      <c r="Q2287" s="1201"/>
      <c r="R2287" s="1201"/>
      <c r="S2287" s="1201"/>
      <c r="T2287" s="1201"/>
    </row>
    <row r="2288" spans="12:20">
      <c r="L2288" s="1179"/>
      <c r="M2288" s="1183"/>
      <c r="N2288" s="1183"/>
      <c r="O2288" s="1183"/>
      <c r="P2288" s="1201"/>
      <c r="Q2288" s="1201"/>
      <c r="R2288" s="1201"/>
      <c r="S2288" s="1201"/>
      <c r="T2288" s="1201"/>
    </row>
    <row r="2289" spans="12:20">
      <c r="L2289" s="1179"/>
      <c r="M2289" s="1183"/>
      <c r="N2289" s="1183"/>
      <c r="O2289" s="1183"/>
      <c r="P2289" s="1201"/>
      <c r="Q2289" s="1201"/>
      <c r="R2289" s="1201"/>
      <c r="S2289" s="1201"/>
      <c r="T2289" s="1201"/>
    </row>
    <row r="2290" spans="12:20">
      <c r="L2290" s="1179"/>
      <c r="M2290" s="1183"/>
      <c r="N2290" s="1183"/>
      <c r="O2290" s="1183"/>
      <c r="P2290" s="1201"/>
      <c r="Q2290" s="1201"/>
      <c r="R2290" s="1201"/>
      <c r="S2290" s="1201"/>
      <c r="T2290" s="1201"/>
    </row>
    <row r="2291" spans="12:20">
      <c r="L2291" s="1179"/>
      <c r="M2291" s="1183"/>
      <c r="N2291" s="1183"/>
      <c r="O2291" s="1183"/>
      <c r="P2291" s="1201"/>
      <c r="Q2291" s="1201"/>
      <c r="R2291" s="1201"/>
      <c r="S2291" s="1201"/>
      <c r="T2291" s="1201"/>
    </row>
    <row r="2292" spans="12:20">
      <c r="L2292" s="1179"/>
      <c r="M2292" s="1183"/>
      <c r="N2292" s="1183"/>
      <c r="O2292" s="1183"/>
      <c r="P2292" s="1201"/>
      <c r="Q2292" s="1201"/>
      <c r="R2292" s="1201"/>
      <c r="S2292" s="1201"/>
      <c r="T2292" s="1201"/>
    </row>
    <row r="2293" spans="12:20">
      <c r="L2293" s="1179"/>
      <c r="M2293" s="1183"/>
      <c r="N2293" s="1183"/>
      <c r="O2293" s="1183"/>
      <c r="P2293" s="1201"/>
      <c r="Q2293" s="1201"/>
      <c r="R2293" s="1201"/>
      <c r="S2293" s="1201"/>
      <c r="T2293" s="1201"/>
    </row>
    <row r="2294" spans="12:20">
      <c r="L2294" s="1179"/>
      <c r="M2294" s="1183"/>
      <c r="N2294" s="1183"/>
      <c r="O2294" s="1183"/>
      <c r="P2294" s="1201"/>
      <c r="Q2294" s="1201"/>
      <c r="R2294" s="1201"/>
      <c r="S2294" s="1201"/>
      <c r="T2294" s="1201"/>
    </row>
    <row r="2295" spans="12:20">
      <c r="L2295" s="1179"/>
      <c r="M2295" s="1183"/>
      <c r="N2295" s="1183"/>
      <c r="O2295" s="1183"/>
      <c r="P2295" s="1201"/>
      <c r="Q2295" s="1201"/>
      <c r="R2295" s="1201"/>
      <c r="S2295" s="1201"/>
      <c r="T2295" s="1201"/>
    </row>
    <row r="2296" spans="12:20">
      <c r="L2296" s="1179"/>
      <c r="M2296" s="1183"/>
      <c r="N2296" s="1183"/>
      <c r="O2296" s="1183"/>
      <c r="P2296" s="1201"/>
      <c r="Q2296" s="1201"/>
      <c r="R2296" s="1201"/>
      <c r="S2296" s="1201"/>
      <c r="T2296" s="1201"/>
    </row>
    <row r="2297" spans="12:20">
      <c r="L2297" s="1179"/>
      <c r="M2297" s="1183"/>
      <c r="N2297" s="1183"/>
      <c r="O2297" s="1183"/>
      <c r="P2297" s="1201"/>
      <c r="Q2297" s="1201"/>
      <c r="R2297" s="1201"/>
      <c r="S2297" s="1201"/>
      <c r="T2297" s="1201"/>
    </row>
    <row r="2298" spans="12:20">
      <c r="L2298" s="1179"/>
      <c r="M2298" s="1183"/>
      <c r="N2298" s="1183"/>
      <c r="O2298" s="1183"/>
      <c r="P2298" s="1201"/>
      <c r="Q2298" s="1201"/>
      <c r="R2298" s="1201"/>
      <c r="S2298" s="1201"/>
      <c r="T2298" s="1201"/>
    </row>
    <row r="2299" spans="12:20">
      <c r="L2299" s="1179"/>
      <c r="M2299" s="1183"/>
      <c r="N2299" s="1183"/>
      <c r="O2299" s="1183"/>
      <c r="P2299" s="1201"/>
      <c r="Q2299" s="1201"/>
      <c r="R2299" s="1201"/>
      <c r="S2299" s="1201"/>
      <c r="T2299" s="1201"/>
    </row>
    <row r="2300" spans="12:20">
      <c r="L2300" s="1179"/>
      <c r="M2300" s="1183"/>
      <c r="N2300" s="1183"/>
      <c r="O2300" s="1183"/>
      <c r="P2300" s="1201"/>
      <c r="Q2300" s="1201"/>
      <c r="R2300" s="1201"/>
      <c r="S2300" s="1201"/>
      <c r="T2300" s="1201"/>
    </row>
    <row r="2301" spans="12:20">
      <c r="L2301" s="1179"/>
      <c r="M2301" s="1183"/>
      <c r="N2301" s="1183"/>
      <c r="O2301" s="1183"/>
      <c r="P2301" s="1201"/>
      <c r="Q2301" s="1201"/>
      <c r="R2301" s="1201"/>
      <c r="S2301" s="1201"/>
      <c r="T2301" s="1201"/>
    </row>
    <row r="2302" spans="12:20">
      <c r="L2302" s="1179"/>
      <c r="M2302" s="1183"/>
      <c r="N2302" s="1183"/>
      <c r="O2302" s="1183"/>
      <c r="P2302" s="1201"/>
      <c r="Q2302" s="1201"/>
      <c r="R2302" s="1201"/>
      <c r="S2302" s="1201"/>
      <c r="T2302" s="1201"/>
    </row>
    <row r="2303" spans="12:20">
      <c r="L2303" s="1179"/>
      <c r="M2303" s="1183"/>
      <c r="N2303" s="1183"/>
      <c r="O2303" s="1183"/>
      <c r="P2303" s="1201"/>
      <c r="Q2303" s="1201"/>
      <c r="R2303" s="1201"/>
      <c r="S2303" s="1201"/>
      <c r="T2303" s="1201"/>
    </row>
    <row r="2304" spans="12:20">
      <c r="L2304" s="1179"/>
      <c r="M2304" s="1183"/>
      <c r="N2304" s="1183"/>
      <c r="O2304" s="1183"/>
      <c r="P2304" s="1201"/>
      <c r="Q2304" s="1201"/>
      <c r="R2304" s="1201"/>
      <c r="S2304" s="1201"/>
      <c r="T2304" s="1201"/>
    </row>
    <row r="2305" spans="12:20">
      <c r="L2305" s="1179"/>
      <c r="M2305" s="1183"/>
      <c r="N2305" s="1183"/>
      <c r="O2305" s="1183"/>
      <c r="P2305" s="1201"/>
      <c r="Q2305" s="1201"/>
      <c r="R2305" s="1201"/>
      <c r="S2305" s="1201"/>
      <c r="T2305" s="1201"/>
    </row>
    <row r="2306" spans="12:20">
      <c r="L2306" s="1179"/>
      <c r="M2306" s="1183"/>
      <c r="N2306" s="1183"/>
      <c r="O2306" s="1183"/>
      <c r="P2306" s="1201"/>
      <c r="Q2306" s="1201"/>
      <c r="R2306" s="1201"/>
      <c r="S2306" s="1201"/>
      <c r="T2306" s="1201"/>
    </row>
    <row r="2307" spans="12:20">
      <c r="L2307" s="1179"/>
      <c r="M2307" s="1183"/>
      <c r="N2307" s="1183"/>
      <c r="O2307" s="1183"/>
      <c r="P2307" s="1201"/>
      <c r="Q2307" s="1201"/>
      <c r="R2307" s="1201"/>
      <c r="S2307" s="1201"/>
      <c r="T2307" s="1201"/>
    </row>
    <row r="2308" spans="12:20">
      <c r="L2308" s="1179"/>
      <c r="M2308" s="1183"/>
      <c r="N2308" s="1183"/>
      <c r="O2308" s="1183"/>
      <c r="P2308" s="1201"/>
      <c r="Q2308" s="1201"/>
      <c r="R2308" s="1201"/>
      <c r="S2308" s="1201"/>
      <c r="T2308" s="1201"/>
    </row>
    <row r="2309" spans="12:20">
      <c r="L2309" s="1179"/>
      <c r="M2309" s="1183"/>
      <c r="N2309" s="1183"/>
      <c r="O2309" s="1183"/>
      <c r="P2309" s="1201"/>
      <c r="Q2309" s="1201"/>
      <c r="R2309" s="1201"/>
      <c r="S2309" s="1201"/>
      <c r="T2309" s="1201"/>
    </row>
    <row r="2310" spans="12:20">
      <c r="L2310" s="1179"/>
      <c r="M2310" s="1183"/>
      <c r="N2310" s="1183"/>
      <c r="O2310" s="1183"/>
      <c r="P2310" s="1201"/>
      <c r="Q2310" s="1201"/>
      <c r="R2310" s="1201"/>
      <c r="S2310" s="1201"/>
      <c r="T2310" s="1201"/>
    </row>
    <row r="2311" spans="12:20">
      <c r="L2311" s="1179"/>
      <c r="M2311" s="1183"/>
      <c r="N2311" s="1183"/>
      <c r="O2311" s="1183"/>
      <c r="P2311" s="1201"/>
      <c r="Q2311" s="1201"/>
      <c r="R2311" s="1201"/>
      <c r="S2311" s="1201"/>
      <c r="T2311" s="1201"/>
    </row>
    <row r="2312" spans="12:20">
      <c r="L2312" s="1179"/>
      <c r="M2312" s="1183"/>
      <c r="N2312" s="1183"/>
      <c r="O2312" s="1183"/>
      <c r="P2312" s="1201"/>
      <c r="Q2312" s="1201"/>
      <c r="R2312" s="1201"/>
      <c r="S2312" s="1201"/>
      <c r="T2312" s="1201"/>
    </row>
    <row r="2313" spans="12:20">
      <c r="L2313" s="1179"/>
      <c r="M2313" s="1183"/>
      <c r="N2313" s="1183"/>
      <c r="O2313" s="1183"/>
      <c r="P2313" s="1201"/>
      <c r="Q2313" s="1201"/>
      <c r="R2313" s="1201"/>
      <c r="S2313" s="1201"/>
      <c r="T2313" s="1201"/>
    </row>
    <row r="2314" spans="12:20">
      <c r="L2314" s="1179"/>
      <c r="M2314" s="1183"/>
      <c r="N2314" s="1183"/>
      <c r="O2314" s="1183"/>
      <c r="P2314" s="1201"/>
      <c r="Q2314" s="1201"/>
      <c r="R2314" s="1201"/>
      <c r="S2314" s="1201"/>
      <c r="T2314" s="1201"/>
    </row>
    <row r="2315" spans="12:20">
      <c r="L2315" s="1179"/>
      <c r="M2315" s="1183"/>
      <c r="N2315" s="1183"/>
      <c r="O2315" s="1183"/>
      <c r="P2315" s="1201"/>
      <c r="Q2315" s="1201"/>
      <c r="R2315" s="1201"/>
      <c r="S2315" s="1201"/>
      <c r="T2315" s="1201"/>
    </row>
    <row r="2316" spans="12:20">
      <c r="L2316" s="1179"/>
      <c r="M2316" s="1183"/>
      <c r="N2316" s="1183"/>
      <c r="O2316" s="1183"/>
      <c r="P2316" s="1201"/>
      <c r="Q2316" s="1201"/>
      <c r="R2316" s="1201"/>
      <c r="S2316" s="1201"/>
      <c r="T2316" s="1201"/>
    </row>
    <row r="2317" spans="12:20">
      <c r="L2317" s="1179"/>
      <c r="M2317" s="1183"/>
      <c r="N2317" s="1183"/>
      <c r="O2317" s="1183"/>
      <c r="P2317" s="1201"/>
      <c r="Q2317" s="1201"/>
      <c r="R2317" s="1201"/>
      <c r="S2317" s="1201"/>
      <c r="T2317" s="1201"/>
    </row>
    <row r="2318" spans="12:20">
      <c r="L2318" s="1179"/>
      <c r="M2318" s="1183"/>
      <c r="N2318" s="1183"/>
      <c r="O2318" s="1183"/>
      <c r="P2318" s="1201"/>
      <c r="Q2318" s="1201"/>
      <c r="R2318" s="1201"/>
      <c r="S2318" s="1201"/>
      <c r="T2318" s="1201"/>
    </row>
    <row r="2319" spans="12:20">
      <c r="L2319" s="1179"/>
      <c r="M2319" s="1183"/>
      <c r="N2319" s="1183"/>
      <c r="O2319" s="1183"/>
      <c r="P2319" s="1201"/>
      <c r="Q2319" s="1201"/>
      <c r="R2319" s="1201"/>
      <c r="S2319" s="1201"/>
      <c r="T2319" s="1201"/>
    </row>
    <row r="2320" spans="12:20">
      <c r="L2320" s="1179"/>
      <c r="M2320" s="1183"/>
      <c r="N2320" s="1183"/>
      <c r="O2320" s="1183"/>
      <c r="P2320" s="1201"/>
      <c r="Q2320" s="1201"/>
      <c r="R2320" s="1201"/>
      <c r="S2320" s="1201"/>
      <c r="T2320" s="1201"/>
    </row>
    <row r="2321" spans="12:20">
      <c r="L2321" s="1179"/>
      <c r="M2321" s="1183"/>
      <c r="N2321" s="1183"/>
      <c r="O2321" s="1183"/>
      <c r="P2321" s="1201"/>
      <c r="Q2321" s="1201"/>
      <c r="R2321" s="1201"/>
      <c r="S2321" s="1201"/>
      <c r="T2321" s="1201"/>
    </row>
    <row r="2322" spans="12:20">
      <c r="L2322" s="1179"/>
      <c r="M2322" s="1183"/>
      <c r="N2322" s="1183"/>
      <c r="O2322" s="1183"/>
      <c r="P2322" s="1201"/>
      <c r="Q2322" s="1201"/>
      <c r="R2322" s="1201"/>
      <c r="S2322" s="1201"/>
      <c r="T2322" s="1201"/>
    </row>
    <row r="2323" spans="12:20">
      <c r="L2323" s="1179"/>
      <c r="M2323" s="1183"/>
      <c r="N2323" s="1183"/>
      <c r="O2323" s="1183"/>
      <c r="P2323" s="1201"/>
      <c r="Q2323" s="1201"/>
      <c r="R2323" s="1201"/>
      <c r="S2323" s="1201"/>
      <c r="T2323" s="1201"/>
    </row>
    <row r="2324" spans="12:20">
      <c r="L2324" s="1179"/>
      <c r="M2324" s="1183"/>
      <c r="N2324" s="1183"/>
      <c r="O2324" s="1183"/>
      <c r="P2324" s="1201"/>
      <c r="Q2324" s="1201"/>
      <c r="R2324" s="1201"/>
      <c r="S2324" s="1201"/>
      <c r="T2324" s="1201"/>
    </row>
    <row r="2325" spans="12:20">
      <c r="L2325" s="1179"/>
      <c r="M2325" s="1183"/>
      <c r="N2325" s="1183"/>
      <c r="O2325" s="1183"/>
      <c r="P2325" s="1201"/>
      <c r="Q2325" s="1201"/>
      <c r="R2325" s="1201"/>
      <c r="S2325" s="1201"/>
      <c r="T2325" s="1201"/>
    </row>
    <row r="2326" spans="12:20">
      <c r="L2326" s="1179"/>
      <c r="M2326" s="1183"/>
      <c r="N2326" s="1183"/>
      <c r="O2326" s="1183"/>
      <c r="P2326" s="1201"/>
      <c r="Q2326" s="1201"/>
      <c r="R2326" s="1201"/>
      <c r="S2326" s="1201"/>
      <c r="T2326" s="1201"/>
    </row>
    <row r="2327" spans="12:20">
      <c r="L2327" s="1179"/>
      <c r="M2327" s="1183"/>
      <c r="N2327" s="1183"/>
      <c r="O2327" s="1183"/>
      <c r="P2327" s="1201"/>
      <c r="Q2327" s="1201"/>
      <c r="R2327" s="1201"/>
      <c r="S2327" s="1201"/>
      <c r="T2327" s="1201"/>
    </row>
    <row r="2328" spans="12:20">
      <c r="L2328" s="1179"/>
      <c r="M2328" s="1183"/>
      <c r="N2328" s="1183"/>
      <c r="O2328" s="1183"/>
      <c r="P2328" s="1201"/>
      <c r="Q2328" s="1201"/>
      <c r="R2328" s="1201"/>
      <c r="S2328" s="1201"/>
      <c r="T2328" s="1201"/>
    </row>
    <row r="2329" spans="12:20">
      <c r="L2329" s="1179"/>
      <c r="M2329" s="1183"/>
      <c r="N2329" s="1183"/>
      <c r="O2329" s="1183"/>
      <c r="P2329" s="1201"/>
      <c r="Q2329" s="1201"/>
      <c r="R2329" s="1201"/>
      <c r="S2329" s="1201"/>
      <c r="T2329" s="1201"/>
    </row>
    <row r="2330" spans="12:20">
      <c r="L2330" s="1179"/>
      <c r="M2330" s="1183"/>
      <c r="N2330" s="1183"/>
      <c r="O2330" s="1183"/>
      <c r="P2330" s="1201"/>
      <c r="Q2330" s="1201"/>
      <c r="R2330" s="1201"/>
      <c r="S2330" s="1201"/>
      <c r="T2330" s="1201"/>
    </row>
    <row r="2331" spans="12:20">
      <c r="L2331" s="1179"/>
      <c r="M2331" s="1183"/>
      <c r="N2331" s="1183"/>
      <c r="O2331" s="1183"/>
      <c r="P2331" s="1201"/>
      <c r="Q2331" s="1201"/>
      <c r="R2331" s="1201"/>
      <c r="S2331" s="1201"/>
      <c r="T2331" s="1201"/>
    </row>
    <row r="2332" spans="12:20">
      <c r="L2332" s="1179"/>
      <c r="M2332" s="1183"/>
      <c r="N2332" s="1183"/>
      <c r="O2332" s="1183"/>
      <c r="P2332" s="1201"/>
      <c r="Q2332" s="1201"/>
      <c r="R2332" s="1201"/>
      <c r="S2332" s="1201"/>
      <c r="T2332" s="1201"/>
    </row>
    <row r="2333" spans="12:20">
      <c r="L2333" s="1179"/>
      <c r="M2333" s="1183"/>
      <c r="N2333" s="1183"/>
      <c r="O2333" s="1183"/>
      <c r="P2333" s="1201"/>
      <c r="Q2333" s="1201"/>
      <c r="R2333" s="1201"/>
      <c r="S2333" s="1201"/>
      <c r="T2333" s="1201"/>
    </row>
    <row r="2334" spans="12:20">
      <c r="L2334" s="1179"/>
      <c r="M2334" s="1183"/>
      <c r="N2334" s="1183"/>
      <c r="O2334" s="1183"/>
      <c r="P2334" s="1201"/>
      <c r="Q2334" s="1201"/>
      <c r="R2334" s="1201"/>
      <c r="S2334" s="1201"/>
      <c r="T2334" s="1201"/>
    </row>
    <row r="2335" spans="12:20">
      <c r="L2335" s="1179"/>
      <c r="M2335" s="1183"/>
      <c r="N2335" s="1183"/>
      <c r="O2335" s="1183"/>
      <c r="P2335" s="1201"/>
      <c r="Q2335" s="1201"/>
      <c r="R2335" s="1201"/>
      <c r="S2335" s="1201"/>
      <c r="T2335" s="1201"/>
    </row>
    <row r="2336" spans="12:20">
      <c r="L2336" s="1179"/>
      <c r="M2336" s="1183"/>
      <c r="N2336" s="1183"/>
      <c r="O2336" s="1183"/>
      <c r="P2336" s="1201"/>
      <c r="Q2336" s="1201"/>
      <c r="R2336" s="1201"/>
      <c r="S2336" s="1201"/>
      <c r="T2336" s="1201"/>
    </row>
    <row r="2337" spans="12:20">
      <c r="L2337" s="1179"/>
      <c r="M2337" s="1183"/>
      <c r="N2337" s="1183"/>
      <c r="O2337" s="1183"/>
      <c r="P2337" s="1201"/>
      <c r="Q2337" s="1201"/>
      <c r="R2337" s="1201"/>
      <c r="S2337" s="1201"/>
      <c r="T2337" s="1201"/>
    </row>
    <row r="2338" spans="12:20">
      <c r="L2338" s="1179"/>
      <c r="M2338" s="1183"/>
      <c r="N2338" s="1183"/>
      <c r="O2338" s="1183"/>
      <c r="P2338" s="1201"/>
      <c r="Q2338" s="1201"/>
      <c r="R2338" s="1201"/>
      <c r="S2338" s="1201"/>
      <c r="T2338" s="1201"/>
    </row>
    <row r="2339" spans="12:20">
      <c r="L2339" s="1179"/>
      <c r="M2339" s="1183"/>
      <c r="N2339" s="1183"/>
      <c r="O2339" s="1183"/>
      <c r="P2339" s="1201"/>
      <c r="Q2339" s="1201"/>
      <c r="R2339" s="1201"/>
      <c r="S2339" s="1201"/>
      <c r="T2339" s="1201"/>
    </row>
    <row r="2340" spans="12:20">
      <c r="L2340" s="1179"/>
      <c r="M2340" s="1183"/>
      <c r="N2340" s="1183"/>
      <c r="O2340" s="1183"/>
      <c r="P2340" s="1201"/>
      <c r="Q2340" s="1201"/>
      <c r="R2340" s="1201"/>
      <c r="S2340" s="1201"/>
      <c r="T2340" s="1201"/>
    </row>
    <row r="2341" spans="12:20">
      <c r="L2341" s="1179"/>
      <c r="M2341" s="1183"/>
      <c r="N2341" s="1183"/>
      <c r="O2341" s="1183"/>
      <c r="P2341" s="1201"/>
      <c r="Q2341" s="1201"/>
      <c r="R2341" s="1201"/>
      <c r="S2341" s="1201"/>
      <c r="T2341" s="1201"/>
    </row>
    <row r="2342" spans="12:20">
      <c r="L2342" s="1179"/>
      <c r="M2342" s="1183"/>
      <c r="N2342" s="1183"/>
      <c r="O2342" s="1183"/>
      <c r="P2342" s="1201"/>
      <c r="Q2342" s="1201"/>
      <c r="R2342" s="1201"/>
      <c r="S2342" s="1201"/>
      <c r="T2342" s="1201"/>
    </row>
    <row r="2343" spans="12:20">
      <c r="L2343" s="1179"/>
      <c r="M2343" s="1183"/>
      <c r="N2343" s="1183"/>
      <c r="O2343" s="1183"/>
      <c r="P2343" s="1201"/>
      <c r="Q2343" s="1201"/>
      <c r="R2343" s="1201"/>
      <c r="S2343" s="1201"/>
      <c r="T2343" s="1201"/>
    </row>
    <row r="2344" spans="12:20">
      <c r="L2344" s="1179"/>
      <c r="M2344" s="1183"/>
      <c r="N2344" s="1183"/>
      <c r="O2344" s="1183"/>
      <c r="P2344" s="1201"/>
      <c r="Q2344" s="1201"/>
      <c r="R2344" s="1201"/>
      <c r="S2344" s="1201"/>
      <c r="T2344" s="1201"/>
    </row>
    <row r="2345" spans="12:20">
      <c r="L2345" s="1179"/>
      <c r="M2345" s="1183"/>
      <c r="N2345" s="1183"/>
      <c r="O2345" s="1183"/>
      <c r="P2345" s="1201"/>
      <c r="Q2345" s="1201"/>
      <c r="R2345" s="1201"/>
      <c r="S2345" s="1201"/>
      <c r="T2345" s="1201"/>
    </row>
    <row r="2346" spans="12:20">
      <c r="L2346" s="1179"/>
      <c r="M2346" s="1183"/>
      <c r="N2346" s="1183"/>
      <c r="O2346" s="1183"/>
      <c r="P2346" s="1201"/>
      <c r="Q2346" s="1201"/>
      <c r="R2346" s="1201"/>
      <c r="S2346" s="1201"/>
      <c r="T2346" s="1201"/>
    </row>
    <row r="2347" spans="12:20">
      <c r="L2347" s="1179"/>
      <c r="M2347" s="1183"/>
      <c r="N2347" s="1183"/>
      <c r="O2347" s="1183"/>
      <c r="P2347" s="1201"/>
      <c r="Q2347" s="1201"/>
      <c r="R2347" s="1201"/>
      <c r="S2347" s="1201"/>
      <c r="T2347" s="1201"/>
    </row>
    <row r="2348" spans="12:20">
      <c r="L2348" s="1179"/>
      <c r="M2348" s="1183"/>
      <c r="N2348" s="1183"/>
      <c r="O2348" s="1183"/>
      <c r="P2348" s="1201"/>
      <c r="Q2348" s="1201"/>
      <c r="R2348" s="1201"/>
      <c r="S2348" s="1201"/>
      <c r="T2348" s="1201"/>
    </row>
    <row r="2349" spans="12:20">
      <c r="L2349" s="1179"/>
      <c r="M2349" s="1183"/>
      <c r="N2349" s="1183"/>
      <c r="O2349" s="1183"/>
      <c r="P2349" s="1201"/>
      <c r="Q2349" s="1201"/>
      <c r="R2349" s="1201"/>
      <c r="S2349" s="1201"/>
      <c r="T2349" s="1201"/>
    </row>
    <row r="2350" spans="12:20">
      <c r="L2350" s="1179"/>
      <c r="M2350" s="1183"/>
      <c r="N2350" s="1183"/>
      <c r="O2350" s="1183"/>
      <c r="P2350" s="1201"/>
      <c r="Q2350" s="1201"/>
      <c r="R2350" s="1201"/>
      <c r="S2350" s="1201"/>
      <c r="T2350" s="1201"/>
    </row>
    <row r="2351" spans="12:20">
      <c r="L2351" s="1179"/>
      <c r="M2351" s="1183"/>
      <c r="N2351" s="1183"/>
      <c r="O2351" s="1183"/>
      <c r="P2351" s="1201"/>
      <c r="Q2351" s="1201"/>
      <c r="R2351" s="1201"/>
      <c r="S2351" s="1201"/>
      <c r="T2351" s="1201"/>
    </row>
    <row r="2352" spans="12:20">
      <c r="L2352" s="1179"/>
      <c r="M2352" s="1183"/>
      <c r="N2352" s="1183"/>
      <c r="O2352" s="1183"/>
      <c r="P2352" s="1201"/>
      <c r="Q2352" s="1201"/>
      <c r="R2352" s="1201"/>
      <c r="S2352" s="1201"/>
      <c r="T2352" s="1201"/>
    </row>
    <row r="2353" spans="12:20">
      <c r="L2353" s="1179"/>
      <c r="M2353" s="1183"/>
      <c r="N2353" s="1183"/>
      <c r="O2353" s="1183"/>
      <c r="P2353" s="1201"/>
      <c r="Q2353" s="1201"/>
      <c r="R2353" s="1201"/>
      <c r="S2353" s="1201"/>
      <c r="T2353" s="1201"/>
    </row>
    <row r="2354" spans="12:20">
      <c r="L2354" s="1179"/>
      <c r="M2354" s="1183"/>
      <c r="N2354" s="1183"/>
      <c r="O2354" s="1183"/>
      <c r="P2354" s="1201"/>
      <c r="Q2354" s="1201"/>
      <c r="R2354" s="1201"/>
      <c r="S2354" s="1201"/>
      <c r="T2354" s="1201"/>
    </row>
    <row r="2355" spans="12:20">
      <c r="L2355" s="1179"/>
      <c r="M2355" s="1183"/>
      <c r="N2355" s="1183"/>
      <c r="O2355" s="1183"/>
      <c r="P2355" s="1201"/>
      <c r="Q2355" s="1201"/>
      <c r="R2355" s="1201"/>
      <c r="S2355" s="1201"/>
      <c r="T2355" s="1201"/>
    </row>
    <row r="2356" spans="12:20">
      <c r="L2356" s="1179"/>
      <c r="M2356" s="1183"/>
      <c r="N2356" s="1183"/>
      <c r="O2356" s="1183"/>
      <c r="P2356" s="1201"/>
      <c r="Q2356" s="1201"/>
      <c r="R2356" s="1201"/>
      <c r="S2356" s="1201"/>
      <c r="T2356" s="1201"/>
    </row>
    <row r="2357" spans="12:20">
      <c r="L2357" s="1179"/>
      <c r="M2357" s="1183"/>
      <c r="N2357" s="1183"/>
      <c r="O2357" s="1183"/>
      <c r="P2357" s="1201"/>
      <c r="Q2357" s="1201"/>
      <c r="R2357" s="1201"/>
      <c r="S2357" s="1201"/>
      <c r="T2357" s="1201"/>
    </row>
    <row r="2358" spans="12:20">
      <c r="L2358" s="1179"/>
      <c r="M2358" s="1183"/>
      <c r="N2358" s="1183"/>
      <c r="O2358" s="1183"/>
      <c r="P2358" s="1201"/>
      <c r="Q2358" s="1201"/>
      <c r="R2358" s="1201"/>
      <c r="S2358" s="1201"/>
      <c r="T2358" s="1201"/>
    </row>
    <row r="2359" spans="12:20">
      <c r="L2359" s="1179"/>
      <c r="M2359" s="1183"/>
      <c r="N2359" s="1183"/>
      <c r="O2359" s="1183"/>
      <c r="P2359" s="1201"/>
      <c r="Q2359" s="1201"/>
      <c r="R2359" s="1201"/>
      <c r="S2359" s="1201"/>
      <c r="T2359" s="1201"/>
    </row>
    <row r="2360" spans="12:20">
      <c r="L2360" s="1179"/>
      <c r="M2360" s="1183"/>
      <c r="N2360" s="1183"/>
      <c r="O2360" s="1183"/>
      <c r="P2360" s="1201"/>
      <c r="Q2360" s="1201"/>
      <c r="R2360" s="1201"/>
      <c r="S2360" s="1201"/>
      <c r="T2360" s="1201"/>
    </row>
    <row r="2361" spans="12:20">
      <c r="L2361" s="1179"/>
      <c r="M2361" s="1183"/>
      <c r="N2361" s="1183"/>
      <c r="O2361" s="1183"/>
      <c r="P2361" s="1201"/>
      <c r="Q2361" s="1201"/>
      <c r="R2361" s="1201"/>
      <c r="S2361" s="1201"/>
      <c r="T2361" s="1201"/>
    </row>
    <row r="2362" spans="12:20">
      <c r="L2362" s="1179"/>
      <c r="M2362" s="1183"/>
      <c r="N2362" s="1183"/>
      <c r="O2362" s="1183"/>
      <c r="P2362" s="1201"/>
      <c r="Q2362" s="1201"/>
      <c r="R2362" s="1201"/>
      <c r="S2362" s="1201"/>
      <c r="T2362" s="1201"/>
    </row>
    <row r="2363" spans="12:20">
      <c r="L2363" s="1179"/>
      <c r="M2363" s="1183"/>
      <c r="N2363" s="1183"/>
      <c r="O2363" s="1183"/>
      <c r="P2363" s="1201"/>
      <c r="Q2363" s="1201"/>
      <c r="R2363" s="1201"/>
      <c r="S2363" s="1201"/>
      <c r="T2363" s="1201"/>
    </row>
    <row r="2364" spans="12:20">
      <c r="L2364" s="1179"/>
      <c r="M2364" s="1183"/>
      <c r="N2364" s="1183"/>
      <c r="O2364" s="1183"/>
      <c r="P2364" s="1201"/>
      <c r="Q2364" s="1201"/>
      <c r="R2364" s="1201"/>
      <c r="S2364" s="1201"/>
      <c r="T2364" s="1201"/>
    </row>
    <row r="2365" spans="12:20">
      <c r="L2365" s="1179"/>
      <c r="M2365" s="1183"/>
      <c r="N2365" s="1183"/>
      <c r="O2365" s="1183"/>
      <c r="P2365" s="1201"/>
      <c r="Q2365" s="1201"/>
      <c r="R2365" s="1201"/>
      <c r="S2365" s="1201"/>
      <c r="T2365" s="1201"/>
    </row>
    <row r="2366" spans="12:20">
      <c r="L2366" s="1179"/>
      <c r="M2366" s="1183"/>
      <c r="N2366" s="1183"/>
      <c r="O2366" s="1183"/>
      <c r="P2366" s="1201"/>
      <c r="Q2366" s="1201"/>
      <c r="R2366" s="1201"/>
      <c r="S2366" s="1201"/>
      <c r="T2366" s="1201"/>
    </row>
    <row r="2367" spans="12:20">
      <c r="L2367" s="1179"/>
      <c r="M2367" s="1183"/>
      <c r="N2367" s="1183"/>
      <c r="O2367" s="1183"/>
      <c r="P2367" s="1201"/>
      <c r="Q2367" s="1201"/>
      <c r="R2367" s="1201"/>
      <c r="S2367" s="1201"/>
      <c r="T2367" s="1201"/>
    </row>
    <row r="2368" spans="12:20">
      <c r="L2368" s="1179"/>
      <c r="M2368" s="1183"/>
      <c r="N2368" s="1183"/>
      <c r="O2368" s="1183"/>
      <c r="P2368" s="1201"/>
      <c r="Q2368" s="1201"/>
      <c r="R2368" s="1201"/>
      <c r="S2368" s="1201"/>
      <c r="T2368" s="1201"/>
    </row>
    <row r="2369" spans="12:20">
      <c r="L2369" s="1179"/>
      <c r="M2369" s="1183"/>
      <c r="N2369" s="1183"/>
      <c r="O2369" s="1183"/>
      <c r="P2369" s="1201"/>
      <c r="Q2369" s="1201"/>
      <c r="R2369" s="1201"/>
      <c r="S2369" s="1201"/>
      <c r="T2369" s="1201"/>
    </row>
    <row r="2370" spans="12:20">
      <c r="L2370" s="1179"/>
      <c r="M2370" s="1183"/>
      <c r="N2370" s="1183"/>
      <c r="O2370" s="1183"/>
      <c r="P2370" s="1201"/>
      <c r="Q2370" s="1201"/>
      <c r="R2370" s="1201"/>
      <c r="S2370" s="1201"/>
      <c r="T2370" s="1201"/>
    </row>
    <row r="2371" spans="12:20">
      <c r="L2371" s="1179"/>
      <c r="M2371" s="1183"/>
      <c r="N2371" s="1183"/>
      <c r="O2371" s="1183"/>
      <c r="P2371" s="1201"/>
      <c r="Q2371" s="1201"/>
      <c r="R2371" s="1201"/>
      <c r="S2371" s="1201"/>
      <c r="T2371" s="1201"/>
    </row>
    <row r="2372" spans="12:20">
      <c r="L2372" s="1179"/>
      <c r="M2372" s="1183"/>
      <c r="N2372" s="1183"/>
      <c r="O2372" s="1183"/>
      <c r="P2372" s="1201"/>
      <c r="Q2372" s="1201"/>
      <c r="R2372" s="1201"/>
      <c r="S2372" s="1201"/>
      <c r="T2372" s="1201"/>
    </row>
    <row r="2373" spans="12:20">
      <c r="L2373" s="1179"/>
      <c r="M2373" s="1183"/>
      <c r="N2373" s="1183"/>
      <c r="O2373" s="1183"/>
      <c r="P2373" s="1201"/>
      <c r="Q2373" s="1201"/>
      <c r="R2373" s="1201"/>
      <c r="S2373" s="1201"/>
      <c r="T2373" s="1201"/>
    </row>
    <row r="2374" spans="12:20">
      <c r="L2374" s="1179"/>
      <c r="M2374" s="1183"/>
      <c r="N2374" s="1183"/>
      <c r="O2374" s="1183"/>
      <c r="P2374" s="1201"/>
      <c r="Q2374" s="1201"/>
      <c r="R2374" s="1201"/>
      <c r="S2374" s="1201"/>
      <c r="T2374" s="1201"/>
    </row>
    <row r="2375" spans="12:20">
      <c r="L2375" s="1179"/>
      <c r="M2375" s="1183"/>
      <c r="N2375" s="1183"/>
      <c r="O2375" s="1183"/>
      <c r="P2375" s="1201"/>
      <c r="Q2375" s="1201"/>
      <c r="R2375" s="1201"/>
      <c r="S2375" s="1201"/>
      <c r="T2375" s="1201"/>
    </row>
    <row r="2376" spans="12:20">
      <c r="L2376" s="1179"/>
      <c r="M2376" s="1183"/>
      <c r="N2376" s="1183"/>
      <c r="O2376" s="1183"/>
      <c r="P2376" s="1201"/>
      <c r="Q2376" s="1201"/>
      <c r="R2376" s="1201"/>
      <c r="S2376" s="1201"/>
      <c r="T2376" s="1201"/>
    </row>
    <row r="2377" spans="12:20">
      <c r="L2377" s="1179"/>
      <c r="M2377" s="1183"/>
      <c r="N2377" s="1183"/>
      <c r="O2377" s="1183"/>
      <c r="P2377" s="1201"/>
      <c r="Q2377" s="1201"/>
      <c r="R2377" s="1201"/>
      <c r="S2377" s="1201"/>
      <c r="T2377" s="1201"/>
    </row>
    <row r="2378" spans="12:20">
      <c r="L2378" s="1179"/>
      <c r="M2378" s="1183"/>
      <c r="N2378" s="1183"/>
      <c r="O2378" s="1183"/>
      <c r="P2378" s="1201"/>
      <c r="Q2378" s="1201"/>
      <c r="R2378" s="1201"/>
      <c r="S2378" s="1201"/>
      <c r="T2378" s="1201"/>
    </row>
    <row r="2379" spans="12:20">
      <c r="L2379" s="1179"/>
      <c r="M2379" s="1183"/>
      <c r="N2379" s="1183"/>
      <c r="O2379" s="1183"/>
      <c r="P2379" s="1201"/>
      <c r="Q2379" s="1201"/>
      <c r="R2379" s="1201"/>
      <c r="S2379" s="1201"/>
      <c r="T2379" s="1201"/>
    </row>
    <row r="2380" spans="12:20">
      <c r="L2380" s="1179"/>
      <c r="M2380" s="1183"/>
      <c r="N2380" s="1183"/>
      <c r="O2380" s="1183"/>
      <c r="P2380" s="1201"/>
      <c r="Q2380" s="1201"/>
      <c r="R2380" s="1201"/>
      <c r="S2380" s="1201"/>
      <c r="T2380" s="1201"/>
    </row>
    <row r="2381" spans="12:20">
      <c r="L2381" s="1179"/>
      <c r="M2381" s="1183"/>
      <c r="N2381" s="1183"/>
      <c r="O2381" s="1183"/>
      <c r="P2381" s="1201"/>
      <c r="Q2381" s="1201"/>
      <c r="R2381" s="1201"/>
      <c r="S2381" s="1201"/>
      <c r="T2381" s="1201"/>
    </row>
    <row r="2382" spans="12:20">
      <c r="L2382" s="1179"/>
      <c r="M2382" s="1183"/>
      <c r="N2382" s="1183"/>
      <c r="O2382" s="1183"/>
      <c r="P2382" s="1201"/>
      <c r="Q2382" s="1201"/>
      <c r="R2382" s="1201"/>
      <c r="S2382" s="1201"/>
      <c r="T2382" s="1201"/>
    </row>
    <row r="2383" spans="12:20">
      <c r="L2383" s="1179"/>
      <c r="M2383" s="1183"/>
      <c r="N2383" s="1183"/>
      <c r="O2383" s="1183"/>
      <c r="P2383" s="1201"/>
      <c r="Q2383" s="1201"/>
      <c r="R2383" s="1201"/>
      <c r="S2383" s="1201"/>
      <c r="T2383" s="1201"/>
    </row>
    <row r="2384" spans="12:20">
      <c r="L2384" s="1179"/>
      <c r="M2384" s="1183"/>
      <c r="N2384" s="1183"/>
      <c r="O2384" s="1183"/>
      <c r="P2384" s="1201"/>
      <c r="Q2384" s="1201"/>
      <c r="R2384" s="1201"/>
      <c r="S2384" s="1201"/>
      <c r="T2384" s="1201"/>
    </row>
    <row r="2385" spans="12:20">
      <c r="L2385" s="1179"/>
      <c r="M2385" s="1183"/>
      <c r="N2385" s="1183"/>
      <c r="O2385" s="1183"/>
      <c r="P2385" s="1201"/>
      <c r="Q2385" s="1201"/>
      <c r="R2385" s="1201"/>
      <c r="S2385" s="1201"/>
      <c r="T2385" s="1201"/>
    </row>
    <row r="2386" spans="12:20">
      <c r="L2386" s="1179"/>
      <c r="M2386" s="1183"/>
      <c r="N2386" s="1183"/>
      <c r="O2386" s="1183"/>
      <c r="P2386" s="1201"/>
      <c r="Q2386" s="1201"/>
      <c r="R2386" s="1201"/>
      <c r="S2386" s="1201"/>
      <c r="T2386" s="1201"/>
    </row>
    <row r="2387" spans="12:20">
      <c r="L2387" s="1179"/>
      <c r="M2387" s="1183"/>
      <c r="N2387" s="1183"/>
      <c r="O2387" s="1183"/>
      <c r="P2387" s="1201"/>
      <c r="Q2387" s="1201"/>
      <c r="R2387" s="1201"/>
      <c r="S2387" s="1201"/>
      <c r="T2387" s="1201"/>
    </row>
    <row r="2388" spans="12:20">
      <c r="L2388" s="1179"/>
      <c r="M2388" s="1183"/>
      <c r="N2388" s="1183"/>
      <c r="O2388" s="1183"/>
      <c r="P2388" s="1201"/>
      <c r="Q2388" s="1201"/>
      <c r="R2388" s="1201"/>
      <c r="S2388" s="1201"/>
      <c r="T2388" s="1201"/>
    </row>
    <row r="2389" spans="12:20">
      <c r="L2389" s="1179"/>
      <c r="M2389" s="1183"/>
      <c r="N2389" s="1183"/>
      <c r="O2389" s="1183"/>
      <c r="P2389" s="1201"/>
      <c r="Q2389" s="1201"/>
      <c r="R2389" s="1201"/>
      <c r="S2389" s="1201"/>
      <c r="T2389" s="1201"/>
    </row>
    <row r="2390" spans="12:20">
      <c r="L2390" s="1179"/>
      <c r="M2390" s="1183"/>
      <c r="N2390" s="1183"/>
      <c r="O2390" s="1183"/>
      <c r="P2390" s="1201"/>
      <c r="Q2390" s="1201"/>
      <c r="R2390" s="1201"/>
      <c r="S2390" s="1201"/>
      <c r="T2390" s="1201"/>
    </row>
    <row r="2391" spans="12:20">
      <c r="L2391" s="1179"/>
      <c r="M2391" s="1183"/>
      <c r="N2391" s="1183"/>
      <c r="O2391" s="1183"/>
      <c r="P2391" s="1201"/>
      <c r="Q2391" s="1201"/>
      <c r="R2391" s="1201"/>
      <c r="S2391" s="1201"/>
      <c r="T2391" s="1201"/>
    </row>
    <row r="2392" spans="12:20">
      <c r="L2392" s="1179"/>
      <c r="M2392" s="1183"/>
      <c r="N2392" s="1183"/>
      <c r="O2392" s="1183"/>
      <c r="P2392" s="1201"/>
      <c r="Q2392" s="1201"/>
      <c r="R2392" s="1201"/>
      <c r="S2392" s="1201"/>
      <c r="T2392" s="1201"/>
    </row>
    <row r="2393" spans="12:20">
      <c r="L2393" s="1179"/>
      <c r="M2393" s="1183"/>
      <c r="N2393" s="1183"/>
      <c r="O2393" s="1183"/>
      <c r="P2393" s="1201"/>
      <c r="Q2393" s="1201"/>
      <c r="R2393" s="1201"/>
      <c r="S2393" s="1201"/>
      <c r="T2393" s="1201"/>
    </row>
    <row r="2394" spans="12:20">
      <c r="L2394" s="1179"/>
      <c r="M2394" s="1183"/>
      <c r="N2394" s="1183"/>
      <c r="O2394" s="1183"/>
      <c r="P2394" s="1201"/>
      <c r="Q2394" s="1201"/>
      <c r="R2394" s="1201"/>
      <c r="S2394" s="1201"/>
      <c r="T2394" s="1201"/>
    </row>
    <row r="2395" spans="12:20">
      <c r="L2395" s="1179"/>
      <c r="M2395" s="1183"/>
      <c r="N2395" s="1183"/>
      <c r="O2395" s="1183"/>
      <c r="P2395" s="1201"/>
      <c r="Q2395" s="1201"/>
      <c r="R2395" s="1201"/>
      <c r="S2395" s="1201"/>
      <c r="T2395" s="1201"/>
    </row>
    <row r="2396" spans="12:20">
      <c r="L2396" s="1179"/>
      <c r="M2396" s="1183"/>
      <c r="N2396" s="1183"/>
      <c r="O2396" s="1183"/>
      <c r="P2396" s="1201"/>
      <c r="Q2396" s="1201"/>
      <c r="R2396" s="1201"/>
      <c r="S2396" s="1201"/>
      <c r="T2396" s="1201"/>
    </row>
    <row r="2397" spans="12:20">
      <c r="L2397" s="1179"/>
      <c r="M2397" s="1183"/>
      <c r="N2397" s="1183"/>
      <c r="O2397" s="1183"/>
      <c r="P2397" s="1201"/>
      <c r="Q2397" s="1201"/>
      <c r="R2397" s="1201"/>
      <c r="S2397" s="1201"/>
      <c r="T2397" s="1201"/>
    </row>
    <row r="2398" spans="12:20">
      <c r="L2398" s="1179"/>
      <c r="M2398" s="1183"/>
      <c r="N2398" s="1183"/>
      <c r="O2398" s="1183"/>
      <c r="P2398" s="1201"/>
      <c r="Q2398" s="1201"/>
      <c r="R2398" s="1201"/>
      <c r="S2398" s="1201"/>
      <c r="T2398" s="1201"/>
    </row>
    <row r="2399" spans="12:20">
      <c r="L2399" s="1179"/>
      <c r="M2399" s="1183"/>
      <c r="N2399" s="1183"/>
      <c r="O2399" s="1183"/>
      <c r="P2399" s="1201"/>
      <c r="Q2399" s="1201"/>
      <c r="R2399" s="1201"/>
      <c r="S2399" s="1201"/>
      <c r="T2399" s="1201"/>
    </row>
    <row r="2400" spans="12:20">
      <c r="L2400" s="1179"/>
      <c r="M2400" s="1183"/>
      <c r="N2400" s="1183"/>
      <c r="O2400" s="1183"/>
      <c r="P2400" s="1201"/>
      <c r="Q2400" s="1201"/>
      <c r="R2400" s="1201"/>
      <c r="S2400" s="1201"/>
      <c r="T2400" s="1201"/>
    </row>
    <row r="2401" spans="12:20">
      <c r="L2401" s="1179"/>
      <c r="M2401" s="1183"/>
      <c r="N2401" s="1183"/>
      <c r="O2401" s="1183"/>
      <c r="P2401" s="1201"/>
      <c r="Q2401" s="1201"/>
      <c r="R2401" s="1201"/>
      <c r="S2401" s="1201"/>
      <c r="T2401" s="1201"/>
    </row>
    <row r="2402" spans="12:20">
      <c r="L2402" s="1179"/>
      <c r="M2402" s="1183"/>
      <c r="N2402" s="1183"/>
      <c r="O2402" s="1183"/>
      <c r="P2402" s="1201"/>
      <c r="Q2402" s="1201"/>
      <c r="R2402" s="1201"/>
      <c r="S2402" s="1201"/>
      <c r="T2402" s="1201"/>
    </row>
    <row r="2403" spans="12:20">
      <c r="L2403" s="1179"/>
      <c r="M2403" s="1183"/>
      <c r="N2403" s="1183"/>
      <c r="O2403" s="1183"/>
      <c r="P2403" s="1201"/>
      <c r="Q2403" s="1201"/>
      <c r="R2403" s="1201"/>
      <c r="S2403" s="1201"/>
      <c r="T2403" s="1201"/>
    </row>
    <row r="2404" spans="12:20">
      <c r="L2404" s="1179"/>
      <c r="M2404" s="1183"/>
      <c r="N2404" s="1183"/>
      <c r="O2404" s="1183"/>
      <c r="P2404" s="1201"/>
      <c r="Q2404" s="1201"/>
      <c r="R2404" s="1201"/>
      <c r="S2404" s="1201"/>
      <c r="T2404" s="1201"/>
    </row>
    <row r="2405" spans="12:20">
      <c r="L2405" s="1179"/>
      <c r="M2405" s="1183"/>
      <c r="N2405" s="1183"/>
      <c r="O2405" s="1183"/>
      <c r="P2405" s="1201"/>
      <c r="Q2405" s="1201"/>
      <c r="R2405" s="1201"/>
      <c r="S2405" s="1201"/>
      <c r="T2405" s="1201"/>
    </row>
    <row r="2406" spans="12:20">
      <c r="L2406" s="1179"/>
      <c r="M2406" s="1183"/>
      <c r="N2406" s="1183"/>
      <c r="O2406" s="1183"/>
      <c r="P2406" s="1201"/>
      <c r="Q2406" s="1201"/>
      <c r="R2406" s="1201"/>
      <c r="S2406" s="1201"/>
      <c r="T2406" s="1201"/>
    </row>
    <row r="2407" spans="12:20">
      <c r="L2407" s="1179"/>
      <c r="M2407" s="1183"/>
      <c r="N2407" s="1183"/>
      <c r="O2407" s="1183"/>
      <c r="P2407" s="1201"/>
      <c r="Q2407" s="1201"/>
      <c r="R2407" s="1201"/>
      <c r="S2407" s="1201"/>
      <c r="T2407" s="1201"/>
    </row>
    <row r="2408" spans="12:20">
      <c r="L2408" s="1179"/>
      <c r="M2408" s="1183"/>
      <c r="N2408" s="1183"/>
      <c r="O2408" s="1183"/>
      <c r="P2408" s="1201"/>
      <c r="Q2408" s="1201"/>
      <c r="R2408" s="1201"/>
      <c r="S2408" s="1201"/>
      <c r="T2408" s="1201"/>
    </row>
    <row r="2409" spans="12:20">
      <c r="L2409" s="1179"/>
      <c r="M2409" s="1183"/>
      <c r="N2409" s="1183"/>
      <c r="O2409" s="1183"/>
      <c r="P2409" s="1201"/>
      <c r="Q2409" s="1201"/>
      <c r="R2409" s="1201"/>
      <c r="S2409" s="1201"/>
      <c r="T2409" s="1201"/>
    </row>
    <row r="2410" spans="12:20">
      <c r="L2410" s="1179"/>
      <c r="M2410" s="1183"/>
      <c r="N2410" s="1183"/>
      <c r="O2410" s="1183"/>
      <c r="P2410" s="1201"/>
      <c r="Q2410" s="1201"/>
      <c r="R2410" s="1201"/>
      <c r="S2410" s="1201"/>
      <c r="T2410" s="1201"/>
    </row>
    <row r="2411" spans="12:20">
      <c r="L2411" s="1179"/>
      <c r="M2411" s="1183"/>
      <c r="N2411" s="1183"/>
      <c r="O2411" s="1183"/>
      <c r="P2411" s="1201"/>
      <c r="Q2411" s="1201"/>
      <c r="R2411" s="1201"/>
      <c r="S2411" s="1201"/>
      <c r="T2411" s="1201"/>
    </row>
    <row r="2412" spans="12:20">
      <c r="L2412" s="1179"/>
      <c r="M2412" s="1183"/>
      <c r="N2412" s="1183"/>
      <c r="O2412" s="1183"/>
      <c r="P2412" s="1201"/>
      <c r="Q2412" s="1201"/>
      <c r="R2412" s="1201"/>
      <c r="S2412" s="1201"/>
      <c r="T2412" s="1201"/>
    </row>
    <row r="2413" spans="12:20">
      <c r="L2413" s="1179"/>
      <c r="M2413" s="1183"/>
      <c r="N2413" s="1183"/>
      <c r="O2413" s="1183"/>
      <c r="P2413" s="1201"/>
      <c r="Q2413" s="1201"/>
      <c r="R2413" s="1201"/>
      <c r="S2413" s="1201"/>
      <c r="T2413" s="1201"/>
    </row>
    <row r="2414" spans="12:20">
      <c r="L2414" s="1179"/>
      <c r="M2414" s="1183"/>
      <c r="N2414" s="1183"/>
      <c r="O2414" s="1183"/>
      <c r="P2414" s="1201"/>
      <c r="Q2414" s="1201"/>
      <c r="R2414" s="1201"/>
      <c r="S2414" s="1201"/>
      <c r="T2414" s="1201"/>
    </row>
    <row r="2415" spans="12:20">
      <c r="L2415" s="1179"/>
      <c r="M2415" s="1183"/>
      <c r="N2415" s="1183"/>
      <c r="O2415" s="1183"/>
      <c r="P2415" s="1201"/>
      <c r="Q2415" s="1201"/>
      <c r="R2415" s="1201"/>
      <c r="S2415" s="1201"/>
      <c r="T2415" s="1201"/>
    </row>
    <row r="2416" spans="12:20">
      <c r="L2416" s="1179"/>
      <c r="M2416" s="1183"/>
      <c r="N2416" s="1183"/>
      <c r="O2416" s="1183"/>
      <c r="P2416" s="1201"/>
      <c r="Q2416" s="1201"/>
      <c r="R2416" s="1201"/>
      <c r="S2416" s="1201"/>
      <c r="T2416" s="1201"/>
    </row>
    <row r="2417" spans="12:20">
      <c r="L2417" s="1179"/>
      <c r="M2417" s="1183"/>
      <c r="N2417" s="1183"/>
      <c r="O2417" s="1183"/>
      <c r="P2417" s="1201"/>
      <c r="Q2417" s="1201"/>
      <c r="R2417" s="1201"/>
      <c r="S2417" s="1201"/>
      <c r="T2417" s="1201"/>
    </row>
    <row r="2418" spans="12:20">
      <c r="L2418" s="1179"/>
      <c r="M2418" s="1183"/>
      <c r="N2418" s="1183"/>
      <c r="O2418" s="1183"/>
      <c r="P2418" s="1201"/>
      <c r="Q2418" s="1201"/>
      <c r="R2418" s="1201"/>
      <c r="S2418" s="1201"/>
      <c r="T2418" s="1201"/>
    </row>
    <row r="2419" spans="12:20">
      <c r="L2419" s="1179"/>
      <c r="M2419" s="1183"/>
      <c r="N2419" s="1183"/>
      <c r="O2419" s="1183"/>
      <c r="P2419" s="1201"/>
      <c r="Q2419" s="1201"/>
      <c r="R2419" s="1201"/>
      <c r="S2419" s="1201"/>
      <c r="T2419" s="1201"/>
    </row>
    <row r="2420" spans="12:20">
      <c r="L2420" s="1179"/>
      <c r="M2420" s="1183"/>
      <c r="N2420" s="1183"/>
      <c r="O2420" s="1183"/>
      <c r="P2420" s="1201"/>
      <c r="Q2420" s="1201"/>
      <c r="R2420" s="1201"/>
      <c r="S2420" s="1201"/>
      <c r="T2420" s="1201"/>
    </row>
    <row r="2421" spans="12:20">
      <c r="L2421" s="1179"/>
      <c r="M2421" s="1183"/>
      <c r="N2421" s="1183"/>
      <c r="O2421" s="1183"/>
      <c r="P2421" s="1201"/>
      <c r="Q2421" s="1201"/>
      <c r="R2421" s="1201"/>
      <c r="S2421" s="1201"/>
      <c r="T2421" s="1201"/>
    </row>
    <row r="2422" spans="12:20">
      <c r="L2422" s="1179"/>
      <c r="M2422" s="1183"/>
      <c r="N2422" s="1183"/>
      <c r="O2422" s="1183"/>
      <c r="P2422" s="1201"/>
      <c r="Q2422" s="1201"/>
      <c r="R2422" s="1201"/>
      <c r="S2422" s="1201"/>
      <c r="T2422" s="1201"/>
    </row>
    <row r="2423" spans="12:20">
      <c r="L2423" s="1179"/>
      <c r="M2423" s="1183"/>
      <c r="N2423" s="1183"/>
      <c r="O2423" s="1183"/>
      <c r="P2423" s="1201"/>
      <c r="Q2423" s="1201"/>
      <c r="R2423" s="1201"/>
      <c r="S2423" s="1201"/>
      <c r="T2423" s="1201"/>
    </row>
    <row r="2424" spans="12:20">
      <c r="L2424" s="1179"/>
      <c r="M2424" s="1183"/>
      <c r="N2424" s="1183"/>
      <c r="O2424" s="1183"/>
      <c r="P2424" s="1201"/>
      <c r="Q2424" s="1201"/>
      <c r="R2424" s="1201"/>
      <c r="S2424" s="1201"/>
      <c r="T2424" s="1201"/>
    </row>
    <row r="2425" spans="12:20">
      <c r="L2425" s="1179"/>
      <c r="M2425" s="1183"/>
      <c r="N2425" s="1183"/>
      <c r="O2425" s="1183"/>
      <c r="P2425" s="1201"/>
      <c r="Q2425" s="1201"/>
      <c r="R2425" s="1201"/>
      <c r="S2425" s="1201"/>
      <c r="T2425" s="1201"/>
    </row>
    <row r="2426" spans="12:20">
      <c r="L2426" s="1179"/>
      <c r="M2426" s="1183"/>
      <c r="N2426" s="1183"/>
      <c r="O2426" s="1183"/>
      <c r="P2426" s="1201"/>
      <c r="Q2426" s="1201"/>
      <c r="R2426" s="1201"/>
      <c r="S2426" s="1201"/>
      <c r="T2426" s="1201"/>
    </row>
    <row r="2427" spans="12:20">
      <c r="L2427" s="1179"/>
      <c r="M2427" s="1183"/>
      <c r="N2427" s="1183"/>
      <c r="O2427" s="1183"/>
      <c r="P2427" s="1201"/>
      <c r="Q2427" s="1201"/>
      <c r="R2427" s="1201"/>
      <c r="S2427" s="1201"/>
      <c r="T2427" s="1201"/>
    </row>
    <row r="2428" spans="12:20">
      <c r="L2428" s="1179"/>
      <c r="M2428" s="1183"/>
      <c r="N2428" s="1183"/>
      <c r="O2428" s="1183"/>
      <c r="P2428" s="1201"/>
      <c r="Q2428" s="1201"/>
      <c r="R2428" s="1201"/>
      <c r="S2428" s="1201"/>
      <c r="T2428" s="1201"/>
    </row>
    <row r="2429" spans="12:20">
      <c r="L2429" s="1179"/>
      <c r="M2429" s="1183"/>
      <c r="N2429" s="1183"/>
      <c r="O2429" s="1183"/>
      <c r="P2429" s="1201"/>
      <c r="Q2429" s="1201"/>
      <c r="R2429" s="1201"/>
      <c r="S2429" s="1201"/>
      <c r="T2429" s="1201"/>
    </row>
    <row r="2430" spans="12:20">
      <c r="L2430" s="1179"/>
      <c r="M2430" s="1183"/>
      <c r="N2430" s="1183"/>
      <c r="O2430" s="1183"/>
      <c r="P2430" s="1201"/>
      <c r="Q2430" s="1201"/>
      <c r="R2430" s="1201"/>
      <c r="S2430" s="1201"/>
      <c r="T2430" s="1201"/>
    </row>
    <row r="2431" spans="12:20">
      <c r="L2431" s="1179"/>
      <c r="M2431" s="1183"/>
      <c r="N2431" s="1183"/>
      <c r="O2431" s="1183"/>
      <c r="P2431" s="1201"/>
      <c r="Q2431" s="1201"/>
      <c r="R2431" s="1201"/>
      <c r="S2431" s="1201"/>
      <c r="T2431" s="1201"/>
    </row>
    <row r="2432" spans="12:20">
      <c r="L2432" s="1179"/>
      <c r="M2432" s="1183"/>
      <c r="N2432" s="1183"/>
      <c r="O2432" s="1183"/>
      <c r="P2432" s="1201"/>
      <c r="Q2432" s="1201"/>
      <c r="R2432" s="1201"/>
      <c r="S2432" s="1201"/>
      <c r="T2432" s="1201"/>
    </row>
    <row r="2433" spans="12:20">
      <c r="L2433" s="1179"/>
      <c r="M2433" s="1183"/>
      <c r="N2433" s="1183"/>
      <c r="O2433" s="1183"/>
      <c r="P2433" s="1201"/>
      <c r="Q2433" s="1201"/>
      <c r="R2433" s="1201"/>
      <c r="S2433" s="1201"/>
      <c r="T2433" s="1201"/>
    </row>
    <row r="2434" spans="12:20">
      <c r="L2434" s="1179"/>
      <c r="M2434" s="1183"/>
      <c r="N2434" s="1183"/>
      <c r="O2434" s="1183"/>
      <c r="P2434" s="1201"/>
      <c r="Q2434" s="1201"/>
      <c r="R2434" s="1201"/>
      <c r="S2434" s="1201"/>
      <c r="T2434" s="1201"/>
    </row>
    <row r="2435" spans="12:20">
      <c r="L2435" s="1179"/>
      <c r="M2435" s="1183"/>
      <c r="N2435" s="1183"/>
      <c r="O2435" s="1183"/>
      <c r="P2435" s="1201"/>
      <c r="Q2435" s="1201"/>
      <c r="R2435" s="1201"/>
      <c r="S2435" s="1201"/>
      <c r="T2435" s="1201"/>
    </row>
    <row r="2436" spans="12:20">
      <c r="L2436" s="1179"/>
      <c r="M2436" s="1183"/>
      <c r="N2436" s="1183"/>
      <c r="O2436" s="1183"/>
      <c r="P2436" s="1201"/>
      <c r="Q2436" s="1201"/>
      <c r="R2436" s="1201"/>
      <c r="S2436" s="1201"/>
      <c r="T2436" s="1201"/>
    </row>
    <row r="2437" spans="12:20">
      <c r="L2437" s="1179"/>
      <c r="M2437" s="1183"/>
      <c r="N2437" s="1183"/>
      <c r="O2437" s="1183"/>
      <c r="P2437" s="1201"/>
      <c r="Q2437" s="1201"/>
      <c r="R2437" s="1201"/>
      <c r="S2437" s="1201"/>
      <c r="T2437" s="1201"/>
    </row>
    <row r="2438" spans="12:20">
      <c r="L2438" s="1179"/>
      <c r="M2438" s="1183"/>
      <c r="N2438" s="1183"/>
      <c r="O2438" s="1183"/>
      <c r="P2438" s="1201"/>
      <c r="Q2438" s="1201"/>
      <c r="R2438" s="1201"/>
      <c r="S2438" s="1201"/>
      <c r="T2438" s="1201"/>
    </row>
    <row r="2439" spans="12:20">
      <c r="L2439" s="1179"/>
      <c r="M2439" s="1183"/>
      <c r="N2439" s="1183"/>
      <c r="O2439" s="1183"/>
      <c r="P2439" s="1201"/>
      <c r="Q2439" s="1201"/>
      <c r="R2439" s="1201"/>
      <c r="S2439" s="1201"/>
      <c r="T2439" s="1201"/>
    </row>
    <row r="2440" spans="12:20">
      <c r="L2440" s="1179"/>
      <c r="M2440" s="1183"/>
      <c r="N2440" s="1183"/>
      <c r="O2440" s="1183"/>
      <c r="P2440" s="1201"/>
      <c r="Q2440" s="1201"/>
      <c r="R2440" s="1201"/>
      <c r="S2440" s="1201"/>
      <c r="T2440" s="1201"/>
    </row>
    <row r="2441" spans="12:20">
      <c r="L2441" s="1179"/>
      <c r="M2441" s="1183"/>
      <c r="N2441" s="1183"/>
      <c r="O2441" s="1183"/>
      <c r="P2441" s="1201"/>
      <c r="Q2441" s="1201"/>
      <c r="R2441" s="1201"/>
      <c r="S2441" s="1201"/>
      <c r="T2441" s="1201"/>
    </row>
    <row r="2442" spans="12:20">
      <c r="L2442" s="1179"/>
      <c r="M2442" s="1183"/>
      <c r="N2442" s="1183"/>
      <c r="O2442" s="1183"/>
      <c r="P2442" s="1201"/>
      <c r="Q2442" s="1201"/>
      <c r="R2442" s="1201"/>
      <c r="S2442" s="1201"/>
      <c r="T2442" s="1201"/>
    </row>
    <row r="2443" spans="12:20">
      <c r="L2443" s="1179"/>
      <c r="M2443" s="1183"/>
      <c r="N2443" s="1183"/>
      <c r="O2443" s="1183"/>
      <c r="P2443" s="1201"/>
      <c r="Q2443" s="1201"/>
      <c r="R2443" s="1201"/>
      <c r="S2443" s="1201"/>
      <c r="T2443" s="1201"/>
    </row>
    <row r="2444" spans="12:20">
      <c r="L2444" s="1179"/>
      <c r="M2444" s="1183"/>
      <c r="N2444" s="1183"/>
      <c r="O2444" s="1183"/>
      <c r="P2444" s="1201"/>
      <c r="Q2444" s="1201"/>
      <c r="R2444" s="1201"/>
      <c r="S2444" s="1201"/>
      <c r="T2444" s="1201"/>
    </row>
    <row r="2445" spans="12:20">
      <c r="L2445" s="1179"/>
      <c r="M2445" s="1183"/>
      <c r="N2445" s="1183"/>
      <c r="O2445" s="1183"/>
      <c r="P2445" s="1201"/>
      <c r="Q2445" s="1201"/>
      <c r="R2445" s="1201"/>
      <c r="S2445" s="1201"/>
      <c r="T2445" s="1201"/>
    </row>
    <row r="2446" spans="12:20">
      <c r="L2446" s="1179"/>
      <c r="M2446" s="1183"/>
      <c r="N2446" s="1183"/>
      <c r="O2446" s="1183"/>
      <c r="P2446" s="1201"/>
      <c r="Q2446" s="1201"/>
      <c r="R2446" s="1201"/>
      <c r="S2446" s="1201"/>
      <c r="T2446" s="1201"/>
    </row>
    <row r="2447" spans="12:20">
      <c r="L2447" s="1179"/>
      <c r="M2447" s="1183"/>
      <c r="N2447" s="1183"/>
      <c r="O2447" s="1183"/>
      <c r="P2447" s="1201"/>
      <c r="Q2447" s="1201"/>
      <c r="R2447" s="1201"/>
      <c r="S2447" s="1201"/>
      <c r="T2447" s="1201"/>
    </row>
    <row r="2448" spans="12:20">
      <c r="L2448" s="1179"/>
      <c r="M2448" s="1183"/>
      <c r="N2448" s="1183"/>
      <c r="O2448" s="1183"/>
      <c r="P2448" s="1201"/>
      <c r="Q2448" s="1201"/>
      <c r="R2448" s="1201"/>
      <c r="S2448" s="1201"/>
      <c r="T2448" s="1201"/>
    </row>
    <row r="2449" spans="12:20">
      <c r="L2449" s="1179"/>
      <c r="M2449" s="1183"/>
      <c r="N2449" s="1183"/>
      <c r="O2449" s="1183"/>
      <c r="P2449" s="1201"/>
      <c r="Q2449" s="1201"/>
      <c r="R2449" s="1201"/>
      <c r="S2449" s="1201"/>
      <c r="T2449" s="1201"/>
    </row>
    <row r="2450" spans="12:20">
      <c r="L2450" s="1179"/>
      <c r="M2450" s="1183"/>
      <c r="N2450" s="1183"/>
      <c r="O2450" s="1183"/>
      <c r="P2450" s="1201"/>
      <c r="Q2450" s="1201"/>
      <c r="R2450" s="1201"/>
      <c r="S2450" s="1201"/>
      <c r="T2450" s="1201"/>
    </row>
    <row r="2451" spans="12:20">
      <c r="L2451" s="1179"/>
      <c r="M2451" s="1183"/>
      <c r="N2451" s="1183"/>
      <c r="O2451" s="1183"/>
      <c r="P2451" s="1201"/>
      <c r="Q2451" s="1201"/>
      <c r="R2451" s="1201"/>
      <c r="S2451" s="1201"/>
      <c r="T2451" s="1201"/>
    </row>
    <row r="2452" spans="12:20">
      <c r="L2452" s="1179"/>
      <c r="M2452" s="1183"/>
      <c r="N2452" s="1183"/>
      <c r="O2452" s="1183"/>
      <c r="P2452" s="1201"/>
      <c r="Q2452" s="1201"/>
      <c r="R2452" s="1201"/>
      <c r="S2452" s="1201"/>
      <c r="T2452" s="1201"/>
    </row>
    <row r="2453" spans="12:20">
      <c r="L2453" s="1179"/>
      <c r="M2453" s="1183"/>
      <c r="N2453" s="1183"/>
      <c r="O2453" s="1183"/>
      <c r="P2453" s="1201"/>
      <c r="Q2453" s="1201"/>
      <c r="R2453" s="1201"/>
      <c r="S2453" s="1201"/>
      <c r="T2453" s="1201"/>
    </row>
    <row r="2454" spans="12:20">
      <c r="L2454" s="1179"/>
      <c r="M2454" s="1183"/>
      <c r="N2454" s="1183"/>
      <c r="O2454" s="1183"/>
      <c r="P2454" s="1201"/>
      <c r="Q2454" s="1201"/>
      <c r="R2454" s="1201"/>
      <c r="S2454" s="1201"/>
      <c r="T2454" s="1201"/>
    </row>
    <row r="2455" spans="12:20">
      <c r="L2455" s="1179"/>
      <c r="M2455" s="1183"/>
      <c r="N2455" s="1183"/>
      <c r="O2455" s="1183"/>
      <c r="P2455" s="1201"/>
      <c r="Q2455" s="1201"/>
      <c r="R2455" s="1201"/>
      <c r="S2455" s="1201"/>
      <c r="T2455" s="1201"/>
    </row>
    <row r="2456" spans="12:20">
      <c r="L2456" s="1179"/>
      <c r="M2456" s="1183"/>
      <c r="N2456" s="1183"/>
      <c r="O2456" s="1183"/>
      <c r="P2456" s="1201"/>
      <c r="Q2456" s="1201"/>
      <c r="R2456" s="1201"/>
      <c r="S2456" s="1201"/>
      <c r="T2456" s="1201"/>
    </row>
    <row r="2457" spans="12:20">
      <c r="L2457" s="1179"/>
      <c r="M2457" s="1183"/>
      <c r="N2457" s="1183"/>
      <c r="O2457" s="1183"/>
      <c r="P2457" s="1201"/>
      <c r="Q2457" s="1201"/>
      <c r="R2457" s="1201"/>
      <c r="S2457" s="1201"/>
      <c r="T2457" s="1201"/>
    </row>
    <row r="2458" spans="12:20">
      <c r="L2458" s="1179"/>
      <c r="M2458" s="1183"/>
      <c r="N2458" s="1183"/>
      <c r="O2458" s="1183"/>
      <c r="P2458" s="1201"/>
      <c r="Q2458" s="1201"/>
      <c r="R2458" s="1201"/>
      <c r="S2458" s="1201"/>
      <c r="T2458" s="1201"/>
    </row>
    <row r="2459" spans="12:20">
      <c r="L2459" s="1179"/>
      <c r="M2459" s="1183"/>
      <c r="N2459" s="1183"/>
      <c r="O2459" s="1183"/>
      <c r="P2459" s="1201"/>
      <c r="Q2459" s="1201"/>
      <c r="R2459" s="1201"/>
      <c r="S2459" s="1201"/>
      <c r="T2459" s="1201"/>
    </row>
    <row r="2460" spans="12:20">
      <c r="L2460" s="1179"/>
      <c r="M2460" s="1183"/>
      <c r="N2460" s="1183"/>
      <c r="O2460" s="1183"/>
      <c r="P2460" s="1201"/>
      <c r="Q2460" s="1201"/>
      <c r="R2460" s="1201"/>
      <c r="S2460" s="1201"/>
      <c r="T2460" s="1201"/>
    </row>
    <row r="2461" spans="12:20">
      <c r="L2461" s="1179"/>
      <c r="M2461" s="1183"/>
      <c r="N2461" s="1183"/>
      <c r="O2461" s="1183"/>
      <c r="P2461" s="1201"/>
      <c r="Q2461" s="1201"/>
      <c r="R2461" s="1201"/>
      <c r="S2461" s="1201"/>
      <c r="T2461" s="1201"/>
    </row>
    <row r="2462" spans="12:20">
      <c r="L2462" s="1179"/>
      <c r="M2462" s="1183"/>
      <c r="N2462" s="1183"/>
      <c r="O2462" s="1183"/>
      <c r="P2462" s="1201"/>
      <c r="Q2462" s="1201"/>
      <c r="R2462" s="1201"/>
      <c r="S2462" s="1201"/>
      <c r="T2462" s="1201"/>
    </row>
    <row r="2463" spans="12:20">
      <c r="L2463" s="1179"/>
      <c r="M2463" s="1183"/>
      <c r="N2463" s="1183"/>
      <c r="O2463" s="1183"/>
      <c r="P2463" s="1201"/>
      <c r="Q2463" s="1201"/>
      <c r="R2463" s="1201"/>
      <c r="S2463" s="1201"/>
      <c r="T2463" s="1201"/>
    </row>
    <row r="2464" spans="12:20">
      <c r="L2464" s="1179"/>
      <c r="M2464" s="1183"/>
      <c r="N2464" s="1183"/>
      <c r="O2464" s="1183"/>
      <c r="P2464" s="1201"/>
      <c r="Q2464" s="1201"/>
      <c r="R2464" s="1201"/>
      <c r="S2464" s="1201"/>
      <c r="T2464" s="1201"/>
    </row>
    <row r="2465" spans="12:20">
      <c r="L2465" s="1179"/>
      <c r="M2465" s="1183"/>
      <c r="N2465" s="1183"/>
      <c r="O2465" s="1183"/>
      <c r="P2465" s="1201"/>
      <c r="Q2465" s="1201"/>
      <c r="R2465" s="1201"/>
      <c r="S2465" s="1201"/>
      <c r="T2465" s="1201"/>
    </row>
    <row r="2466" spans="12:20">
      <c r="L2466" s="1179"/>
      <c r="M2466" s="1183"/>
      <c r="N2466" s="1183"/>
      <c r="O2466" s="1183"/>
      <c r="P2466" s="1201"/>
      <c r="Q2466" s="1201"/>
      <c r="R2466" s="1201"/>
      <c r="S2466" s="1201"/>
      <c r="T2466" s="1201"/>
    </row>
    <row r="2467" spans="12:20">
      <c r="L2467" s="1179"/>
      <c r="M2467" s="1183"/>
      <c r="N2467" s="1183"/>
      <c r="O2467" s="1183"/>
      <c r="P2467" s="1201"/>
      <c r="Q2467" s="1201"/>
      <c r="R2467" s="1201"/>
      <c r="S2467" s="1201"/>
      <c r="T2467" s="1201"/>
    </row>
    <row r="2468" spans="12:20">
      <c r="L2468" s="1179"/>
      <c r="M2468" s="1183"/>
      <c r="N2468" s="1183"/>
      <c r="O2468" s="1183"/>
      <c r="P2468" s="1201"/>
      <c r="Q2468" s="1201"/>
      <c r="R2468" s="1201"/>
      <c r="S2468" s="1201"/>
      <c r="T2468" s="1201"/>
    </row>
    <row r="2469" spans="12:20">
      <c r="L2469" s="1179"/>
      <c r="M2469" s="1183"/>
      <c r="N2469" s="1183"/>
      <c r="O2469" s="1183"/>
      <c r="P2469" s="1201"/>
      <c r="Q2469" s="1201"/>
      <c r="R2469" s="1201"/>
      <c r="S2469" s="1201"/>
      <c r="T2469" s="1201"/>
    </row>
    <row r="2470" spans="12:20">
      <c r="L2470" s="1179"/>
      <c r="M2470" s="1183"/>
      <c r="N2470" s="1183"/>
      <c r="O2470" s="1183"/>
      <c r="P2470" s="1201"/>
      <c r="Q2470" s="1201"/>
      <c r="R2470" s="1201"/>
      <c r="S2470" s="1201"/>
      <c r="T2470" s="1201"/>
    </row>
    <row r="2471" spans="12:20">
      <c r="L2471" s="1179"/>
      <c r="M2471" s="1183"/>
      <c r="N2471" s="1183"/>
      <c r="O2471" s="1183"/>
      <c r="P2471" s="1201"/>
      <c r="Q2471" s="1201"/>
      <c r="R2471" s="1201"/>
      <c r="S2471" s="1201"/>
      <c r="T2471" s="1201"/>
    </row>
    <row r="2472" spans="12:20">
      <c r="L2472" s="1179"/>
      <c r="M2472" s="1183"/>
      <c r="N2472" s="1183"/>
      <c r="O2472" s="1183"/>
      <c r="P2472" s="1201"/>
      <c r="Q2472" s="1201"/>
      <c r="R2472" s="1201"/>
      <c r="S2472" s="1201"/>
      <c r="T2472" s="1201"/>
    </row>
    <row r="2473" spans="12:20">
      <c r="L2473" s="1179"/>
      <c r="M2473" s="1183"/>
      <c r="N2473" s="1183"/>
      <c r="O2473" s="1183"/>
      <c r="P2473" s="1201"/>
      <c r="Q2473" s="1201"/>
      <c r="R2473" s="1201"/>
      <c r="S2473" s="1201"/>
      <c r="T2473" s="1201"/>
    </row>
    <row r="2474" spans="12:20">
      <c r="L2474" s="1179"/>
      <c r="M2474" s="1183"/>
      <c r="N2474" s="1183"/>
      <c r="O2474" s="1183"/>
      <c r="P2474" s="1201"/>
      <c r="Q2474" s="1201"/>
      <c r="R2474" s="1201"/>
      <c r="S2474" s="1201"/>
      <c r="T2474" s="1201"/>
    </row>
    <row r="2475" spans="12:20">
      <c r="L2475" s="1179"/>
      <c r="M2475" s="1183"/>
      <c r="N2475" s="1183"/>
      <c r="O2475" s="1183"/>
      <c r="P2475" s="1201"/>
      <c r="Q2475" s="1201"/>
      <c r="R2475" s="1201"/>
      <c r="S2475" s="1201"/>
      <c r="T2475" s="1201"/>
    </row>
    <row r="2476" spans="12:20">
      <c r="L2476" s="1179"/>
      <c r="M2476" s="1183"/>
      <c r="N2476" s="1183"/>
      <c r="O2476" s="1183"/>
      <c r="P2476" s="1201"/>
      <c r="Q2476" s="1201"/>
      <c r="R2476" s="1201"/>
      <c r="S2476" s="1201"/>
      <c r="T2476" s="1201"/>
    </row>
    <row r="2477" spans="12:20">
      <c r="L2477" s="1179"/>
      <c r="M2477" s="1183"/>
      <c r="N2477" s="1183"/>
      <c r="O2477" s="1183"/>
      <c r="P2477" s="1201"/>
      <c r="Q2477" s="1201"/>
      <c r="R2477" s="1201"/>
      <c r="S2477" s="1201"/>
      <c r="T2477" s="1201"/>
    </row>
    <row r="2478" spans="12:20">
      <c r="L2478" s="1179"/>
      <c r="M2478" s="1183"/>
      <c r="N2478" s="1183"/>
      <c r="O2478" s="1183"/>
      <c r="P2478" s="1201"/>
      <c r="Q2478" s="1201"/>
      <c r="R2478" s="1201"/>
      <c r="S2478" s="1201"/>
      <c r="T2478" s="1201"/>
    </row>
    <row r="2479" spans="12:20">
      <c r="L2479" s="1179"/>
      <c r="M2479" s="1183"/>
      <c r="N2479" s="1183"/>
      <c r="O2479" s="1183"/>
      <c r="P2479" s="1201"/>
      <c r="Q2479" s="1201"/>
      <c r="R2479" s="1201"/>
      <c r="S2479" s="1201"/>
      <c r="T2479" s="1201"/>
    </row>
    <row r="2480" spans="12:20">
      <c r="L2480" s="1179"/>
      <c r="M2480" s="1183"/>
      <c r="N2480" s="1183"/>
      <c r="O2480" s="1183"/>
      <c r="P2480" s="1201"/>
      <c r="Q2480" s="1201"/>
      <c r="R2480" s="1201"/>
      <c r="S2480" s="1201"/>
      <c r="T2480" s="1201"/>
    </row>
    <row r="2481" spans="12:20">
      <c r="L2481" s="1179"/>
      <c r="M2481" s="1183"/>
      <c r="N2481" s="1183"/>
      <c r="O2481" s="1183"/>
      <c r="P2481" s="1201"/>
      <c r="Q2481" s="1201"/>
      <c r="R2481" s="1201"/>
      <c r="S2481" s="1201"/>
      <c r="T2481" s="1201"/>
    </row>
    <row r="2482" spans="12:20">
      <c r="L2482" s="1179"/>
      <c r="M2482" s="1183"/>
      <c r="N2482" s="1183"/>
      <c r="O2482" s="1183"/>
      <c r="P2482" s="1201"/>
      <c r="Q2482" s="1201"/>
      <c r="R2482" s="1201"/>
      <c r="S2482" s="1201"/>
      <c r="T2482" s="1201"/>
    </row>
    <row r="2483" spans="12:20">
      <c r="L2483" s="1179"/>
      <c r="M2483" s="1183"/>
      <c r="N2483" s="1183"/>
      <c r="O2483" s="1183"/>
      <c r="P2483" s="1201"/>
      <c r="Q2483" s="1201"/>
      <c r="R2483" s="1201"/>
      <c r="S2483" s="1201"/>
      <c r="T2483" s="1201"/>
    </row>
    <row r="2484" spans="12:20">
      <c r="L2484" s="1179"/>
      <c r="M2484" s="1183"/>
      <c r="N2484" s="1183"/>
      <c r="O2484" s="1183"/>
      <c r="P2484" s="1201"/>
      <c r="Q2484" s="1201"/>
      <c r="R2484" s="1201"/>
      <c r="S2484" s="1201"/>
      <c r="T2484" s="1201"/>
    </row>
    <row r="2485" spans="12:20">
      <c r="L2485" s="1179"/>
      <c r="M2485" s="1183"/>
      <c r="N2485" s="1183"/>
      <c r="O2485" s="1183"/>
      <c r="P2485" s="1201"/>
      <c r="Q2485" s="1201"/>
      <c r="R2485" s="1201"/>
      <c r="S2485" s="1201"/>
      <c r="T2485" s="1201"/>
    </row>
    <row r="2486" spans="12:20">
      <c r="L2486" s="1179"/>
      <c r="M2486" s="1183"/>
      <c r="N2486" s="1183"/>
      <c r="O2486" s="1183"/>
      <c r="P2486" s="1201"/>
      <c r="Q2486" s="1201"/>
      <c r="R2486" s="1201"/>
      <c r="S2486" s="1201"/>
      <c r="T2486" s="1201"/>
    </row>
    <row r="2487" spans="12:20">
      <c r="L2487" s="1179"/>
      <c r="M2487" s="1183"/>
      <c r="N2487" s="1183"/>
      <c r="O2487" s="1183"/>
      <c r="P2487" s="1201"/>
      <c r="Q2487" s="1201"/>
      <c r="R2487" s="1201"/>
      <c r="S2487" s="1201"/>
      <c r="T2487" s="1201"/>
    </row>
    <row r="2488" spans="12:20">
      <c r="L2488" s="1179"/>
      <c r="M2488" s="1183"/>
      <c r="N2488" s="1183"/>
      <c r="O2488" s="1183"/>
      <c r="P2488" s="1201"/>
      <c r="Q2488" s="1201"/>
      <c r="R2488" s="1201"/>
      <c r="S2488" s="1201"/>
      <c r="T2488" s="1201"/>
    </row>
    <row r="2489" spans="12:20">
      <c r="L2489" s="1179"/>
      <c r="M2489" s="1183"/>
      <c r="N2489" s="1183"/>
      <c r="O2489" s="1183"/>
      <c r="P2489" s="1201"/>
      <c r="Q2489" s="1201"/>
      <c r="R2489" s="1201"/>
      <c r="S2489" s="1201"/>
      <c r="T2489" s="1201"/>
    </row>
    <row r="2490" spans="12:20">
      <c r="L2490" s="1179"/>
      <c r="M2490" s="1183"/>
      <c r="N2490" s="1183"/>
      <c r="O2490" s="1183"/>
      <c r="P2490" s="1201"/>
      <c r="Q2490" s="1201"/>
      <c r="R2490" s="1201"/>
      <c r="S2490" s="1201"/>
      <c r="T2490" s="1201"/>
    </row>
    <row r="2491" spans="12:20">
      <c r="L2491" s="1179"/>
      <c r="M2491" s="1183"/>
      <c r="N2491" s="1183"/>
      <c r="O2491" s="1183"/>
      <c r="P2491" s="1201"/>
      <c r="Q2491" s="1201"/>
      <c r="R2491" s="1201"/>
      <c r="S2491" s="1201"/>
      <c r="T2491" s="1201"/>
    </row>
    <row r="2492" spans="12:20">
      <c r="L2492" s="1179"/>
      <c r="M2492" s="1183"/>
      <c r="N2492" s="1183"/>
      <c r="O2492" s="1183"/>
      <c r="P2492" s="1201"/>
      <c r="Q2492" s="1201"/>
      <c r="R2492" s="1201"/>
      <c r="S2492" s="1201"/>
      <c r="T2492" s="1201"/>
    </row>
    <row r="2493" spans="12:20">
      <c r="L2493" s="1179"/>
      <c r="M2493" s="1183"/>
      <c r="N2493" s="1183"/>
      <c r="O2493" s="1183"/>
      <c r="P2493" s="1201"/>
      <c r="Q2493" s="1201"/>
      <c r="R2493" s="1201"/>
      <c r="S2493" s="1201"/>
      <c r="T2493" s="1201"/>
    </row>
    <row r="2494" spans="12:20">
      <c r="L2494" s="1179"/>
      <c r="M2494" s="1183"/>
      <c r="N2494" s="1183"/>
      <c r="O2494" s="1183"/>
      <c r="P2494" s="1201"/>
      <c r="Q2494" s="1201"/>
      <c r="R2494" s="1201"/>
      <c r="S2494" s="1201"/>
      <c r="T2494" s="1201"/>
    </row>
    <row r="2495" spans="12:20">
      <c r="L2495" s="1179"/>
      <c r="M2495" s="1183"/>
      <c r="N2495" s="1183"/>
      <c r="O2495" s="1183"/>
      <c r="P2495" s="1201"/>
      <c r="Q2495" s="1201"/>
      <c r="R2495" s="1201"/>
      <c r="S2495" s="1201"/>
      <c r="T2495" s="1201"/>
    </row>
    <row r="2496" spans="12:20">
      <c r="L2496" s="1179"/>
      <c r="M2496" s="1183"/>
      <c r="N2496" s="1183"/>
      <c r="O2496" s="1183"/>
      <c r="P2496" s="1201"/>
      <c r="Q2496" s="1201"/>
      <c r="R2496" s="1201"/>
      <c r="S2496" s="1201"/>
      <c r="T2496" s="1201"/>
    </row>
    <row r="2497" spans="12:20">
      <c r="L2497" s="1179"/>
      <c r="M2497" s="1183"/>
      <c r="N2497" s="1183"/>
      <c r="O2497" s="1183"/>
      <c r="P2497" s="1201"/>
      <c r="Q2497" s="1201"/>
      <c r="R2497" s="1201"/>
      <c r="S2497" s="1201"/>
      <c r="T2497" s="1201"/>
    </row>
    <row r="2498" spans="12:20">
      <c r="L2498" s="1179"/>
      <c r="M2498" s="1183"/>
      <c r="N2498" s="1183"/>
      <c r="O2498" s="1183"/>
      <c r="P2498" s="1201"/>
      <c r="Q2498" s="1201"/>
      <c r="R2498" s="1201"/>
      <c r="S2498" s="1201"/>
      <c r="T2498" s="1201"/>
    </row>
    <row r="2499" spans="12:20">
      <c r="L2499" s="1179"/>
      <c r="M2499" s="1183"/>
      <c r="N2499" s="1183"/>
      <c r="O2499" s="1183"/>
      <c r="P2499" s="1201"/>
      <c r="Q2499" s="1201"/>
      <c r="R2499" s="1201"/>
      <c r="S2499" s="1201"/>
      <c r="T2499" s="1201"/>
    </row>
    <row r="2500" spans="12:20">
      <c r="L2500" s="1179"/>
      <c r="M2500" s="1183"/>
      <c r="N2500" s="1183"/>
      <c r="O2500" s="1183"/>
      <c r="P2500" s="1201"/>
      <c r="Q2500" s="1201"/>
      <c r="R2500" s="1201"/>
      <c r="S2500" s="1201"/>
      <c r="T2500" s="1201"/>
    </row>
    <row r="2501" spans="12:20">
      <c r="L2501" s="1179"/>
      <c r="M2501" s="1183"/>
      <c r="N2501" s="1183"/>
      <c r="O2501" s="1183"/>
      <c r="P2501" s="1201"/>
      <c r="Q2501" s="1201"/>
      <c r="R2501" s="1201"/>
      <c r="S2501" s="1201"/>
      <c r="T2501" s="1201"/>
    </row>
    <row r="2502" spans="12:20">
      <c r="L2502" s="1179"/>
      <c r="M2502" s="1183"/>
      <c r="N2502" s="1183"/>
      <c r="O2502" s="1183"/>
      <c r="P2502" s="1201"/>
      <c r="Q2502" s="1201"/>
      <c r="R2502" s="1201"/>
      <c r="S2502" s="1201"/>
      <c r="T2502" s="1201"/>
    </row>
    <row r="2503" spans="12:20">
      <c r="L2503" s="1179"/>
      <c r="M2503" s="1183"/>
      <c r="N2503" s="1183"/>
      <c r="O2503" s="1183"/>
      <c r="P2503" s="1201"/>
      <c r="Q2503" s="1201"/>
      <c r="R2503" s="1201"/>
      <c r="S2503" s="1201"/>
      <c r="T2503" s="1201"/>
    </row>
    <row r="2504" spans="12:20">
      <c r="L2504" s="1179"/>
      <c r="M2504" s="1183"/>
      <c r="N2504" s="1183"/>
      <c r="O2504" s="1183"/>
      <c r="P2504" s="1201"/>
      <c r="Q2504" s="1201"/>
      <c r="R2504" s="1201"/>
      <c r="S2504" s="1201"/>
      <c r="T2504" s="1201"/>
    </row>
    <row r="2505" spans="12:20">
      <c r="L2505" s="1179"/>
      <c r="M2505" s="1183"/>
      <c r="N2505" s="1183"/>
      <c r="O2505" s="1183"/>
      <c r="P2505" s="1201"/>
      <c r="Q2505" s="1201"/>
      <c r="R2505" s="1201"/>
      <c r="S2505" s="1201"/>
      <c r="T2505" s="1201"/>
    </row>
    <row r="2506" spans="12:20">
      <c r="L2506" s="1179"/>
      <c r="M2506" s="1183"/>
      <c r="N2506" s="1183"/>
      <c r="O2506" s="1183"/>
      <c r="P2506" s="1201"/>
      <c r="Q2506" s="1201"/>
      <c r="R2506" s="1201"/>
      <c r="S2506" s="1201"/>
      <c r="T2506" s="1201"/>
    </row>
    <row r="2507" spans="12:20">
      <c r="L2507" s="1179"/>
      <c r="M2507" s="1183"/>
      <c r="N2507" s="1183"/>
      <c r="O2507" s="1183"/>
      <c r="P2507" s="1201"/>
      <c r="Q2507" s="1201"/>
      <c r="R2507" s="1201"/>
      <c r="S2507" s="1201"/>
      <c r="T2507" s="1201"/>
    </row>
    <row r="2508" spans="12:20">
      <c r="L2508" s="1179"/>
      <c r="M2508" s="1183"/>
      <c r="N2508" s="1183"/>
      <c r="O2508" s="1183"/>
      <c r="P2508" s="1201"/>
      <c r="Q2508" s="1201"/>
      <c r="R2508" s="1201"/>
      <c r="S2508" s="1201"/>
      <c r="T2508" s="1201"/>
    </row>
    <row r="2509" spans="12:20">
      <c r="L2509" s="1179"/>
      <c r="M2509" s="1183"/>
      <c r="N2509" s="1183"/>
      <c r="O2509" s="1183"/>
      <c r="P2509" s="1201"/>
      <c r="Q2509" s="1201"/>
      <c r="R2509" s="1201"/>
      <c r="S2509" s="1201"/>
      <c r="T2509" s="1201"/>
    </row>
    <row r="2510" spans="12:20">
      <c r="L2510" s="1179"/>
      <c r="M2510" s="1183"/>
      <c r="N2510" s="1183"/>
      <c r="O2510" s="1183"/>
      <c r="P2510" s="1201"/>
      <c r="Q2510" s="1201"/>
      <c r="R2510" s="1201"/>
      <c r="S2510" s="1201"/>
      <c r="T2510" s="1201"/>
    </row>
    <row r="2511" spans="12:20">
      <c r="L2511" s="1179"/>
      <c r="M2511" s="1183"/>
      <c r="N2511" s="1183"/>
      <c r="O2511" s="1183"/>
      <c r="P2511" s="1201"/>
      <c r="Q2511" s="1201"/>
      <c r="R2511" s="1201"/>
      <c r="S2511" s="1201"/>
      <c r="T2511" s="1201"/>
    </row>
    <row r="2512" spans="12:20">
      <c r="L2512" s="1179"/>
      <c r="M2512" s="1183"/>
      <c r="N2512" s="1183"/>
      <c r="O2512" s="1183"/>
      <c r="P2512" s="1201"/>
      <c r="Q2512" s="1201"/>
      <c r="R2512" s="1201"/>
      <c r="S2512" s="1201"/>
      <c r="T2512" s="1201"/>
    </row>
    <row r="2513" spans="12:20">
      <c r="L2513" s="1179"/>
      <c r="M2513" s="1183"/>
      <c r="N2513" s="1183"/>
      <c r="O2513" s="1183"/>
      <c r="P2513" s="1201"/>
      <c r="Q2513" s="1201"/>
      <c r="R2513" s="1201"/>
      <c r="S2513" s="1201"/>
      <c r="T2513" s="1201"/>
    </row>
    <row r="2514" spans="12:20">
      <c r="L2514" s="1179"/>
      <c r="M2514" s="1183"/>
      <c r="N2514" s="1183"/>
      <c r="O2514" s="1183"/>
      <c r="P2514" s="1201"/>
      <c r="Q2514" s="1201"/>
      <c r="R2514" s="1201"/>
      <c r="S2514" s="1201"/>
      <c r="T2514" s="1201"/>
    </row>
    <row r="2515" spans="12:20">
      <c r="L2515" s="1179"/>
      <c r="M2515" s="1183"/>
      <c r="N2515" s="1183"/>
      <c r="O2515" s="1183"/>
      <c r="P2515" s="1201"/>
      <c r="Q2515" s="1201"/>
      <c r="R2515" s="1201"/>
      <c r="S2515" s="1201"/>
      <c r="T2515" s="1201"/>
    </row>
    <row r="2516" spans="12:20">
      <c r="L2516" s="1179"/>
      <c r="M2516" s="1183"/>
      <c r="N2516" s="1183"/>
      <c r="O2516" s="1183"/>
      <c r="P2516" s="1201"/>
      <c r="Q2516" s="1201"/>
      <c r="R2516" s="1201"/>
      <c r="S2516" s="1201"/>
      <c r="T2516" s="1201"/>
    </row>
    <row r="2517" spans="12:20">
      <c r="L2517" s="1179"/>
      <c r="M2517" s="1183"/>
      <c r="N2517" s="1183"/>
      <c r="O2517" s="1183"/>
      <c r="P2517" s="1201"/>
      <c r="Q2517" s="1201"/>
      <c r="R2517" s="1201"/>
      <c r="S2517" s="1201"/>
      <c r="T2517" s="1201"/>
    </row>
    <row r="2518" spans="12:20">
      <c r="L2518" s="1179"/>
      <c r="M2518" s="1183"/>
      <c r="N2518" s="1183"/>
      <c r="O2518" s="1183"/>
      <c r="P2518" s="1201"/>
      <c r="Q2518" s="1201"/>
      <c r="R2518" s="1201"/>
      <c r="S2518" s="1201"/>
      <c r="T2518" s="1201"/>
    </row>
    <row r="2519" spans="12:20">
      <c r="L2519" s="1179"/>
      <c r="M2519" s="1183"/>
      <c r="N2519" s="1183"/>
      <c r="O2519" s="1183"/>
      <c r="P2519" s="1201"/>
      <c r="Q2519" s="1201"/>
      <c r="R2519" s="1201"/>
      <c r="S2519" s="1201"/>
      <c r="T2519" s="1201"/>
    </row>
    <row r="2520" spans="12:20">
      <c r="L2520" s="1179"/>
      <c r="M2520" s="1183"/>
      <c r="N2520" s="1183"/>
      <c r="O2520" s="1183"/>
      <c r="P2520" s="1201"/>
      <c r="Q2520" s="1201"/>
      <c r="R2520" s="1201"/>
      <c r="S2520" s="1201"/>
      <c r="T2520" s="1201"/>
    </row>
    <row r="2521" spans="12:20">
      <c r="L2521" s="1179"/>
      <c r="M2521" s="1183"/>
      <c r="N2521" s="1183"/>
      <c r="O2521" s="1183"/>
      <c r="P2521" s="1201"/>
      <c r="Q2521" s="1201"/>
      <c r="R2521" s="1201"/>
      <c r="S2521" s="1201"/>
      <c r="T2521" s="1201"/>
    </row>
    <row r="2522" spans="12:20">
      <c r="L2522" s="1179"/>
      <c r="M2522" s="1183"/>
      <c r="N2522" s="1183"/>
      <c r="O2522" s="1183"/>
      <c r="P2522" s="1201"/>
      <c r="Q2522" s="1201"/>
      <c r="R2522" s="1201"/>
      <c r="S2522" s="1201"/>
      <c r="T2522" s="1201"/>
    </row>
    <row r="2523" spans="12:20">
      <c r="L2523" s="1179"/>
      <c r="M2523" s="1183"/>
      <c r="N2523" s="1183"/>
      <c r="O2523" s="1183"/>
      <c r="P2523" s="1201"/>
      <c r="Q2523" s="1201"/>
      <c r="R2523" s="1201"/>
      <c r="S2523" s="1201"/>
      <c r="T2523" s="1201"/>
    </row>
    <row r="2524" spans="12:20">
      <c r="L2524" s="1179"/>
      <c r="M2524" s="1183"/>
      <c r="N2524" s="1183"/>
      <c r="O2524" s="1183"/>
      <c r="P2524" s="1201"/>
      <c r="Q2524" s="1201"/>
      <c r="R2524" s="1201"/>
      <c r="S2524" s="1201"/>
      <c r="T2524" s="1201"/>
    </row>
    <row r="2525" spans="12:20">
      <c r="L2525" s="1179"/>
      <c r="M2525" s="1183"/>
      <c r="N2525" s="1183"/>
      <c r="O2525" s="1183"/>
      <c r="P2525" s="1201"/>
      <c r="Q2525" s="1201"/>
      <c r="R2525" s="1201"/>
      <c r="S2525" s="1201"/>
      <c r="T2525" s="1201"/>
    </row>
    <row r="2526" spans="12:20">
      <c r="L2526" s="1179"/>
      <c r="M2526" s="1183"/>
      <c r="N2526" s="1183"/>
      <c r="O2526" s="1183"/>
      <c r="P2526" s="1201"/>
      <c r="Q2526" s="1201"/>
      <c r="R2526" s="1201"/>
      <c r="S2526" s="1201"/>
      <c r="T2526" s="1201"/>
    </row>
    <row r="2527" spans="12:20">
      <c r="L2527" s="1179"/>
      <c r="M2527" s="1183"/>
      <c r="N2527" s="1183"/>
      <c r="O2527" s="1183"/>
      <c r="P2527" s="1201"/>
      <c r="Q2527" s="1201"/>
      <c r="R2527" s="1201"/>
      <c r="S2527" s="1201"/>
      <c r="T2527" s="1201"/>
    </row>
    <row r="2528" spans="12:20">
      <c r="L2528" s="1179"/>
      <c r="M2528" s="1183"/>
      <c r="N2528" s="1183"/>
      <c r="O2528" s="1183"/>
      <c r="P2528" s="1201"/>
      <c r="Q2528" s="1201"/>
      <c r="R2528" s="1201"/>
      <c r="S2528" s="1201"/>
      <c r="T2528" s="1201"/>
    </row>
    <row r="2529" spans="12:20">
      <c r="L2529" s="1179"/>
      <c r="M2529" s="1183"/>
      <c r="N2529" s="1183"/>
      <c r="O2529" s="1183"/>
      <c r="P2529" s="1201"/>
      <c r="Q2529" s="1201"/>
      <c r="R2529" s="1201"/>
      <c r="S2529" s="1201"/>
      <c r="T2529" s="1201"/>
    </row>
    <row r="2530" spans="12:20">
      <c r="L2530" s="1179"/>
      <c r="M2530" s="1183"/>
      <c r="N2530" s="1183"/>
      <c r="O2530" s="1183"/>
      <c r="P2530" s="1201"/>
      <c r="Q2530" s="1201"/>
      <c r="R2530" s="1201"/>
      <c r="S2530" s="1201"/>
      <c r="T2530" s="1201"/>
    </row>
    <row r="2531" spans="12:20">
      <c r="L2531" s="1179"/>
      <c r="M2531" s="1183"/>
      <c r="N2531" s="1183"/>
      <c r="O2531" s="1183"/>
      <c r="P2531" s="1201"/>
      <c r="Q2531" s="1201"/>
      <c r="R2531" s="1201"/>
      <c r="S2531" s="1201"/>
      <c r="T2531" s="1201"/>
    </row>
    <row r="2532" spans="12:20">
      <c r="L2532" s="1179"/>
      <c r="M2532" s="1183"/>
      <c r="N2532" s="1183"/>
      <c r="O2532" s="1183"/>
      <c r="P2532" s="1201"/>
      <c r="Q2532" s="1201"/>
      <c r="R2532" s="1201"/>
      <c r="S2532" s="1201"/>
      <c r="T2532" s="1201"/>
    </row>
    <row r="2533" spans="12:20">
      <c r="L2533" s="1179"/>
      <c r="M2533" s="1183"/>
      <c r="N2533" s="1183"/>
      <c r="O2533" s="1183"/>
      <c r="P2533" s="1201"/>
      <c r="Q2533" s="1201"/>
      <c r="R2533" s="1201"/>
      <c r="S2533" s="1201"/>
      <c r="T2533" s="1201"/>
    </row>
    <row r="2534" spans="12:20">
      <c r="L2534" s="1179"/>
      <c r="M2534" s="1183"/>
      <c r="N2534" s="1183"/>
      <c r="O2534" s="1183"/>
      <c r="P2534" s="1201"/>
      <c r="Q2534" s="1201"/>
      <c r="R2534" s="1201"/>
      <c r="S2534" s="1201"/>
      <c r="T2534" s="1201"/>
    </row>
    <row r="2535" spans="12:20">
      <c r="L2535" s="1179"/>
      <c r="M2535" s="1183"/>
      <c r="N2535" s="1183"/>
      <c r="O2535" s="1183"/>
      <c r="P2535" s="1201"/>
      <c r="Q2535" s="1201"/>
      <c r="R2535" s="1201"/>
      <c r="S2535" s="1201"/>
      <c r="T2535" s="1201"/>
    </row>
    <row r="2536" spans="12:20">
      <c r="L2536" s="1179"/>
      <c r="M2536" s="1183"/>
      <c r="N2536" s="1183"/>
      <c r="O2536" s="1183"/>
      <c r="P2536" s="1201"/>
      <c r="Q2536" s="1201"/>
      <c r="R2536" s="1201"/>
      <c r="S2536" s="1201"/>
      <c r="T2536" s="1201"/>
    </row>
    <row r="2537" spans="12:20">
      <c r="L2537" s="1179"/>
      <c r="M2537" s="1183"/>
      <c r="N2537" s="1183"/>
      <c r="O2537" s="1183"/>
      <c r="P2537" s="1201"/>
      <c r="Q2537" s="1201"/>
      <c r="R2537" s="1201"/>
      <c r="S2537" s="1201"/>
      <c r="T2537" s="1201"/>
    </row>
    <row r="2538" spans="12:20">
      <c r="L2538" s="1179"/>
      <c r="M2538" s="1183"/>
      <c r="N2538" s="1183"/>
      <c r="O2538" s="1183"/>
      <c r="P2538" s="1201"/>
      <c r="Q2538" s="1201"/>
      <c r="R2538" s="1201"/>
      <c r="S2538" s="1201"/>
      <c r="T2538" s="1201"/>
    </row>
    <row r="2539" spans="12:20">
      <c r="L2539" s="1179"/>
      <c r="M2539" s="1183"/>
      <c r="N2539" s="1183"/>
      <c r="O2539" s="1183"/>
      <c r="P2539" s="1201"/>
      <c r="Q2539" s="1201"/>
      <c r="R2539" s="1201"/>
      <c r="S2539" s="1201"/>
      <c r="T2539" s="1201"/>
    </row>
    <row r="2540" spans="12:20">
      <c r="L2540" s="1179"/>
      <c r="M2540" s="1183"/>
      <c r="N2540" s="1183"/>
      <c r="O2540" s="1183"/>
      <c r="P2540" s="1201"/>
      <c r="Q2540" s="1201"/>
      <c r="R2540" s="1201"/>
      <c r="S2540" s="1201"/>
      <c r="T2540" s="1201"/>
    </row>
    <row r="2541" spans="12:20">
      <c r="L2541" s="1179"/>
      <c r="M2541" s="1183"/>
      <c r="N2541" s="1183"/>
      <c r="O2541" s="1183"/>
      <c r="P2541" s="1201"/>
      <c r="Q2541" s="1201"/>
      <c r="R2541" s="1201"/>
      <c r="S2541" s="1201"/>
      <c r="T2541" s="1201"/>
    </row>
    <row r="2542" spans="12:20">
      <c r="L2542" s="1179"/>
      <c r="M2542" s="1183"/>
      <c r="N2542" s="1183"/>
      <c r="O2542" s="1183"/>
      <c r="P2542" s="1201"/>
      <c r="Q2542" s="1201"/>
      <c r="R2542" s="1201"/>
      <c r="S2542" s="1201"/>
      <c r="T2542" s="1201"/>
    </row>
    <row r="2543" spans="12:20">
      <c r="L2543" s="1179"/>
      <c r="M2543" s="1183"/>
      <c r="N2543" s="1183"/>
      <c r="O2543" s="1183"/>
      <c r="P2543" s="1201"/>
      <c r="Q2543" s="1201"/>
      <c r="R2543" s="1201"/>
      <c r="S2543" s="1201"/>
      <c r="T2543" s="1201"/>
    </row>
    <row r="2544" spans="12:20">
      <c r="L2544" s="1179"/>
      <c r="M2544" s="1183"/>
      <c r="N2544" s="1183"/>
      <c r="O2544" s="1183"/>
      <c r="P2544" s="1201"/>
      <c r="Q2544" s="1201"/>
      <c r="R2544" s="1201"/>
      <c r="S2544" s="1201"/>
      <c r="T2544" s="1201"/>
    </row>
    <row r="2545" spans="12:20">
      <c r="L2545" s="1179"/>
      <c r="M2545" s="1183"/>
      <c r="N2545" s="1183"/>
      <c r="O2545" s="1183"/>
      <c r="P2545" s="1201"/>
      <c r="Q2545" s="1201"/>
      <c r="R2545" s="1201"/>
      <c r="S2545" s="1201"/>
      <c r="T2545" s="1201"/>
    </row>
    <row r="2546" spans="12:20">
      <c r="L2546" s="1179"/>
      <c r="M2546" s="1183"/>
      <c r="N2546" s="1183"/>
      <c r="O2546" s="1183"/>
      <c r="P2546" s="1201"/>
      <c r="Q2546" s="1201"/>
      <c r="R2546" s="1201"/>
      <c r="S2546" s="1201"/>
      <c r="T2546" s="1201"/>
    </row>
    <row r="2547" spans="12:20">
      <c r="L2547" s="1179"/>
      <c r="M2547" s="1183"/>
      <c r="N2547" s="1183"/>
      <c r="O2547" s="1183"/>
      <c r="P2547" s="1201"/>
      <c r="Q2547" s="1201"/>
      <c r="R2547" s="1201"/>
      <c r="S2547" s="1201"/>
      <c r="T2547" s="1201"/>
    </row>
    <row r="2548" spans="12:20">
      <c r="L2548" s="1179"/>
      <c r="M2548" s="1183"/>
      <c r="N2548" s="1183"/>
      <c r="O2548" s="1183"/>
      <c r="P2548" s="1201"/>
      <c r="Q2548" s="1201"/>
      <c r="R2548" s="1201"/>
      <c r="S2548" s="1201"/>
      <c r="T2548" s="1201"/>
    </row>
    <row r="2549" spans="12:20">
      <c r="L2549" s="1179"/>
      <c r="M2549" s="1183"/>
      <c r="N2549" s="1183"/>
      <c r="O2549" s="1183"/>
      <c r="P2549" s="1201"/>
      <c r="Q2549" s="1201"/>
      <c r="R2549" s="1201"/>
      <c r="S2549" s="1201"/>
      <c r="T2549" s="1201"/>
    </row>
    <row r="2550" spans="12:20">
      <c r="L2550" s="1179"/>
      <c r="M2550" s="1183"/>
      <c r="N2550" s="1183"/>
      <c r="O2550" s="1183"/>
      <c r="P2550" s="1201"/>
      <c r="Q2550" s="1201"/>
      <c r="R2550" s="1201"/>
      <c r="S2550" s="1201"/>
      <c r="T2550" s="1201"/>
    </row>
    <row r="2551" spans="12:20">
      <c r="L2551" s="1179"/>
      <c r="M2551" s="1183"/>
      <c r="N2551" s="1183"/>
      <c r="O2551" s="1183"/>
      <c r="P2551" s="1201"/>
      <c r="Q2551" s="1201"/>
      <c r="R2551" s="1201"/>
      <c r="S2551" s="1201"/>
      <c r="T2551" s="1201"/>
    </row>
    <row r="2552" spans="12:20">
      <c r="L2552" s="1179"/>
      <c r="M2552" s="1183"/>
      <c r="N2552" s="1183"/>
      <c r="O2552" s="1183"/>
      <c r="P2552" s="1201"/>
      <c r="Q2552" s="1201"/>
      <c r="R2552" s="1201"/>
      <c r="S2552" s="1201"/>
      <c r="T2552" s="1201"/>
    </row>
    <row r="2553" spans="12:20">
      <c r="L2553" s="1179"/>
      <c r="M2553" s="1183"/>
      <c r="N2553" s="1183"/>
      <c r="O2553" s="1183"/>
      <c r="P2553" s="1201"/>
      <c r="Q2553" s="1201"/>
      <c r="R2553" s="1201"/>
      <c r="S2553" s="1201"/>
      <c r="T2553" s="1201"/>
    </row>
    <row r="2554" spans="12:20">
      <c r="L2554" s="1179"/>
      <c r="M2554" s="1183"/>
      <c r="N2554" s="1183"/>
      <c r="O2554" s="1183"/>
      <c r="P2554" s="1201"/>
      <c r="Q2554" s="1201"/>
      <c r="R2554" s="1201"/>
      <c r="S2554" s="1201"/>
      <c r="T2554" s="1201"/>
    </row>
    <row r="2555" spans="12:20">
      <c r="L2555" s="1179"/>
      <c r="M2555" s="1183"/>
      <c r="N2555" s="1183"/>
      <c r="O2555" s="1183"/>
      <c r="P2555" s="1201"/>
      <c r="Q2555" s="1201"/>
      <c r="R2555" s="1201"/>
      <c r="S2555" s="1201"/>
      <c r="T2555" s="1201"/>
    </row>
    <row r="2556" spans="12:20">
      <c r="L2556" s="1179"/>
      <c r="M2556" s="1183"/>
      <c r="N2556" s="1183"/>
      <c r="O2556" s="1183"/>
      <c r="P2556" s="1201"/>
      <c r="Q2556" s="1201"/>
      <c r="R2556" s="1201"/>
      <c r="S2556" s="1201"/>
      <c r="T2556" s="1201"/>
    </row>
    <row r="2557" spans="12:20">
      <c r="L2557" s="1179"/>
      <c r="M2557" s="1183"/>
      <c r="N2557" s="1183"/>
      <c r="O2557" s="1183"/>
      <c r="P2557" s="1201"/>
      <c r="Q2557" s="1201"/>
      <c r="R2557" s="1201"/>
      <c r="S2557" s="1201"/>
      <c r="T2557" s="1201"/>
    </row>
    <row r="2558" spans="12:20">
      <c r="L2558" s="1179"/>
      <c r="M2558" s="1183"/>
      <c r="N2558" s="1183"/>
      <c r="O2558" s="1183"/>
      <c r="P2558" s="1201"/>
      <c r="Q2558" s="1201"/>
      <c r="R2558" s="1201"/>
      <c r="S2558" s="1201"/>
      <c r="T2558" s="1201"/>
    </row>
    <row r="2559" spans="12:20">
      <c r="L2559" s="1179"/>
      <c r="M2559" s="1183"/>
      <c r="N2559" s="1183"/>
      <c r="O2559" s="1183"/>
      <c r="P2559" s="1201"/>
      <c r="Q2559" s="1201"/>
      <c r="R2559" s="1201"/>
      <c r="S2559" s="1201"/>
      <c r="T2559" s="1201"/>
    </row>
    <row r="2560" spans="12:20">
      <c r="L2560" s="1179"/>
      <c r="M2560" s="1183"/>
      <c r="N2560" s="1183"/>
      <c r="O2560" s="1183"/>
      <c r="P2560" s="1201"/>
      <c r="Q2560" s="1201"/>
      <c r="R2560" s="1201"/>
      <c r="S2560" s="1201"/>
      <c r="T2560" s="1201"/>
    </row>
    <row r="2561" spans="12:20">
      <c r="L2561" s="1179"/>
      <c r="M2561" s="1183"/>
      <c r="N2561" s="1183"/>
      <c r="O2561" s="1183"/>
      <c r="P2561" s="1201"/>
      <c r="Q2561" s="1201"/>
      <c r="R2561" s="1201"/>
      <c r="S2561" s="1201"/>
      <c r="T2561" s="1201"/>
    </row>
    <row r="2562" spans="12:20">
      <c r="L2562" s="1179"/>
      <c r="M2562" s="1183"/>
      <c r="N2562" s="1183"/>
      <c r="O2562" s="1183"/>
      <c r="P2562" s="1201"/>
      <c r="Q2562" s="1201"/>
      <c r="R2562" s="1201"/>
      <c r="S2562" s="1201"/>
      <c r="T2562" s="1201"/>
    </row>
    <row r="2563" spans="12:20">
      <c r="L2563" s="1179"/>
      <c r="M2563" s="1183"/>
      <c r="N2563" s="1183"/>
      <c r="O2563" s="1183"/>
      <c r="P2563" s="1201"/>
      <c r="Q2563" s="1201"/>
      <c r="R2563" s="1201"/>
      <c r="S2563" s="1201"/>
      <c r="T2563" s="1201"/>
    </row>
    <row r="2564" spans="12:20">
      <c r="L2564" s="1179"/>
      <c r="M2564" s="1183"/>
      <c r="N2564" s="1183"/>
      <c r="O2564" s="1183"/>
      <c r="P2564" s="1201"/>
      <c r="Q2564" s="1201"/>
      <c r="R2564" s="1201"/>
      <c r="S2564" s="1201"/>
      <c r="T2564" s="1201"/>
    </row>
    <row r="2565" spans="12:20">
      <c r="L2565" s="1179"/>
      <c r="M2565" s="1183"/>
      <c r="N2565" s="1183"/>
      <c r="O2565" s="1183"/>
      <c r="P2565" s="1201"/>
      <c r="Q2565" s="1201"/>
      <c r="R2565" s="1201"/>
      <c r="S2565" s="1201"/>
      <c r="T2565" s="1201"/>
    </row>
    <row r="2566" spans="12:20">
      <c r="L2566" s="1179"/>
      <c r="M2566" s="1183"/>
      <c r="N2566" s="1183"/>
      <c r="O2566" s="1183"/>
      <c r="P2566" s="1201"/>
      <c r="Q2566" s="1201"/>
      <c r="R2566" s="1201"/>
      <c r="S2566" s="1201"/>
      <c r="T2566" s="1201"/>
    </row>
    <row r="2567" spans="12:20">
      <c r="L2567" s="1179"/>
      <c r="M2567" s="1183"/>
      <c r="N2567" s="1183"/>
      <c r="O2567" s="1183"/>
      <c r="P2567" s="1201"/>
      <c r="Q2567" s="1201"/>
      <c r="R2567" s="1201"/>
      <c r="S2567" s="1201"/>
      <c r="T2567" s="1201"/>
    </row>
    <row r="2568" spans="12:20">
      <c r="L2568" s="1179"/>
      <c r="M2568" s="1183"/>
      <c r="N2568" s="1183"/>
      <c r="O2568" s="1183"/>
      <c r="P2568" s="1201"/>
      <c r="Q2568" s="1201"/>
      <c r="R2568" s="1201"/>
      <c r="S2568" s="1201"/>
      <c r="T2568" s="1201"/>
    </row>
    <row r="2569" spans="12:20">
      <c r="L2569" s="1179"/>
      <c r="M2569" s="1183"/>
      <c r="N2569" s="1183"/>
      <c r="O2569" s="1183"/>
      <c r="P2569" s="1201"/>
      <c r="Q2569" s="1201"/>
      <c r="R2569" s="1201"/>
      <c r="S2569" s="1201"/>
      <c r="T2569" s="1201"/>
    </row>
    <row r="2570" spans="12:20">
      <c r="L2570" s="1179"/>
      <c r="M2570" s="1183"/>
      <c r="N2570" s="1183"/>
      <c r="O2570" s="1183"/>
      <c r="P2570" s="1201"/>
      <c r="Q2570" s="1201"/>
      <c r="R2570" s="1201"/>
      <c r="S2570" s="1201"/>
      <c r="T2570" s="1201"/>
    </row>
    <row r="2571" spans="12:20">
      <c r="L2571" s="1179"/>
      <c r="M2571" s="1183"/>
      <c r="N2571" s="1183"/>
      <c r="O2571" s="1183"/>
      <c r="P2571" s="1201"/>
      <c r="Q2571" s="1201"/>
      <c r="R2571" s="1201"/>
      <c r="S2571" s="1201"/>
      <c r="T2571" s="1201"/>
    </row>
    <row r="2572" spans="12:20">
      <c r="L2572" s="1179"/>
      <c r="M2572" s="1183"/>
      <c r="N2572" s="1183"/>
      <c r="O2572" s="1183"/>
      <c r="P2572" s="1201"/>
      <c r="Q2572" s="1201"/>
      <c r="R2572" s="1201"/>
      <c r="S2572" s="1201"/>
      <c r="T2572" s="1201"/>
    </row>
    <row r="2573" spans="12:20">
      <c r="L2573" s="1179"/>
      <c r="M2573" s="1183"/>
      <c r="N2573" s="1183"/>
      <c r="O2573" s="1183"/>
      <c r="P2573" s="1201"/>
      <c r="Q2573" s="1201"/>
      <c r="R2573" s="1201"/>
      <c r="S2573" s="1201"/>
      <c r="T2573" s="1201"/>
    </row>
    <row r="2574" spans="12:20">
      <c r="L2574" s="1179"/>
      <c r="M2574" s="1183"/>
      <c r="N2574" s="1183"/>
      <c r="O2574" s="1183"/>
      <c r="P2574" s="1201"/>
      <c r="Q2574" s="1201"/>
      <c r="R2574" s="1201"/>
      <c r="S2574" s="1201"/>
      <c r="T2574" s="1201"/>
    </row>
    <row r="2575" spans="12:20">
      <c r="L2575" s="1179"/>
      <c r="M2575" s="1183"/>
      <c r="N2575" s="1183"/>
      <c r="O2575" s="1183"/>
      <c r="P2575" s="1201"/>
      <c r="Q2575" s="1201"/>
      <c r="R2575" s="1201"/>
      <c r="S2575" s="1201"/>
      <c r="T2575" s="1201"/>
    </row>
    <row r="2576" spans="12:20">
      <c r="L2576" s="1179"/>
      <c r="M2576" s="1183"/>
      <c r="N2576" s="1183"/>
      <c r="O2576" s="1183"/>
      <c r="P2576" s="1201"/>
      <c r="Q2576" s="1201"/>
      <c r="R2576" s="1201"/>
      <c r="S2576" s="1201"/>
      <c r="T2576" s="1201"/>
    </row>
    <row r="2577" spans="12:20">
      <c r="L2577" s="1179"/>
      <c r="M2577" s="1183"/>
      <c r="N2577" s="1183"/>
      <c r="O2577" s="1183"/>
      <c r="P2577" s="1201"/>
      <c r="Q2577" s="1201"/>
      <c r="R2577" s="1201"/>
      <c r="S2577" s="1201"/>
      <c r="T2577" s="1201"/>
    </row>
    <row r="2578" spans="12:20">
      <c r="L2578" s="1179"/>
      <c r="M2578" s="1183"/>
      <c r="N2578" s="1183"/>
      <c r="O2578" s="1183"/>
      <c r="P2578" s="1201"/>
      <c r="Q2578" s="1201"/>
      <c r="R2578" s="1201"/>
      <c r="S2578" s="1201"/>
      <c r="T2578" s="1201"/>
    </row>
    <row r="2579" spans="12:20">
      <c r="L2579" s="1179"/>
      <c r="M2579" s="1183"/>
      <c r="N2579" s="1183"/>
      <c r="O2579" s="1183"/>
      <c r="P2579" s="1201"/>
      <c r="Q2579" s="1201"/>
      <c r="R2579" s="1201"/>
      <c r="S2579" s="1201"/>
      <c r="T2579" s="1201"/>
    </row>
    <row r="2580" spans="12:20">
      <c r="L2580" s="1179"/>
      <c r="M2580" s="1183"/>
      <c r="N2580" s="1183"/>
      <c r="O2580" s="1183"/>
      <c r="P2580" s="1201"/>
      <c r="Q2580" s="1201"/>
      <c r="R2580" s="1201"/>
      <c r="S2580" s="1201"/>
      <c r="T2580" s="1201"/>
    </row>
    <row r="2581" spans="12:20">
      <c r="L2581" s="1179"/>
      <c r="M2581" s="1183"/>
      <c r="N2581" s="1183"/>
      <c r="O2581" s="1183"/>
      <c r="P2581" s="1201"/>
      <c r="Q2581" s="1201"/>
      <c r="R2581" s="1201"/>
      <c r="S2581" s="1201"/>
      <c r="T2581" s="1201"/>
    </row>
    <row r="2582" spans="12:20">
      <c r="L2582" s="1179"/>
      <c r="M2582" s="1183"/>
      <c r="N2582" s="1183"/>
      <c r="O2582" s="1183"/>
      <c r="P2582" s="1201"/>
      <c r="Q2582" s="1201"/>
      <c r="R2582" s="1201"/>
      <c r="S2582" s="1201"/>
      <c r="T2582" s="1201"/>
    </row>
    <row r="2583" spans="12:20">
      <c r="L2583" s="1179"/>
      <c r="M2583" s="1183"/>
      <c r="N2583" s="1183"/>
      <c r="O2583" s="1183"/>
      <c r="P2583" s="1201"/>
      <c r="Q2583" s="1201"/>
      <c r="R2583" s="1201"/>
      <c r="S2583" s="1201"/>
      <c r="T2583" s="1201"/>
    </row>
    <row r="2584" spans="12:20">
      <c r="L2584" s="1179"/>
      <c r="M2584" s="1183"/>
      <c r="N2584" s="1183"/>
      <c r="O2584" s="1183"/>
      <c r="P2584" s="1201"/>
      <c r="Q2584" s="1201"/>
      <c r="R2584" s="1201"/>
      <c r="S2584" s="1201"/>
      <c r="T2584" s="1201"/>
    </row>
    <row r="2585" spans="12:20">
      <c r="L2585" s="1179"/>
      <c r="M2585" s="1183"/>
      <c r="N2585" s="1183"/>
      <c r="O2585" s="1183"/>
      <c r="P2585" s="1201"/>
      <c r="Q2585" s="1201"/>
      <c r="R2585" s="1201"/>
      <c r="S2585" s="1201"/>
      <c r="T2585" s="1201"/>
    </row>
    <row r="2586" spans="12:20">
      <c r="L2586" s="1179"/>
      <c r="M2586" s="1183"/>
      <c r="N2586" s="1183"/>
      <c r="O2586" s="1183"/>
      <c r="P2586" s="1201"/>
      <c r="Q2586" s="1201"/>
      <c r="R2586" s="1201"/>
      <c r="S2586" s="1201"/>
      <c r="T2586" s="1201"/>
    </row>
    <row r="2587" spans="12:20">
      <c r="L2587" s="1179"/>
      <c r="M2587" s="1183"/>
      <c r="N2587" s="1183"/>
      <c r="O2587" s="1183"/>
      <c r="P2587" s="1201"/>
      <c r="Q2587" s="1201"/>
      <c r="R2587" s="1201"/>
      <c r="S2587" s="1201"/>
      <c r="T2587" s="1201"/>
    </row>
    <row r="2588" spans="12:20">
      <c r="L2588" s="1179"/>
      <c r="M2588" s="1183"/>
      <c r="N2588" s="1183"/>
      <c r="O2588" s="1183"/>
      <c r="P2588" s="1201"/>
      <c r="Q2588" s="1201"/>
      <c r="R2588" s="1201"/>
      <c r="S2588" s="1201"/>
      <c r="T2588" s="1201"/>
    </row>
    <row r="2589" spans="12:20">
      <c r="L2589" s="1179"/>
      <c r="M2589" s="1183"/>
      <c r="N2589" s="1183"/>
      <c r="O2589" s="1183"/>
      <c r="P2589" s="1201"/>
      <c r="Q2589" s="1201"/>
      <c r="R2589" s="1201"/>
      <c r="S2589" s="1201"/>
      <c r="T2589" s="1201"/>
    </row>
    <row r="2590" spans="12:20">
      <c r="L2590" s="1179"/>
      <c r="M2590" s="1183"/>
      <c r="N2590" s="1183"/>
      <c r="O2590" s="1183"/>
      <c r="P2590" s="1201"/>
      <c r="Q2590" s="1201"/>
      <c r="R2590" s="1201"/>
      <c r="S2590" s="1201"/>
      <c r="T2590" s="1201"/>
    </row>
    <row r="2591" spans="12:20">
      <c r="L2591" s="1179"/>
      <c r="M2591" s="1183"/>
      <c r="N2591" s="1183"/>
      <c r="O2591" s="1183"/>
      <c r="P2591" s="1201"/>
      <c r="Q2591" s="1201"/>
      <c r="R2591" s="1201"/>
      <c r="S2591" s="1201"/>
      <c r="T2591" s="1201"/>
    </row>
    <row r="2592" spans="12:20">
      <c r="L2592" s="1179"/>
      <c r="M2592" s="1183"/>
      <c r="N2592" s="1183"/>
      <c r="O2592" s="1183"/>
      <c r="P2592" s="1201"/>
      <c r="Q2592" s="1201"/>
      <c r="R2592" s="1201"/>
      <c r="S2592" s="1201"/>
      <c r="T2592" s="1201"/>
    </row>
    <row r="2593" spans="12:20">
      <c r="L2593" s="1179"/>
      <c r="M2593" s="1183"/>
      <c r="N2593" s="1183"/>
      <c r="O2593" s="1183"/>
      <c r="P2593" s="1201"/>
      <c r="Q2593" s="1201"/>
      <c r="R2593" s="1201"/>
      <c r="S2593" s="1201"/>
      <c r="T2593" s="1201"/>
    </row>
    <row r="2594" spans="12:20">
      <c r="L2594" s="1179"/>
      <c r="M2594" s="1183"/>
      <c r="N2594" s="1183"/>
      <c r="O2594" s="1183"/>
      <c r="P2594" s="1201"/>
      <c r="Q2594" s="1201"/>
      <c r="R2594" s="1201"/>
      <c r="S2594" s="1201"/>
      <c r="T2594" s="1201"/>
    </row>
    <row r="2595" spans="12:20">
      <c r="L2595" s="1179"/>
      <c r="M2595" s="1183"/>
      <c r="N2595" s="1183"/>
      <c r="O2595" s="1183"/>
      <c r="P2595" s="1201"/>
      <c r="Q2595" s="1201"/>
      <c r="R2595" s="1201"/>
      <c r="S2595" s="1201"/>
      <c r="T2595" s="1201"/>
    </row>
    <row r="2596" spans="12:20">
      <c r="L2596" s="1179"/>
      <c r="M2596" s="1183"/>
      <c r="N2596" s="1183"/>
      <c r="O2596" s="1183"/>
      <c r="P2596" s="1201"/>
      <c r="Q2596" s="1201"/>
      <c r="R2596" s="1201"/>
      <c r="S2596" s="1201"/>
      <c r="T2596" s="1201"/>
    </row>
    <row r="2597" spans="12:20">
      <c r="L2597" s="1179"/>
      <c r="M2597" s="1183"/>
      <c r="N2597" s="1183"/>
      <c r="O2597" s="1183"/>
      <c r="P2597" s="1201"/>
      <c r="Q2597" s="1201"/>
      <c r="R2597" s="1201"/>
      <c r="S2597" s="1201"/>
      <c r="T2597" s="1201"/>
    </row>
    <row r="2598" spans="12:20">
      <c r="L2598" s="1179"/>
      <c r="M2598" s="1183"/>
      <c r="N2598" s="1183"/>
      <c r="O2598" s="1183"/>
      <c r="P2598" s="1201"/>
      <c r="Q2598" s="1201"/>
      <c r="R2598" s="1201"/>
      <c r="S2598" s="1201"/>
      <c r="T2598" s="1201"/>
    </row>
    <row r="2599" spans="12:20">
      <c r="L2599" s="1179"/>
      <c r="M2599" s="1183"/>
      <c r="N2599" s="1183"/>
      <c r="O2599" s="1183"/>
      <c r="P2599" s="1201"/>
      <c r="Q2599" s="1201"/>
      <c r="R2599" s="1201"/>
      <c r="S2599" s="1201"/>
      <c r="T2599" s="1201"/>
    </row>
    <row r="2600" spans="12:20">
      <c r="L2600" s="1179"/>
      <c r="M2600" s="1183"/>
      <c r="N2600" s="1183"/>
      <c r="O2600" s="1183"/>
      <c r="P2600" s="1201"/>
      <c r="Q2600" s="1201"/>
      <c r="R2600" s="1201"/>
      <c r="S2600" s="1201"/>
      <c r="T2600" s="1201"/>
    </row>
    <row r="2601" spans="12:20">
      <c r="L2601" s="1179"/>
      <c r="M2601" s="1183"/>
      <c r="N2601" s="1183"/>
      <c r="O2601" s="1183"/>
      <c r="P2601" s="1201"/>
      <c r="Q2601" s="1201"/>
      <c r="R2601" s="1201"/>
      <c r="S2601" s="1201"/>
      <c r="T2601" s="1201"/>
    </row>
    <row r="2602" spans="12:20">
      <c r="L2602" s="1179"/>
      <c r="M2602" s="1183"/>
      <c r="N2602" s="1183"/>
      <c r="O2602" s="1183"/>
      <c r="P2602" s="1201"/>
      <c r="Q2602" s="1201"/>
      <c r="R2602" s="1201"/>
      <c r="S2602" s="1201"/>
      <c r="T2602" s="1201"/>
    </row>
    <row r="2603" spans="12:20">
      <c r="L2603" s="1179"/>
      <c r="M2603" s="1183"/>
      <c r="N2603" s="1183"/>
      <c r="O2603" s="1183"/>
      <c r="P2603" s="1201"/>
      <c r="Q2603" s="1201"/>
      <c r="R2603" s="1201"/>
      <c r="S2603" s="1201"/>
      <c r="T2603" s="1201"/>
    </row>
    <row r="2604" spans="12:20">
      <c r="L2604" s="1179"/>
      <c r="M2604" s="1183"/>
      <c r="N2604" s="1183"/>
      <c r="O2604" s="1183"/>
      <c r="P2604" s="1201"/>
      <c r="Q2604" s="1201"/>
      <c r="R2604" s="1201"/>
      <c r="S2604" s="1201"/>
      <c r="T2604" s="1201"/>
    </row>
    <row r="2605" spans="12:20">
      <c r="L2605" s="1179"/>
      <c r="M2605" s="1183"/>
      <c r="N2605" s="1183"/>
      <c r="O2605" s="1183"/>
      <c r="P2605" s="1201"/>
      <c r="Q2605" s="1201"/>
      <c r="R2605" s="1201"/>
      <c r="S2605" s="1201"/>
      <c r="T2605" s="1201"/>
    </row>
    <row r="2606" spans="12:20">
      <c r="L2606" s="1179"/>
      <c r="M2606" s="1183"/>
      <c r="N2606" s="1183"/>
      <c r="O2606" s="1183"/>
      <c r="P2606" s="1201"/>
      <c r="Q2606" s="1201"/>
      <c r="R2606" s="1201"/>
      <c r="S2606" s="1201"/>
      <c r="T2606" s="1201"/>
    </row>
    <row r="2607" spans="12:20">
      <c r="L2607" s="1179"/>
      <c r="M2607" s="1183"/>
      <c r="N2607" s="1183"/>
      <c r="O2607" s="1183"/>
      <c r="P2607" s="1201"/>
      <c r="Q2607" s="1201"/>
      <c r="R2607" s="1201"/>
      <c r="S2607" s="1201"/>
      <c r="T2607" s="1201"/>
    </row>
    <row r="2608" spans="12:20">
      <c r="L2608" s="1179"/>
      <c r="M2608" s="1183"/>
      <c r="N2608" s="1183"/>
      <c r="O2608" s="1183"/>
      <c r="P2608" s="1201"/>
      <c r="Q2608" s="1201"/>
      <c r="R2608" s="1201"/>
      <c r="S2608" s="1201"/>
      <c r="T2608" s="1201"/>
    </row>
    <row r="2609" spans="12:20">
      <c r="L2609" s="1179"/>
      <c r="M2609" s="1183"/>
      <c r="N2609" s="1183"/>
      <c r="O2609" s="1183"/>
      <c r="P2609" s="1201"/>
      <c r="Q2609" s="1201"/>
      <c r="R2609" s="1201"/>
      <c r="S2609" s="1201"/>
      <c r="T2609" s="1201"/>
    </row>
    <row r="2610" spans="12:20">
      <c r="L2610" s="1179"/>
      <c r="M2610" s="1183"/>
      <c r="N2610" s="1183"/>
      <c r="O2610" s="1183"/>
      <c r="P2610" s="1201"/>
      <c r="Q2610" s="1201"/>
      <c r="R2610" s="1201"/>
      <c r="S2610" s="1201"/>
      <c r="T2610" s="1201"/>
    </row>
    <row r="2611" spans="12:20">
      <c r="L2611" s="1179"/>
      <c r="M2611" s="1183"/>
      <c r="N2611" s="1183"/>
      <c r="O2611" s="1183"/>
      <c r="P2611" s="1201"/>
      <c r="Q2611" s="1201"/>
      <c r="R2611" s="1201"/>
      <c r="S2611" s="1201"/>
      <c r="T2611" s="1201"/>
    </row>
    <row r="2612" spans="12:20">
      <c r="L2612" s="1179"/>
      <c r="M2612" s="1183"/>
      <c r="N2612" s="1183"/>
      <c r="O2612" s="1183"/>
      <c r="P2612" s="1201"/>
      <c r="Q2612" s="1201"/>
      <c r="R2612" s="1201"/>
      <c r="S2612" s="1201"/>
      <c r="T2612" s="1201"/>
    </row>
    <row r="2613" spans="12:20">
      <c r="L2613" s="1179"/>
      <c r="M2613" s="1183"/>
      <c r="N2613" s="1183"/>
      <c r="O2613" s="1183"/>
      <c r="P2613" s="1201"/>
      <c r="Q2613" s="1201"/>
      <c r="R2613" s="1201"/>
      <c r="S2613" s="1201"/>
      <c r="T2613" s="1201"/>
    </row>
    <row r="2614" spans="12:20">
      <c r="L2614" s="1179"/>
      <c r="M2614" s="1183"/>
      <c r="N2614" s="1183"/>
      <c r="O2614" s="1183"/>
      <c r="P2614" s="1201"/>
      <c r="Q2614" s="1201"/>
      <c r="R2614" s="1201"/>
      <c r="S2614" s="1201"/>
      <c r="T2614" s="1201"/>
    </row>
    <row r="2615" spans="12:20">
      <c r="L2615" s="1179"/>
      <c r="M2615" s="1183"/>
      <c r="N2615" s="1183"/>
      <c r="O2615" s="1183"/>
      <c r="P2615" s="1201"/>
      <c r="Q2615" s="1201"/>
      <c r="R2615" s="1201"/>
      <c r="S2615" s="1201"/>
      <c r="T2615" s="1201"/>
    </row>
    <row r="2616" spans="12:20">
      <c r="L2616" s="1179"/>
      <c r="M2616" s="1183"/>
      <c r="N2616" s="1183"/>
      <c r="O2616" s="1183"/>
      <c r="P2616" s="1201"/>
      <c r="Q2616" s="1201"/>
      <c r="R2616" s="1201"/>
      <c r="S2616" s="1201"/>
      <c r="T2616" s="1201"/>
    </row>
    <row r="2617" spans="12:20">
      <c r="L2617" s="1179"/>
      <c r="M2617" s="1183"/>
      <c r="N2617" s="1183"/>
      <c r="O2617" s="1183"/>
      <c r="P2617" s="1201"/>
      <c r="Q2617" s="1201"/>
      <c r="R2617" s="1201"/>
      <c r="S2617" s="1201"/>
      <c r="T2617" s="1201"/>
    </row>
    <row r="2618" spans="12:20">
      <c r="L2618" s="1179"/>
      <c r="M2618" s="1183"/>
      <c r="N2618" s="1183"/>
      <c r="O2618" s="1183"/>
      <c r="P2618" s="1201"/>
      <c r="Q2618" s="1201"/>
      <c r="R2618" s="1201"/>
      <c r="S2618" s="1201"/>
      <c r="T2618" s="1201"/>
    </row>
    <row r="2619" spans="12:20">
      <c r="L2619" s="1179"/>
      <c r="M2619" s="1183"/>
      <c r="N2619" s="1183"/>
      <c r="O2619" s="1183"/>
      <c r="P2619" s="1201"/>
      <c r="Q2619" s="1201"/>
      <c r="R2619" s="1201"/>
      <c r="S2619" s="1201"/>
      <c r="T2619" s="1201"/>
    </row>
    <row r="2620" spans="12:20">
      <c r="L2620" s="1179"/>
      <c r="M2620" s="1183"/>
      <c r="N2620" s="1183"/>
      <c r="O2620" s="1183"/>
      <c r="P2620" s="1201"/>
      <c r="Q2620" s="1201"/>
      <c r="R2620" s="1201"/>
      <c r="S2620" s="1201"/>
      <c r="T2620" s="1201"/>
    </row>
    <row r="2621" spans="12:20">
      <c r="L2621" s="1179"/>
      <c r="M2621" s="1183"/>
      <c r="N2621" s="1183"/>
      <c r="O2621" s="1183"/>
      <c r="P2621" s="1201"/>
      <c r="Q2621" s="1201"/>
      <c r="R2621" s="1201"/>
      <c r="S2621" s="1201"/>
      <c r="T2621" s="1201"/>
    </row>
    <row r="2622" spans="12:20">
      <c r="L2622" s="1179"/>
      <c r="M2622" s="1183"/>
      <c r="N2622" s="1183"/>
      <c r="O2622" s="1183"/>
      <c r="P2622" s="1201"/>
      <c r="Q2622" s="1201"/>
      <c r="R2622" s="1201"/>
      <c r="S2622" s="1201"/>
      <c r="T2622" s="1201"/>
    </row>
    <row r="2623" spans="12:20">
      <c r="L2623" s="1179"/>
      <c r="M2623" s="1183"/>
      <c r="N2623" s="1183"/>
      <c r="O2623" s="1183"/>
      <c r="P2623" s="1201"/>
      <c r="Q2623" s="1201"/>
      <c r="R2623" s="1201"/>
      <c r="S2623" s="1201"/>
      <c r="T2623" s="1201"/>
    </row>
    <row r="2624" spans="12:20">
      <c r="L2624" s="1179"/>
      <c r="M2624" s="1183"/>
      <c r="N2624" s="1183"/>
      <c r="O2624" s="1183"/>
      <c r="P2624" s="1201"/>
      <c r="Q2624" s="1201"/>
      <c r="R2624" s="1201"/>
      <c r="S2624" s="1201"/>
      <c r="T2624" s="1201"/>
    </row>
    <row r="2625" spans="12:20">
      <c r="L2625" s="1179"/>
      <c r="M2625" s="1183"/>
      <c r="N2625" s="1183"/>
      <c r="O2625" s="1183"/>
      <c r="P2625" s="1201"/>
      <c r="Q2625" s="1201"/>
      <c r="R2625" s="1201"/>
      <c r="S2625" s="1201"/>
      <c r="T2625" s="1201"/>
    </row>
    <row r="2626" spans="12:20">
      <c r="L2626" s="1179"/>
      <c r="M2626" s="1183"/>
      <c r="N2626" s="1183"/>
      <c r="O2626" s="1183"/>
      <c r="P2626" s="1201"/>
      <c r="Q2626" s="1201"/>
      <c r="R2626" s="1201"/>
      <c r="S2626" s="1201"/>
      <c r="T2626" s="1201"/>
    </row>
    <row r="2627" spans="12:20">
      <c r="L2627" s="1179"/>
      <c r="M2627" s="1183"/>
      <c r="N2627" s="1183"/>
      <c r="O2627" s="1183"/>
      <c r="P2627" s="1201"/>
      <c r="Q2627" s="1201"/>
      <c r="R2627" s="1201"/>
      <c r="S2627" s="1201"/>
      <c r="T2627" s="1201"/>
    </row>
    <row r="2628" spans="12:20">
      <c r="L2628" s="1179"/>
      <c r="M2628" s="1183"/>
      <c r="N2628" s="1183"/>
      <c r="O2628" s="1183"/>
      <c r="P2628" s="1201"/>
      <c r="Q2628" s="1201"/>
      <c r="R2628" s="1201"/>
      <c r="S2628" s="1201"/>
      <c r="T2628" s="1201"/>
    </row>
    <row r="2629" spans="12:20">
      <c r="L2629" s="1179"/>
      <c r="M2629" s="1183"/>
      <c r="N2629" s="1183"/>
      <c r="O2629" s="1183"/>
      <c r="P2629" s="1201"/>
      <c r="Q2629" s="1201"/>
      <c r="R2629" s="1201"/>
      <c r="S2629" s="1201"/>
      <c r="T2629" s="1201"/>
    </row>
    <row r="2630" spans="12:20">
      <c r="L2630" s="1179"/>
      <c r="M2630" s="1183"/>
      <c r="N2630" s="1183"/>
      <c r="O2630" s="1183"/>
      <c r="P2630" s="1201"/>
      <c r="Q2630" s="1201"/>
      <c r="R2630" s="1201"/>
      <c r="S2630" s="1201"/>
      <c r="T2630" s="1201"/>
    </row>
    <row r="2631" spans="12:20">
      <c r="L2631" s="1179"/>
      <c r="M2631" s="1183"/>
      <c r="N2631" s="1183"/>
      <c r="O2631" s="1183"/>
      <c r="P2631" s="1201"/>
      <c r="Q2631" s="1201"/>
      <c r="R2631" s="1201"/>
      <c r="S2631" s="1201"/>
      <c r="T2631" s="1201"/>
    </row>
    <row r="2632" spans="12:20">
      <c r="L2632" s="1179"/>
      <c r="M2632" s="1183"/>
      <c r="N2632" s="1183"/>
      <c r="O2632" s="1183"/>
      <c r="P2632" s="1201"/>
      <c r="Q2632" s="1201"/>
      <c r="R2632" s="1201"/>
      <c r="S2632" s="1201"/>
      <c r="T2632" s="1201"/>
    </row>
    <row r="2633" spans="12:20">
      <c r="L2633" s="1179"/>
      <c r="M2633" s="1183"/>
      <c r="N2633" s="1183"/>
      <c r="O2633" s="1183"/>
      <c r="P2633" s="1201"/>
      <c r="Q2633" s="1201"/>
      <c r="R2633" s="1201"/>
      <c r="S2633" s="1201"/>
      <c r="T2633" s="1201"/>
    </row>
    <row r="2634" spans="12:20">
      <c r="L2634" s="1179"/>
      <c r="M2634" s="1183"/>
      <c r="N2634" s="1183"/>
      <c r="O2634" s="1183"/>
      <c r="P2634" s="1201"/>
      <c r="Q2634" s="1201"/>
      <c r="R2634" s="1201"/>
      <c r="S2634" s="1201"/>
      <c r="T2634" s="1201"/>
    </row>
    <row r="2635" spans="12:20">
      <c r="L2635" s="1179"/>
      <c r="M2635" s="1183"/>
      <c r="N2635" s="1183"/>
      <c r="O2635" s="1183"/>
      <c r="P2635" s="1201"/>
      <c r="Q2635" s="1201"/>
      <c r="R2635" s="1201"/>
      <c r="S2635" s="1201"/>
      <c r="T2635" s="1201"/>
    </row>
    <row r="2636" spans="12:20">
      <c r="L2636" s="1179"/>
      <c r="M2636" s="1183"/>
      <c r="N2636" s="1183"/>
      <c r="O2636" s="1183"/>
      <c r="P2636" s="1201"/>
      <c r="Q2636" s="1201"/>
      <c r="R2636" s="1201"/>
      <c r="S2636" s="1201"/>
      <c r="T2636" s="1201"/>
    </row>
    <row r="2637" spans="12:20">
      <c r="L2637" s="1179"/>
      <c r="M2637" s="1183"/>
      <c r="N2637" s="1183"/>
      <c r="O2637" s="1183"/>
      <c r="P2637" s="1201"/>
      <c r="Q2637" s="1201"/>
      <c r="R2637" s="1201"/>
      <c r="S2637" s="1201"/>
      <c r="T2637" s="1201"/>
    </row>
    <row r="2638" spans="12:20">
      <c r="L2638" s="1179"/>
      <c r="M2638" s="1183"/>
      <c r="N2638" s="1183"/>
      <c r="O2638" s="1183"/>
      <c r="P2638" s="1201"/>
      <c r="Q2638" s="1201"/>
      <c r="R2638" s="1201"/>
      <c r="S2638" s="1201"/>
      <c r="T2638" s="1201"/>
    </row>
    <row r="2639" spans="12:20">
      <c r="L2639" s="1179"/>
      <c r="M2639" s="1183"/>
      <c r="N2639" s="1183"/>
      <c r="O2639" s="1183"/>
      <c r="P2639" s="1201"/>
      <c r="Q2639" s="1201"/>
      <c r="R2639" s="1201"/>
      <c r="S2639" s="1201"/>
      <c r="T2639" s="1201"/>
    </row>
    <row r="2640" spans="12:20">
      <c r="L2640" s="1179"/>
      <c r="M2640" s="1183"/>
      <c r="N2640" s="1183"/>
      <c r="O2640" s="1183"/>
      <c r="P2640" s="1201"/>
      <c r="Q2640" s="1201"/>
      <c r="R2640" s="1201"/>
      <c r="S2640" s="1201"/>
      <c r="T2640" s="1201"/>
    </row>
    <row r="2641" spans="12:20">
      <c r="L2641" s="1179"/>
      <c r="M2641" s="1183"/>
      <c r="N2641" s="1183"/>
      <c r="O2641" s="1183"/>
      <c r="P2641" s="1201"/>
      <c r="Q2641" s="1201"/>
      <c r="R2641" s="1201"/>
      <c r="S2641" s="1201"/>
      <c r="T2641" s="1201"/>
    </row>
    <row r="2642" spans="12:20">
      <c r="L2642" s="1179"/>
      <c r="M2642" s="1183"/>
      <c r="N2642" s="1183"/>
      <c r="O2642" s="1183"/>
      <c r="P2642" s="1201"/>
      <c r="Q2642" s="1201"/>
      <c r="R2642" s="1201"/>
      <c r="S2642" s="1201"/>
      <c r="T2642" s="1201"/>
    </row>
    <row r="2643" spans="12:20">
      <c r="L2643" s="1179"/>
      <c r="M2643" s="1183"/>
      <c r="N2643" s="1183"/>
      <c r="O2643" s="1183"/>
      <c r="P2643" s="1201"/>
      <c r="Q2643" s="1201"/>
      <c r="R2643" s="1201"/>
      <c r="S2643" s="1201"/>
      <c r="T2643" s="1201"/>
    </row>
    <row r="2644" spans="12:20">
      <c r="L2644" s="1179"/>
      <c r="M2644" s="1183"/>
      <c r="N2644" s="1183"/>
      <c r="O2644" s="1183"/>
      <c r="P2644" s="1201"/>
      <c r="Q2644" s="1201"/>
      <c r="R2644" s="1201"/>
      <c r="S2644" s="1201"/>
      <c r="T2644" s="1201"/>
    </row>
    <row r="2645" spans="12:20">
      <c r="L2645" s="1179"/>
      <c r="M2645" s="1183"/>
      <c r="N2645" s="1183"/>
      <c r="O2645" s="1183"/>
      <c r="P2645" s="1201"/>
      <c r="Q2645" s="1201"/>
      <c r="R2645" s="1201"/>
      <c r="S2645" s="1201"/>
      <c r="T2645" s="1201"/>
    </row>
    <row r="2646" spans="12:20">
      <c r="L2646" s="1179"/>
      <c r="M2646" s="1183"/>
      <c r="N2646" s="1183"/>
      <c r="O2646" s="1183"/>
      <c r="P2646" s="1201"/>
      <c r="Q2646" s="1201"/>
      <c r="R2646" s="1201"/>
      <c r="S2646" s="1201"/>
      <c r="T2646" s="1201"/>
    </row>
    <row r="2647" spans="12:20">
      <c r="L2647" s="1179"/>
      <c r="M2647" s="1183"/>
      <c r="N2647" s="1183"/>
      <c r="O2647" s="1183"/>
      <c r="P2647" s="1201"/>
      <c r="Q2647" s="1201"/>
      <c r="R2647" s="1201"/>
      <c r="S2647" s="1201"/>
      <c r="T2647" s="1201"/>
    </row>
    <row r="2648" spans="12:20">
      <c r="L2648" s="1179"/>
      <c r="M2648" s="1183"/>
      <c r="N2648" s="1183"/>
      <c r="O2648" s="1183"/>
      <c r="P2648" s="1201"/>
      <c r="Q2648" s="1201"/>
      <c r="R2648" s="1201"/>
      <c r="S2648" s="1201"/>
      <c r="T2648" s="1201"/>
    </row>
    <row r="2649" spans="12:20">
      <c r="L2649" s="1179"/>
      <c r="M2649" s="1183"/>
      <c r="N2649" s="1183"/>
      <c r="O2649" s="1183"/>
      <c r="P2649" s="1201"/>
      <c r="Q2649" s="1201"/>
      <c r="R2649" s="1201"/>
      <c r="S2649" s="1201"/>
      <c r="T2649" s="1201"/>
    </row>
    <row r="2650" spans="12:20">
      <c r="L2650" s="1179"/>
      <c r="M2650" s="1183"/>
      <c r="N2650" s="1183"/>
      <c r="O2650" s="1183"/>
      <c r="P2650" s="1201"/>
      <c r="Q2650" s="1201"/>
      <c r="R2650" s="1201"/>
      <c r="S2650" s="1201"/>
      <c r="T2650" s="1201"/>
    </row>
    <row r="2651" spans="12:20">
      <c r="L2651" s="1179"/>
      <c r="M2651" s="1183"/>
      <c r="N2651" s="1183"/>
      <c r="O2651" s="1183"/>
      <c r="P2651" s="1201"/>
      <c r="Q2651" s="1201"/>
      <c r="R2651" s="1201"/>
      <c r="S2651" s="1201"/>
      <c r="T2651" s="1201"/>
    </row>
    <row r="2652" spans="12:20">
      <c r="L2652" s="1179"/>
      <c r="M2652" s="1183"/>
      <c r="N2652" s="1183"/>
      <c r="O2652" s="1183"/>
      <c r="P2652" s="1201"/>
      <c r="Q2652" s="1201"/>
      <c r="R2652" s="1201"/>
      <c r="S2652" s="1201"/>
      <c r="T2652" s="1201"/>
    </row>
    <row r="2653" spans="12:20">
      <c r="L2653" s="1179"/>
      <c r="M2653" s="1183"/>
      <c r="N2653" s="1183"/>
      <c r="O2653" s="1183"/>
      <c r="P2653" s="1201"/>
      <c r="Q2653" s="1201"/>
      <c r="R2653" s="1201"/>
      <c r="S2653" s="1201"/>
      <c r="T2653" s="1201"/>
    </row>
    <row r="2654" spans="12:20">
      <c r="L2654" s="1179"/>
      <c r="M2654" s="1183"/>
      <c r="N2654" s="1183"/>
      <c r="O2654" s="1183"/>
      <c r="P2654" s="1201"/>
      <c r="Q2654" s="1201"/>
      <c r="R2654" s="1201"/>
      <c r="S2654" s="1201"/>
      <c r="T2654" s="1201"/>
    </row>
    <row r="2655" spans="12:20">
      <c r="L2655" s="1179"/>
      <c r="M2655" s="1183"/>
      <c r="N2655" s="1183"/>
      <c r="O2655" s="1183"/>
      <c r="P2655" s="1201"/>
      <c r="Q2655" s="1201"/>
      <c r="R2655" s="1201"/>
      <c r="S2655" s="1201"/>
      <c r="T2655" s="1201"/>
    </row>
    <row r="2656" spans="12:20">
      <c r="L2656" s="1179"/>
      <c r="M2656" s="1183"/>
      <c r="N2656" s="1183"/>
      <c r="O2656" s="1183"/>
      <c r="P2656" s="1201"/>
      <c r="Q2656" s="1201"/>
      <c r="R2656" s="1201"/>
      <c r="S2656" s="1201"/>
      <c r="T2656" s="1201"/>
    </row>
    <row r="2657" spans="12:20">
      <c r="L2657" s="1179"/>
      <c r="M2657" s="1183"/>
      <c r="N2657" s="1183"/>
      <c r="O2657" s="1183"/>
      <c r="P2657" s="1201"/>
      <c r="Q2657" s="1201"/>
      <c r="R2657" s="1201"/>
      <c r="S2657" s="1201"/>
      <c r="T2657" s="1201"/>
    </row>
    <row r="2658" spans="12:20">
      <c r="L2658" s="1179"/>
      <c r="M2658" s="1183"/>
      <c r="N2658" s="1183"/>
      <c r="O2658" s="1183"/>
      <c r="P2658" s="1201"/>
      <c r="Q2658" s="1201"/>
      <c r="R2658" s="1201"/>
      <c r="S2658" s="1201"/>
      <c r="T2658" s="1201"/>
    </row>
    <row r="2659" spans="12:20">
      <c r="L2659" s="1179"/>
      <c r="M2659" s="1183"/>
      <c r="N2659" s="1183"/>
      <c r="O2659" s="1183"/>
      <c r="P2659" s="1201"/>
      <c r="Q2659" s="1201"/>
      <c r="R2659" s="1201"/>
      <c r="S2659" s="1201"/>
      <c r="T2659" s="1201"/>
    </row>
    <row r="2660" spans="12:20">
      <c r="L2660" s="1179"/>
      <c r="M2660" s="1183"/>
      <c r="N2660" s="1183"/>
      <c r="O2660" s="1183"/>
      <c r="P2660" s="1201"/>
      <c r="Q2660" s="1201"/>
      <c r="R2660" s="1201"/>
      <c r="S2660" s="1201"/>
      <c r="T2660" s="1201"/>
    </row>
    <row r="2661" spans="12:20">
      <c r="L2661" s="1179"/>
      <c r="M2661" s="1183"/>
      <c r="N2661" s="1183"/>
      <c r="O2661" s="1183"/>
      <c r="P2661" s="1201"/>
      <c r="Q2661" s="1201"/>
      <c r="R2661" s="1201"/>
      <c r="S2661" s="1201"/>
      <c r="T2661" s="1201"/>
    </row>
    <row r="2662" spans="12:20">
      <c r="L2662" s="1179"/>
      <c r="M2662" s="1183"/>
      <c r="N2662" s="1183"/>
      <c r="O2662" s="1183"/>
      <c r="P2662" s="1201"/>
      <c r="Q2662" s="1201"/>
      <c r="R2662" s="1201"/>
      <c r="S2662" s="1201"/>
      <c r="T2662" s="1201"/>
    </row>
    <row r="2663" spans="12:20">
      <c r="L2663" s="1179"/>
      <c r="M2663" s="1183"/>
      <c r="N2663" s="1183"/>
      <c r="O2663" s="1183"/>
      <c r="P2663" s="1201"/>
      <c r="Q2663" s="1201"/>
      <c r="R2663" s="1201"/>
      <c r="S2663" s="1201"/>
      <c r="T2663" s="1201"/>
    </row>
    <row r="2664" spans="12:20">
      <c r="L2664" s="1179"/>
      <c r="M2664" s="1183"/>
      <c r="N2664" s="1183"/>
      <c r="O2664" s="1183"/>
      <c r="P2664" s="1201"/>
      <c r="Q2664" s="1201"/>
      <c r="R2664" s="1201"/>
      <c r="S2664" s="1201"/>
      <c r="T2664" s="1201"/>
    </row>
    <row r="2665" spans="12:20">
      <c r="L2665" s="1179"/>
      <c r="M2665" s="1183"/>
      <c r="N2665" s="1183"/>
      <c r="O2665" s="1183"/>
      <c r="P2665" s="1201"/>
      <c r="Q2665" s="1201"/>
      <c r="R2665" s="1201"/>
      <c r="S2665" s="1201"/>
      <c r="T2665" s="1201"/>
    </row>
    <row r="2666" spans="12:20">
      <c r="L2666" s="1179"/>
      <c r="M2666" s="1183"/>
      <c r="N2666" s="1183"/>
      <c r="O2666" s="1183"/>
      <c r="P2666" s="1201"/>
      <c r="Q2666" s="1201"/>
      <c r="R2666" s="1201"/>
      <c r="S2666" s="1201"/>
      <c r="T2666" s="1201"/>
    </row>
    <row r="2667" spans="12:20">
      <c r="L2667" s="1179"/>
      <c r="M2667" s="1183"/>
      <c r="N2667" s="1183"/>
      <c r="O2667" s="1183"/>
      <c r="P2667" s="1201"/>
      <c r="Q2667" s="1201"/>
      <c r="R2667" s="1201"/>
      <c r="S2667" s="1201"/>
      <c r="T2667" s="1201"/>
    </row>
    <row r="2668" spans="12:20">
      <c r="L2668" s="1179"/>
      <c r="M2668" s="1183"/>
      <c r="N2668" s="1183"/>
      <c r="O2668" s="1183"/>
      <c r="P2668" s="1201"/>
      <c r="Q2668" s="1201"/>
      <c r="R2668" s="1201"/>
      <c r="S2668" s="1201"/>
      <c r="T2668" s="1201"/>
    </row>
    <row r="2669" spans="12:20">
      <c r="L2669" s="1179"/>
      <c r="M2669" s="1183"/>
      <c r="N2669" s="1183"/>
      <c r="O2669" s="1183"/>
      <c r="P2669" s="1201"/>
      <c r="Q2669" s="1201"/>
      <c r="R2669" s="1201"/>
      <c r="S2669" s="1201"/>
      <c r="T2669" s="1201"/>
    </row>
    <row r="2670" spans="12:20">
      <c r="L2670" s="1179"/>
      <c r="M2670" s="1183"/>
      <c r="N2670" s="1183"/>
      <c r="O2670" s="1183"/>
      <c r="P2670" s="1201"/>
      <c r="Q2670" s="1201"/>
      <c r="R2670" s="1201"/>
      <c r="S2670" s="1201"/>
      <c r="T2670" s="1201"/>
    </row>
    <row r="2671" spans="12:20">
      <c r="L2671" s="1179"/>
      <c r="M2671" s="1183"/>
      <c r="N2671" s="1183"/>
      <c r="O2671" s="1183"/>
      <c r="P2671" s="1201"/>
      <c r="Q2671" s="1201"/>
      <c r="R2671" s="1201"/>
      <c r="S2671" s="1201"/>
      <c r="T2671" s="1201"/>
    </row>
    <row r="2672" spans="12:20">
      <c r="L2672" s="1179"/>
      <c r="M2672" s="1183"/>
      <c r="N2672" s="1183"/>
      <c r="O2672" s="1183"/>
      <c r="P2672" s="1201"/>
      <c r="Q2672" s="1201"/>
      <c r="R2672" s="1201"/>
      <c r="S2672" s="1201"/>
      <c r="T2672" s="1201"/>
    </row>
    <row r="2673" spans="12:20">
      <c r="L2673" s="1179"/>
      <c r="M2673" s="1183"/>
      <c r="N2673" s="1183"/>
      <c r="O2673" s="1183"/>
      <c r="P2673" s="1201"/>
      <c r="Q2673" s="1201"/>
      <c r="R2673" s="1201"/>
      <c r="S2673" s="1201"/>
      <c r="T2673" s="1201"/>
    </row>
    <row r="2674" spans="12:20">
      <c r="L2674" s="1179"/>
      <c r="M2674" s="1183"/>
      <c r="N2674" s="1183"/>
      <c r="O2674" s="1183"/>
      <c r="P2674" s="1201"/>
      <c r="Q2674" s="1201"/>
      <c r="R2674" s="1201"/>
      <c r="S2674" s="1201"/>
      <c r="T2674" s="1201"/>
    </row>
    <row r="2675" spans="12:20">
      <c r="L2675" s="1179"/>
      <c r="M2675" s="1183"/>
      <c r="N2675" s="1183"/>
      <c r="O2675" s="1183"/>
      <c r="P2675" s="1201"/>
      <c r="Q2675" s="1201"/>
      <c r="R2675" s="1201"/>
      <c r="S2675" s="1201"/>
      <c r="T2675" s="1201"/>
    </row>
    <row r="2676" spans="12:20">
      <c r="L2676" s="1179"/>
      <c r="M2676" s="1183"/>
      <c r="N2676" s="1183"/>
      <c r="O2676" s="1183"/>
      <c r="P2676" s="1201"/>
      <c r="Q2676" s="1201"/>
      <c r="R2676" s="1201"/>
      <c r="S2676" s="1201"/>
      <c r="T2676" s="1201"/>
    </row>
    <row r="2677" spans="12:20">
      <c r="L2677" s="1179"/>
      <c r="M2677" s="1183"/>
      <c r="N2677" s="1183"/>
      <c r="O2677" s="1183"/>
      <c r="P2677" s="1201"/>
      <c r="Q2677" s="1201"/>
      <c r="R2677" s="1201"/>
      <c r="S2677" s="1201"/>
      <c r="T2677" s="1201"/>
    </row>
    <row r="2678" spans="12:20">
      <c r="L2678" s="1179"/>
      <c r="M2678" s="1183"/>
      <c r="N2678" s="1183"/>
      <c r="O2678" s="1183"/>
      <c r="P2678" s="1201"/>
      <c r="Q2678" s="1201"/>
      <c r="R2678" s="1201"/>
      <c r="S2678" s="1201"/>
      <c r="T2678" s="1201"/>
    </row>
    <row r="2679" spans="12:20">
      <c r="L2679" s="1179"/>
      <c r="M2679" s="1183"/>
      <c r="N2679" s="1183"/>
      <c r="O2679" s="1183"/>
      <c r="P2679" s="1201"/>
      <c r="Q2679" s="1201"/>
      <c r="R2679" s="1201"/>
      <c r="S2679" s="1201"/>
      <c r="T2679" s="1201"/>
    </row>
    <row r="2680" spans="12:20">
      <c r="L2680" s="1179"/>
      <c r="M2680" s="1183"/>
      <c r="N2680" s="1183"/>
      <c r="O2680" s="1183"/>
      <c r="P2680" s="1201"/>
      <c r="Q2680" s="1201"/>
      <c r="R2680" s="1201"/>
      <c r="S2680" s="1201"/>
      <c r="T2680" s="1201"/>
    </row>
    <row r="2681" spans="12:20">
      <c r="L2681" s="1179"/>
      <c r="M2681" s="1183"/>
      <c r="N2681" s="1183"/>
      <c r="O2681" s="1183"/>
      <c r="P2681" s="1201"/>
      <c r="Q2681" s="1201"/>
      <c r="R2681" s="1201"/>
      <c r="S2681" s="1201"/>
      <c r="T2681" s="1201"/>
    </row>
    <row r="2682" spans="12:20">
      <c r="L2682" s="1179"/>
      <c r="M2682" s="1183"/>
      <c r="N2682" s="1183"/>
      <c r="O2682" s="1183"/>
      <c r="P2682" s="1201"/>
      <c r="Q2682" s="1201"/>
      <c r="R2682" s="1201"/>
      <c r="S2682" s="1201"/>
      <c r="T2682" s="1201"/>
    </row>
    <row r="2683" spans="12:20">
      <c r="L2683" s="1179"/>
      <c r="M2683" s="1183"/>
      <c r="N2683" s="1183"/>
      <c r="O2683" s="1183"/>
      <c r="P2683" s="1201"/>
      <c r="Q2683" s="1201"/>
      <c r="R2683" s="1201"/>
      <c r="S2683" s="1201"/>
      <c r="T2683" s="1201"/>
    </row>
    <row r="2684" spans="12:20">
      <c r="L2684" s="1179"/>
      <c r="M2684" s="1183"/>
      <c r="N2684" s="1183"/>
      <c r="O2684" s="1183"/>
      <c r="P2684" s="1201"/>
      <c r="Q2684" s="1201"/>
      <c r="R2684" s="1201"/>
      <c r="S2684" s="1201"/>
      <c r="T2684" s="1201"/>
    </row>
    <row r="2685" spans="12:20">
      <c r="L2685" s="1179"/>
      <c r="M2685" s="1183"/>
      <c r="N2685" s="1183"/>
      <c r="O2685" s="1183"/>
      <c r="P2685" s="1201"/>
      <c r="Q2685" s="1201"/>
      <c r="R2685" s="1201"/>
      <c r="S2685" s="1201"/>
      <c r="T2685" s="1201"/>
    </row>
    <row r="2686" spans="12:20">
      <c r="L2686" s="1179"/>
      <c r="M2686" s="1183"/>
      <c r="N2686" s="1183"/>
      <c r="O2686" s="1183"/>
      <c r="P2686" s="1201"/>
      <c r="Q2686" s="1201"/>
      <c r="R2686" s="1201"/>
      <c r="S2686" s="1201"/>
      <c r="T2686" s="1201"/>
    </row>
    <row r="2687" spans="12:20">
      <c r="L2687" s="1179"/>
      <c r="M2687" s="1183"/>
      <c r="N2687" s="1183"/>
      <c r="O2687" s="1183"/>
      <c r="P2687" s="1201"/>
      <c r="Q2687" s="1201"/>
      <c r="R2687" s="1201"/>
      <c r="S2687" s="1201"/>
      <c r="T2687" s="1201"/>
    </row>
    <row r="2688" spans="12:20">
      <c r="L2688" s="1179"/>
      <c r="M2688" s="1183"/>
      <c r="N2688" s="1183"/>
      <c r="O2688" s="1183"/>
      <c r="P2688" s="1201"/>
      <c r="Q2688" s="1201"/>
      <c r="R2688" s="1201"/>
      <c r="S2688" s="1201"/>
      <c r="T2688" s="1201"/>
    </row>
    <row r="2689" spans="12:20">
      <c r="L2689" s="1179"/>
      <c r="M2689" s="1183"/>
      <c r="N2689" s="1183"/>
      <c r="O2689" s="1183"/>
      <c r="P2689" s="1201"/>
      <c r="Q2689" s="1201"/>
      <c r="R2689" s="1201"/>
      <c r="S2689" s="1201"/>
      <c r="T2689" s="1201"/>
    </row>
    <row r="2690" spans="12:20">
      <c r="L2690" s="1179"/>
      <c r="M2690" s="1183"/>
      <c r="N2690" s="1183"/>
      <c r="O2690" s="1183"/>
      <c r="P2690" s="1201"/>
      <c r="Q2690" s="1201"/>
      <c r="R2690" s="1201"/>
      <c r="S2690" s="1201"/>
      <c r="T2690" s="1201"/>
    </row>
    <row r="2691" spans="12:20">
      <c r="L2691" s="1179"/>
      <c r="M2691" s="1183"/>
      <c r="N2691" s="1183"/>
      <c r="O2691" s="1183"/>
      <c r="P2691" s="1201"/>
      <c r="Q2691" s="1201"/>
      <c r="R2691" s="1201"/>
      <c r="S2691" s="1201"/>
      <c r="T2691" s="1201"/>
    </row>
    <row r="2692" spans="12:20">
      <c r="L2692" s="1179"/>
      <c r="M2692" s="1183"/>
      <c r="N2692" s="1183"/>
      <c r="O2692" s="1183"/>
      <c r="P2692" s="1201"/>
      <c r="Q2692" s="1201"/>
      <c r="R2692" s="1201"/>
      <c r="S2692" s="1201"/>
      <c r="T2692" s="1201"/>
    </row>
    <row r="2693" spans="12:20">
      <c r="L2693" s="1179"/>
      <c r="M2693" s="1183"/>
      <c r="N2693" s="1183"/>
      <c r="O2693" s="1183"/>
      <c r="P2693" s="1201"/>
      <c r="Q2693" s="1201"/>
      <c r="R2693" s="1201"/>
      <c r="S2693" s="1201"/>
      <c r="T2693" s="1201"/>
    </row>
    <row r="2694" spans="12:20">
      <c r="L2694" s="1179"/>
      <c r="M2694" s="1183"/>
      <c r="N2694" s="1183"/>
      <c r="O2694" s="1183"/>
      <c r="P2694" s="1201"/>
      <c r="Q2694" s="1201"/>
      <c r="R2694" s="1201"/>
      <c r="S2694" s="1201"/>
      <c r="T2694" s="1201"/>
    </row>
    <row r="2695" spans="12:20">
      <c r="L2695" s="1179"/>
      <c r="M2695" s="1183"/>
      <c r="N2695" s="1183"/>
      <c r="O2695" s="1183"/>
      <c r="P2695" s="1201"/>
      <c r="Q2695" s="1201"/>
      <c r="R2695" s="1201"/>
      <c r="S2695" s="1201"/>
      <c r="T2695" s="1201"/>
    </row>
    <row r="2696" spans="12:20">
      <c r="L2696" s="1179"/>
      <c r="M2696" s="1183"/>
      <c r="N2696" s="1183"/>
      <c r="O2696" s="1183"/>
      <c r="P2696" s="1201"/>
      <c r="Q2696" s="1201"/>
      <c r="R2696" s="1201"/>
      <c r="S2696" s="1201"/>
      <c r="T2696" s="1201"/>
    </row>
    <row r="2697" spans="12:20">
      <c r="L2697" s="1179"/>
      <c r="M2697" s="1183"/>
      <c r="N2697" s="1183"/>
      <c r="O2697" s="1183"/>
      <c r="P2697" s="1201"/>
      <c r="Q2697" s="1201"/>
      <c r="R2697" s="1201"/>
      <c r="S2697" s="1201"/>
      <c r="T2697" s="1201"/>
    </row>
    <row r="2698" spans="12:20">
      <c r="L2698" s="1179"/>
      <c r="M2698" s="1183"/>
      <c r="N2698" s="1183"/>
      <c r="O2698" s="1183"/>
      <c r="P2698" s="1201"/>
      <c r="Q2698" s="1201"/>
      <c r="R2698" s="1201"/>
      <c r="S2698" s="1201"/>
      <c r="T2698" s="1201"/>
    </row>
    <row r="2699" spans="12:20">
      <c r="L2699" s="1179"/>
      <c r="M2699" s="1183"/>
      <c r="N2699" s="1183"/>
      <c r="O2699" s="1183"/>
      <c r="P2699" s="1201"/>
      <c r="Q2699" s="1201"/>
      <c r="R2699" s="1201"/>
      <c r="S2699" s="1201"/>
      <c r="T2699" s="1201"/>
    </row>
    <row r="2700" spans="12:20">
      <c r="L2700" s="1179"/>
      <c r="M2700" s="1183"/>
      <c r="N2700" s="1183"/>
      <c r="O2700" s="1183"/>
      <c r="P2700" s="1201"/>
      <c r="Q2700" s="1201"/>
      <c r="R2700" s="1201"/>
      <c r="S2700" s="1201"/>
      <c r="T2700" s="1201"/>
    </row>
    <row r="2701" spans="12:20">
      <c r="L2701" s="1179"/>
      <c r="M2701" s="1183"/>
      <c r="N2701" s="1183"/>
      <c r="O2701" s="1183"/>
      <c r="P2701" s="1201"/>
      <c r="Q2701" s="1201"/>
      <c r="R2701" s="1201"/>
      <c r="S2701" s="1201"/>
      <c r="T2701" s="1201"/>
    </row>
    <row r="2702" spans="12:20">
      <c r="L2702" s="1179"/>
      <c r="M2702" s="1183"/>
      <c r="N2702" s="1183"/>
      <c r="O2702" s="1183"/>
      <c r="P2702" s="1201"/>
      <c r="Q2702" s="1201"/>
      <c r="R2702" s="1201"/>
      <c r="S2702" s="1201"/>
      <c r="T2702" s="1201"/>
    </row>
    <row r="2703" spans="12:20">
      <c r="L2703" s="1179"/>
      <c r="M2703" s="1183"/>
      <c r="N2703" s="1183"/>
      <c r="O2703" s="1183"/>
      <c r="P2703" s="1201"/>
      <c r="Q2703" s="1201"/>
      <c r="R2703" s="1201"/>
      <c r="S2703" s="1201"/>
      <c r="T2703" s="1201"/>
    </row>
    <row r="2704" spans="12:20">
      <c r="L2704" s="1179"/>
      <c r="M2704" s="1183"/>
      <c r="N2704" s="1183"/>
      <c r="O2704" s="1183"/>
      <c r="P2704" s="1201"/>
      <c r="Q2704" s="1201"/>
      <c r="R2704" s="1201"/>
      <c r="S2704" s="1201"/>
      <c r="T2704" s="1201"/>
    </row>
    <row r="2705" spans="12:20">
      <c r="L2705" s="1179"/>
      <c r="M2705" s="1183"/>
      <c r="N2705" s="1183"/>
      <c r="O2705" s="1183"/>
      <c r="P2705" s="1201"/>
      <c r="Q2705" s="1201"/>
      <c r="R2705" s="1201"/>
      <c r="S2705" s="1201"/>
      <c r="T2705" s="1201"/>
    </row>
    <row r="2706" spans="12:20">
      <c r="L2706" s="1179"/>
      <c r="M2706" s="1183"/>
      <c r="N2706" s="1183"/>
      <c r="O2706" s="1183"/>
      <c r="P2706" s="1201"/>
      <c r="Q2706" s="1201"/>
      <c r="R2706" s="1201"/>
      <c r="S2706" s="1201"/>
      <c r="T2706" s="1201"/>
    </row>
    <row r="2707" spans="12:20">
      <c r="L2707" s="1179"/>
      <c r="M2707" s="1183"/>
      <c r="N2707" s="1183"/>
      <c r="O2707" s="1183"/>
      <c r="P2707" s="1201"/>
      <c r="Q2707" s="1201"/>
      <c r="R2707" s="1201"/>
      <c r="S2707" s="1201"/>
      <c r="T2707" s="1201"/>
    </row>
    <row r="2708" spans="12:20">
      <c r="L2708" s="1179"/>
      <c r="M2708" s="1183"/>
      <c r="N2708" s="1183"/>
      <c r="O2708" s="1183"/>
      <c r="P2708" s="1201"/>
      <c r="Q2708" s="1201"/>
      <c r="R2708" s="1201"/>
      <c r="S2708" s="1201"/>
      <c r="T2708" s="1201"/>
    </row>
    <row r="2709" spans="12:20">
      <c r="L2709" s="1179"/>
      <c r="M2709" s="1183"/>
      <c r="N2709" s="1183"/>
      <c r="O2709" s="1183"/>
      <c r="P2709" s="1201"/>
      <c r="Q2709" s="1201"/>
      <c r="R2709" s="1201"/>
      <c r="S2709" s="1201"/>
      <c r="T2709" s="1201"/>
    </row>
    <row r="2710" spans="12:20">
      <c r="L2710" s="1179"/>
      <c r="M2710" s="1183"/>
      <c r="N2710" s="1183"/>
      <c r="O2710" s="1183"/>
      <c r="P2710" s="1201"/>
      <c r="Q2710" s="1201"/>
      <c r="R2710" s="1201"/>
      <c r="S2710" s="1201"/>
      <c r="T2710" s="1201"/>
    </row>
    <row r="2711" spans="12:20">
      <c r="L2711" s="1179"/>
      <c r="M2711" s="1183"/>
      <c r="N2711" s="1183"/>
      <c r="O2711" s="1183"/>
      <c r="P2711" s="1201"/>
      <c r="Q2711" s="1201"/>
      <c r="R2711" s="1201"/>
      <c r="S2711" s="1201"/>
      <c r="T2711" s="1201"/>
    </row>
    <row r="2712" spans="12:20">
      <c r="L2712" s="1179"/>
      <c r="M2712" s="1183"/>
      <c r="N2712" s="1183"/>
      <c r="O2712" s="1183"/>
      <c r="P2712" s="1201"/>
      <c r="Q2712" s="1201"/>
      <c r="R2712" s="1201"/>
      <c r="S2712" s="1201"/>
      <c r="T2712" s="1201"/>
    </row>
    <row r="2713" spans="12:20">
      <c r="L2713" s="1179"/>
      <c r="M2713" s="1183"/>
      <c r="N2713" s="1183"/>
      <c r="O2713" s="1183"/>
      <c r="P2713" s="1201"/>
      <c r="Q2713" s="1201"/>
      <c r="R2713" s="1201"/>
      <c r="S2713" s="1201"/>
      <c r="T2713" s="1201"/>
    </row>
    <row r="2714" spans="12:20">
      <c r="L2714" s="1179"/>
      <c r="M2714" s="1183"/>
      <c r="N2714" s="1183"/>
      <c r="O2714" s="1183"/>
      <c r="P2714" s="1201"/>
      <c r="Q2714" s="1201"/>
      <c r="R2714" s="1201"/>
      <c r="S2714" s="1201"/>
      <c r="T2714" s="1201"/>
    </row>
    <row r="2715" spans="12:20">
      <c r="L2715" s="1179"/>
      <c r="M2715" s="1183"/>
      <c r="N2715" s="1183"/>
      <c r="O2715" s="1183"/>
      <c r="P2715" s="1201"/>
      <c r="Q2715" s="1201"/>
      <c r="R2715" s="1201"/>
      <c r="S2715" s="1201"/>
      <c r="T2715" s="1201"/>
    </row>
    <row r="2716" spans="12:20">
      <c r="L2716" s="1179"/>
      <c r="M2716" s="1183"/>
      <c r="N2716" s="1183"/>
      <c r="O2716" s="1183"/>
      <c r="P2716" s="1201"/>
      <c r="Q2716" s="1201"/>
      <c r="R2716" s="1201"/>
      <c r="S2716" s="1201"/>
      <c r="T2716" s="1201"/>
    </row>
    <row r="2717" spans="12:20">
      <c r="L2717" s="1179"/>
      <c r="M2717" s="1183"/>
      <c r="N2717" s="1183"/>
      <c r="O2717" s="1183"/>
      <c r="P2717" s="1201"/>
      <c r="Q2717" s="1201"/>
      <c r="R2717" s="1201"/>
      <c r="S2717" s="1201"/>
      <c r="T2717" s="1201"/>
    </row>
    <row r="2718" spans="12:20">
      <c r="L2718" s="1179"/>
      <c r="M2718" s="1183"/>
      <c r="N2718" s="1183"/>
      <c r="O2718" s="1183"/>
      <c r="P2718" s="1201"/>
      <c r="Q2718" s="1201"/>
      <c r="R2718" s="1201"/>
      <c r="S2718" s="1201"/>
      <c r="T2718" s="1201"/>
    </row>
    <row r="2719" spans="12:20">
      <c r="L2719" s="1179"/>
      <c r="M2719" s="1183"/>
      <c r="N2719" s="1183"/>
      <c r="O2719" s="1183"/>
      <c r="P2719" s="1201"/>
      <c r="Q2719" s="1201"/>
      <c r="R2719" s="1201"/>
      <c r="S2719" s="1201"/>
      <c r="T2719" s="1201"/>
    </row>
    <row r="2720" spans="12:20">
      <c r="L2720" s="1179"/>
      <c r="M2720" s="1183"/>
      <c r="N2720" s="1183"/>
      <c r="O2720" s="1183"/>
      <c r="P2720" s="1201"/>
      <c r="Q2720" s="1201"/>
      <c r="R2720" s="1201"/>
      <c r="S2720" s="1201"/>
      <c r="T2720" s="1201"/>
    </row>
    <row r="2721" spans="12:20">
      <c r="L2721" s="1179"/>
      <c r="M2721" s="1183"/>
      <c r="N2721" s="1183"/>
      <c r="O2721" s="1183"/>
      <c r="P2721" s="1201"/>
      <c r="Q2721" s="1201"/>
      <c r="R2721" s="1201"/>
      <c r="S2721" s="1201"/>
      <c r="T2721" s="1201"/>
    </row>
    <row r="2722" spans="12:20">
      <c r="L2722" s="1179"/>
      <c r="M2722" s="1183"/>
      <c r="N2722" s="1183"/>
      <c r="O2722" s="1183"/>
      <c r="P2722" s="1201"/>
      <c r="Q2722" s="1201"/>
      <c r="R2722" s="1201"/>
      <c r="S2722" s="1201"/>
      <c r="T2722" s="1201"/>
    </row>
    <row r="2723" spans="12:20">
      <c r="L2723" s="1179"/>
      <c r="M2723" s="1183"/>
      <c r="N2723" s="1183"/>
      <c r="O2723" s="1183"/>
      <c r="P2723" s="1201"/>
      <c r="Q2723" s="1201"/>
      <c r="R2723" s="1201"/>
      <c r="S2723" s="1201"/>
      <c r="T2723" s="1201"/>
    </row>
    <row r="2724" spans="12:20">
      <c r="L2724" s="1179"/>
      <c r="M2724" s="1183"/>
      <c r="N2724" s="1183"/>
      <c r="O2724" s="1183"/>
      <c r="P2724" s="1201"/>
      <c r="Q2724" s="1201"/>
      <c r="R2724" s="1201"/>
      <c r="S2724" s="1201"/>
      <c r="T2724" s="1201"/>
    </row>
    <row r="2725" spans="12:20">
      <c r="L2725" s="1179"/>
      <c r="M2725" s="1183"/>
      <c r="N2725" s="1183"/>
      <c r="O2725" s="1183"/>
      <c r="P2725" s="1201"/>
      <c r="Q2725" s="1201"/>
      <c r="R2725" s="1201"/>
      <c r="S2725" s="1201"/>
      <c r="T2725" s="1201"/>
    </row>
    <row r="2726" spans="12:20">
      <c r="L2726" s="1179"/>
      <c r="M2726" s="1183"/>
      <c r="N2726" s="1183"/>
      <c r="O2726" s="1183"/>
      <c r="P2726" s="1201"/>
      <c r="Q2726" s="1201"/>
      <c r="R2726" s="1201"/>
      <c r="S2726" s="1201"/>
      <c r="T2726" s="1201"/>
    </row>
    <row r="2727" spans="12:20">
      <c r="L2727" s="1179"/>
      <c r="M2727" s="1183"/>
      <c r="N2727" s="1183"/>
      <c r="O2727" s="1183"/>
      <c r="P2727" s="1201"/>
      <c r="Q2727" s="1201"/>
      <c r="R2727" s="1201"/>
      <c r="S2727" s="1201"/>
      <c r="T2727" s="1201"/>
    </row>
    <row r="2728" spans="12:20">
      <c r="L2728" s="1179"/>
      <c r="M2728" s="1183"/>
      <c r="N2728" s="1183"/>
      <c r="O2728" s="1183"/>
      <c r="P2728" s="1201"/>
      <c r="Q2728" s="1201"/>
      <c r="R2728" s="1201"/>
      <c r="S2728" s="1201"/>
      <c r="T2728" s="1201"/>
    </row>
    <row r="2729" spans="12:20">
      <c r="L2729" s="1179"/>
      <c r="M2729" s="1183"/>
      <c r="N2729" s="1183"/>
      <c r="O2729" s="1183"/>
      <c r="P2729" s="1201"/>
      <c r="Q2729" s="1201"/>
      <c r="R2729" s="1201"/>
      <c r="S2729" s="1201"/>
      <c r="T2729" s="1201"/>
    </row>
    <row r="2730" spans="12:20">
      <c r="L2730" s="1179"/>
      <c r="M2730" s="1183"/>
      <c r="N2730" s="1183"/>
      <c r="O2730" s="1183"/>
      <c r="P2730" s="1201"/>
      <c r="Q2730" s="1201"/>
      <c r="R2730" s="1201"/>
      <c r="S2730" s="1201"/>
      <c r="T2730" s="1201"/>
    </row>
    <row r="2731" spans="12:20">
      <c r="L2731" s="1179"/>
      <c r="M2731" s="1183"/>
      <c r="N2731" s="1183"/>
      <c r="O2731" s="1183"/>
      <c r="P2731" s="1201"/>
      <c r="Q2731" s="1201"/>
      <c r="R2731" s="1201"/>
      <c r="S2731" s="1201"/>
      <c r="T2731" s="1201"/>
    </row>
    <row r="2732" spans="12:20">
      <c r="L2732" s="1179"/>
      <c r="M2732" s="1183"/>
      <c r="N2732" s="1183"/>
      <c r="O2732" s="1183"/>
      <c r="P2732" s="1201"/>
      <c r="Q2732" s="1201"/>
      <c r="R2732" s="1201"/>
      <c r="S2732" s="1201"/>
      <c r="T2732" s="1201"/>
    </row>
    <row r="2733" spans="12:20">
      <c r="L2733" s="1179"/>
      <c r="M2733" s="1183"/>
      <c r="N2733" s="1183"/>
      <c r="O2733" s="1183"/>
      <c r="P2733" s="1201"/>
      <c r="Q2733" s="1201"/>
      <c r="R2733" s="1201"/>
      <c r="S2733" s="1201"/>
      <c r="T2733" s="1201"/>
    </row>
    <row r="2734" spans="12:20">
      <c r="L2734" s="1179"/>
      <c r="M2734" s="1183"/>
      <c r="N2734" s="1183"/>
      <c r="O2734" s="1183"/>
      <c r="P2734" s="1201"/>
      <c r="Q2734" s="1201"/>
      <c r="R2734" s="1201"/>
      <c r="S2734" s="1201"/>
      <c r="T2734" s="1201"/>
    </row>
    <row r="2735" spans="12:20">
      <c r="L2735" s="1179"/>
      <c r="M2735" s="1183"/>
      <c r="N2735" s="1183"/>
      <c r="O2735" s="1183"/>
      <c r="P2735" s="1201"/>
      <c r="Q2735" s="1201"/>
      <c r="R2735" s="1201"/>
      <c r="S2735" s="1201"/>
      <c r="T2735" s="1201"/>
    </row>
    <row r="2736" spans="12:20">
      <c r="L2736" s="1179"/>
      <c r="M2736" s="1183"/>
      <c r="N2736" s="1183"/>
      <c r="O2736" s="1183"/>
      <c r="P2736" s="1201"/>
      <c r="Q2736" s="1201"/>
      <c r="R2736" s="1201"/>
      <c r="S2736" s="1201"/>
      <c r="T2736" s="1201"/>
    </row>
    <row r="2737" spans="12:20">
      <c r="L2737" s="1179"/>
      <c r="M2737" s="1183"/>
      <c r="N2737" s="1183"/>
      <c r="O2737" s="1183"/>
      <c r="P2737" s="1201"/>
      <c r="Q2737" s="1201"/>
      <c r="R2737" s="1201"/>
      <c r="S2737" s="1201"/>
      <c r="T2737" s="1201"/>
    </row>
    <row r="2738" spans="12:20">
      <c r="L2738" s="1179"/>
      <c r="M2738" s="1183"/>
      <c r="N2738" s="1183"/>
      <c r="O2738" s="1183"/>
      <c r="P2738" s="1201"/>
      <c r="Q2738" s="1201"/>
      <c r="R2738" s="1201"/>
      <c r="S2738" s="1201"/>
      <c r="T2738" s="1201"/>
    </row>
    <row r="2739" spans="12:20">
      <c r="L2739" s="1179"/>
      <c r="M2739" s="1183"/>
      <c r="N2739" s="1183"/>
      <c r="O2739" s="1183"/>
      <c r="P2739" s="1201"/>
      <c r="Q2739" s="1201"/>
      <c r="R2739" s="1201"/>
      <c r="S2739" s="1201"/>
      <c r="T2739" s="1201"/>
    </row>
    <row r="2740" spans="12:20">
      <c r="L2740" s="1179"/>
      <c r="M2740" s="1183"/>
      <c r="N2740" s="1183"/>
      <c r="O2740" s="1183"/>
      <c r="P2740" s="1201"/>
      <c r="Q2740" s="1201"/>
      <c r="R2740" s="1201"/>
      <c r="S2740" s="1201"/>
      <c r="T2740" s="1201"/>
    </row>
    <row r="2741" spans="12:20">
      <c r="L2741" s="1179"/>
      <c r="M2741" s="1183"/>
      <c r="N2741" s="1183"/>
      <c r="O2741" s="1183"/>
      <c r="P2741" s="1201"/>
      <c r="Q2741" s="1201"/>
      <c r="R2741" s="1201"/>
      <c r="S2741" s="1201"/>
      <c r="T2741" s="1201"/>
    </row>
    <row r="2742" spans="12:20">
      <c r="L2742" s="1179"/>
      <c r="M2742" s="1183"/>
      <c r="N2742" s="1183"/>
      <c r="O2742" s="1183"/>
      <c r="P2742" s="1201"/>
      <c r="Q2742" s="1201"/>
      <c r="R2742" s="1201"/>
      <c r="S2742" s="1201"/>
      <c r="T2742" s="1201"/>
    </row>
    <row r="2743" spans="12:20">
      <c r="L2743" s="1179"/>
      <c r="M2743" s="1183"/>
      <c r="N2743" s="1183"/>
      <c r="O2743" s="1183"/>
      <c r="P2743" s="1201"/>
      <c r="Q2743" s="1201"/>
      <c r="R2743" s="1201"/>
      <c r="S2743" s="1201"/>
      <c r="T2743" s="1201"/>
    </row>
    <row r="2744" spans="12:20">
      <c r="L2744" s="1179"/>
      <c r="M2744" s="1183"/>
      <c r="N2744" s="1183"/>
      <c r="O2744" s="1183"/>
      <c r="P2744" s="1201"/>
      <c r="Q2744" s="1201"/>
      <c r="R2744" s="1201"/>
      <c r="S2744" s="1201"/>
      <c r="T2744" s="1201"/>
    </row>
    <row r="2745" spans="12:20">
      <c r="L2745" s="1179"/>
      <c r="M2745" s="1183"/>
      <c r="N2745" s="1183"/>
      <c r="O2745" s="1183"/>
      <c r="P2745" s="1201"/>
      <c r="Q2745" s="1201"/>
      <c r="R2745" s="1201"/>
      <c r="S2745" s="1201"/>
      <c r="T2745" s="1201"/>
    </row>
    <row r="2746" spans="12:20">
      <c r="L2746" s="1179"/>
      <c r="M2746" s="1183"/>
      <c r="N2746" s="1183"/>
      <c r="O2746" s="1183"/>
      <c r="P2746" s="1201"/>
      <c r="Q2746" s="1201"/>
      <c r="R2746" s="1201"/>
      <c r="S2746" s="1201"/>
      <c r="T2746" s="1201"/>
    </row>
    <row r="2747" spans="12:20">
      <c r="L2747" s="1179"/>
      <c r="M2747" s="1183"/>
      <c r="N2747" s="1183"/>
      <c r="O2747" s="1183"/>
      <c r="P2747" s="1201"/>
      <c r="Q2747" s="1201"/>
      <c r="R2747" s="1201"/>
      <c r="S2747" s="1201"/>
      <c r="T2747" s="1201"/>
    </row>
    <row r="2748" spans="12:20">
      <c r="L2748" s="1179"/>
      <c r="M2748" s="1183"/>
      <c r="N2748" s="1183"/>
      <c r="O2748" s="1183"/>
      <c r="P2748" s="1201"/>
      <c r="Q2748" s="1201"/>
      <c r="R2748" s="1201"/>
      <c r="S2748" s="1201"/>
      <c r="T2748" s="1201"/>
    </row>
    <row r="2749" spans="12:20">
      <c r="L2749" s="1179"/>
      <c r="M2749" s="1183"/>
      <c r="N2749" s="1183"/>
      <c r="O2749" s="1183"/>
      <c r="P2749" s="1201"/>
      <c r="Q2749" s="1201"/>
      <c r="R2749" s="1201"/>
      <c r="S2749" s="1201"/>
      <c r="T2749" s="1201"/>
    </row>
    <row r="2750" spans="12:20">
      <c r="L2750" s="1179"/>
      <c r="M2750" s="1183"/>
      <c r="N2750" s="1183"/>
      <c r="O2750" s="1183"/>
      <c r="P2750" s="1201"/>
      <c r="Q2750" s="1201"/>
      <c r="R2750" s="1201"/>
      <c r="S2750" s="1201"/>
      <c r="T2750" s="1201"/>
    </row>
    <row r="2751" spans="12:20">
      <c r="L2751" s="1179"/>
      <c r="M2751" s="1183"/>
      <c r="N2751" s="1183"/>
      <c r="O2751" s="1183"/>
      <c r="P2751" s="1201"/>
      <c r="Q2751" s="1201"/>
      <c r="R2751" s="1201"/>
      <c r="S2751" s="1201"/>
      <c r="T2751" s="1201"/>
    </row>
    <row r="2752" spans="12:20">
      <c r="L2752" s="1179"/>
      <c r="M2752" s="1183"/>
      <c r="N2752" s="1183"/>
      <c r="O2752" s="1183"/>
      <c r="P2752" s="1201"/>
      <c r="Q2752" s="1201"/>
      <c r="R2752" s="1201"/>
      <c r="S2752" s="1201"/>
      <c r="T2752" s="1201"/>
    </row>
    <row r="2753" spans="12:20">
      <c r="L2753" s="1179"/>
      <c r="M2753" s="1183"/>
      <c r="N2753" s="1183"/>
      <c r="O2753" s="1183"/>
      <c r="P2753" s="1201"/>
      <c r="Q2753" s="1201"/>
      <c r="R2753" s="1201"/>
      <c r="S2753" s="1201"/>
      <c r="T2753" s="1201"/>
    </row>
    <row r="2754" spans="12:20">
      <c r="L2754" s="1179"/>
      <c r="M2754" s="1183"/>
      <c r="N2754" s="1183"/>
      <c r="O2754" s="1183"/>
      <c r="P2754" s="1201"/>
      <c r="Q2754" s="1201"/>
      <c r="R2754" s="1201"/>
      <c r="S2754" s="1201"/>
      <c r="T2754" s="1201"/>
    </row>
    <row r="2755" spans="12:20">
      <c r="L2755" s="1179"/>
      <c r="M2755" s="1183"/>
      <c r="N2755" s="1183"/>
      <c r="O2755" s="1183"/>
      <c r="P2755" s="1201"/>
      <c r="Q2755" s="1201"/>
      <c r="R2755" s="1201"/>
      <c r="S2755" s="1201"/>
      <c r="T2755" s="1201"/>
    </row>
    <row r="2756" spans="12:20">
      <c r="L2756" s="1179"/>
      <c r="M2756" s="1183"/>
      <c r="N2756" s="1183"/>
      <c r="O2756" s="1183"/>
      <c r="P2756" s="1201"/>
      <c r="Q2756" s="1201"/>
      <c r="R2756" s="1201"/>
      <c r="S2756" s="1201"/>
      <c r="T2756" s="1201"/>
    </row>
    <row r="2757" spans="12:20">
      <c r="L2757" s="1179"/>
      <c r="M2757" s="1183"/>
      <c r="N2757" s="1183"/>
      <c r="O2757" s="1183"/>
      <c r="P2757" s="1201"/>
      <c r="Q2757" s="1201"/>
      <c r="R2757" s="1201"/>
      <c r="S2757" s="1201"/>
      <c r="T2757" s="1201"/>
    </row>
    <row r="2758" spans="12:20">
      <c r="L2758" s="1179"/>
      <c r="M2758" s="1183"/>
      <c r="N2758" s="1183"/>
      <c r="O2758" s="1183"/>
      <c r="P2758" s="1201"/>
      <c r="Q2758" s="1201"/>
      <c r="R2758" s="1201"/>
      <c r="S2758" s="1201"/>
      <c r="T2758" s="1201"/>
    </row>
    <row r="2759" spans="12:20">
      <c r="L2759" s="1179"/>
      <c r="M2759" s="1183"/>
      <c r="N2759" s="1183"/>
      <c r="O2759" s="1183"/>
      <c r="P2759" s="1201"/>
      <c r="Q2759" s="1201"/>
      <c r="R2759" s="1201"/>
      <c r="S2759" s="1201"/>
      <c r="T2759" s="1201"/>
    </row>
    <row r="2760" spans="12:20">
      <c r="L2760" s="1179"/>
      <c r="M2760" s="1183"/>
      <c r="N2760" s="1183"/>
      <c r="O2760" s="1183"/>
      <c r="P2760" s="1201"/>
      <c r="Q2760" s="1201"/>
      <c r="R2760" s="1201"/>
      <c r="S2760" s="1201"/>
      <c r="T2760" s="1201"/>
    </row>
    <row r="2761" spans="12:20">
      <c r="L2761" s="1179"/>
      <c r="M2761" s="1183"/>
      <c r="N2761" s="1183"/>
      <c r="O2761" s="1183"/>
      <c r="P2761" s="1201"/>
      <c r="Q2761" s="1201"/>
      <c r="R2761" s="1201"/>
      <c r="S2761" s="1201"/>
      <c r="T2761" s="1201"/>
    </row>
    <row r="2762" spans="12:20">
      <c r="L2762" s="1179"/>
      <c r="M2762" s="1183"/>
      <c r="N2762" s="1183"/>
      <c r="O2762" s="1183"/>
      <c r="P2762" s="1201"/>
      <c r="Q2762" s="1201"/>
      <c r="R2762" s="1201"/>
      <c r="S2762" s="1201"/>
      <c r="T2762" s="1201"/>
    </row>
    <row r="2763" spans="12:20">
      <c r="L2763" s="1179"/>
      <c r="M2763" s="1183"/>
      <c r="N2763" s="1183"/>
      <c r="O2763" s="1183"/>
      <c r="P2763" s="1201"/>
      <c r="Q2763" s="1201"/>
      <c r="R2763" s="1201"/>
      <c r="S2763" s="1201"/>
      <c r="T2763" s="1201"/>
    </row>
    <row r="2764" spans="12:20">
      <c r="L2764" s="1179"/>
      <c r="M2764" s="1183"/>
      <c r="N2764" s="1183"/>
      <c r="O2764" s="1183"/>
      <c r="P2764" s="1201"/>
      <c r="Q2764" s="1201"/>
      <c r="R2764" s="1201"/>
      <c r="S2764" s="1201"/>
      <c r="T2764" s="1201"/>
    </row>
    <row r="2765" spans="12:20">
      <c r="L2765" s="1179"/>
      <c r="M2765" s="1183"/>
      <c r="N2765" s="1183"/>
      <c r="O2765" s="1183"/>
      <c r="P2765" s="1201"/>
      <c r="Q2765" s="1201"/>
      <c r="R2765" s="1201"/>
      <c r="S2765" s="1201"/>
      <c r="T2765" s="1201"/>
    </row>
    <row r="2766" spans="12:20">
      <c r="L2766" s="1179"/>
      <c r="M2766" s="1183"/>
      <c r="N2766" s="1183"/>
      <c r="O2766" s="1183"/>
      <c r="P2766" s="1201"/>
      <c r="Q2766" s="1201"/>
      <c r="R2766" s="1201"/>
      <c r="S2766" s="1201"/>
      <c r="T2766" s="1201"/>
    </row>
    <row r="2767" spans="12:20">
      <c r="L2767" s="1179"/>
      <c r="M2767" s="1183"/>
      <c r="N2767" s="1183"/>
      <c r="O2767" s="1183"/>
      <c r="P2767" s="1201"/>
      <c r="Q2767" s="1201"/>
      <c r="R2767" s="1201"/>
      <c r="S2767" s="1201"/>
      <c r="T2767" s="1201"/>
    </row>
    <row r="2768" spans="12:20">
      <c r="L2768" s="1179"/>
      <c r="M2768" s="1183"/>
      <c r="N2768" s="1183"/>
      <c r="O2768" s="1183"/>
      <c r="P2768" s="1201"/>
      <c r="Q2768" s="1201"/>
      <c r="R2768" s="1201"/>
      <c r="S2768" s="1201"/>
      <c r="T2768" s="1201"/>
    </row>
    <row r="2769" spans="12:20">
      <c r="L2769" s="1179"/>
      <c r="M2769" s="1183"/>
      <c r="N2769" s="1183"/>
      <c r="O2769" s="1183"/>
      <c r="P2769" s="1201"/>
      <c r="Q2769" s="1201"/>
      <c r="R2769" s="1201"/>
      <c r="S2769" s="1201"/>
      <c r="T2769" s="1201"/>
    </row>
    <row r="2770" spans="12:20">
      <c r="L2770" s="1179"/>
      <c r="M2770" s="1183"/>
      <c r="N2770" s="1183"/>
      <c r="O2770" s="1183"/>
      <c r="P2770" s="1201"/>
      <c r="Q2770" s="1201"/>
      <c r="R2770" s="1201"/>
      <c r="S2770" s="1201"/>
      <c r="T2770" s="1201"/>
    </row>
    <row r="2771" spans="12:20">
      <c r="L2771" s="1179"/>
      <c r="M2771" s="1183"/>
      <c r="N2771" s="1183"/>
      <c r="O2771" s="1183"/>
      <c r="P2771" s="1201"/>
      <c r="Q2771" s="1201"/>
      <c r="R2771" s="1201"/>
      <c r="S2771" s="1201"/>
      <c r="T2771" s="1201"/>
    </row>
    <row r="2772" spans="12:20">
      <c r="L2772" s="1179"/>
      <c r="M2772" s="1183"/>
      <c r="N2772" s="1183"/>
      <c r="O2772" s="1183"/>
      <c r="P2772" s="1201"/>
      <c r="Q2772" s="1201"/>
      <c r="R2772" s="1201"/>
      <c r="S2772" s="1201"/>
      <c r="T2772" s="1201"/>
    </row>
    <row r="2773" spans="12:20">
      <c r="L2773" s="1179"/>
      <c r="M2773" s="1183"/>
      <c r="N2773" s="1183"/>
      <c r="O2773" s="1183"/>
      <c r="P2773" s="1201"/>
      <c r="Q2773" s="1201"/>
      <c r="R2773" s="1201"/>
      <c r="S2773" s="1201"/>
      <c r="T2773" s="1201"/>
    </row>
    <row r="2774" spans="12:20">
      <c r="L2774" s="1179"/>
      <c r="M2774" s="1183"/>
      <c r="N2774" s="1183"/>
      <c r="O2774" s="1183"/>
      <c r="P2774" s="1201"/>
      <c r="Q2774" s="1201"/>
      <c r="R2774" s="1201"/>
      <c r="S2774" s="1201"/>
      <c r="T2774" s="1201"/>
    </row>
    <row r="2775" spans="12:20">
      <c r="L2775" s="1179"/>
      <c r="M2775" s="1183"/>
      <c r="N2775" s="1183"/>
      <c r="O2775" s="1183"/>
      <c r="P2775" s="1201"/>
      <c r="Q2775" s="1201"/>
      <c r="R2775" s="1201"/>
      <c r="S2775" s="1201"/>
      <c r="T2775" s="1201"/>
    </row>
    <row r="2776" spans="12:20">
      <c r="L2776" s="1179"/>
      <c r="M2776" s="1183"/>
      <c r="N2776" s="1183"/>
      <c r="O2776" s="1183"/>
      <c r="P2776" s="1201"/>
      <c r="Q2776" s="1201"/>
      <c r="R2776" s="1201"/>
      <c r="S2776" s="1201"/>
      <c r="T2776" s="1201"/>
    </row>
    <row r="2777" spans="12:20">
      <c r="L2777" s="1179"/>
      <c r="M2777" s="1183"/>
      <c r="N2777" s="1183"/>
      <c r="O2777" s="1183"/>
      <c r="P2777" s="1201"/>
      <c r="Q2777" s="1201"/>
      <c r="R2777" s="1201"/>
      <c r="S2777" s="1201"/>
      <c r="T2777" s="1201"/>
    </row>
    <row r="2778" spans="12:20">
      <c r="L2778" s="1179"/>
      <c r="M2778" s="1183"/>
      <c r="N2778" s="1183"/>
      <c r="O2778" s="1183"/>
      <c r="P2778" s="1201"/>
      <c r="Q2778" s="1201"/>
      <c r="R2778" s="1201"/>
      <c r="S2778" s="1201"/>
      <c r="T2778" s="1201"/>
    </row>
    <row r="2779" spans="12:20">
      <c r="L2779" s="1179"/>
      <c r="M2779" s="1183"/>
      <c r="N2779" s="1183"/>
      <c r="O2779" s="1183"/>
      <c r="P2779" s="1201"/>
      <c r="Q2779" s="1201"/>
      <c r="R2779" s="1201"/>
      <c r="S2779" s="1201"/>
      <c r="T2779" s="1201"/>
    </row>
    <row r="2780" spans="12:20">
      <c r="L2780" s="1179"/>
      <c r="M2780" s="1183"/>
      <c r="N2780" s="1183"/>
      <c r="O2780" s="1183"/>
      <c r="P2780" s="1201"/>
      <c r="Q2780" s="1201"/>
      <c r="R2780" s="1201"/>
      <c r="S2780" s="1201"/>
      <c r="T2780" s="1201"/>
    </row>
    <row r="2781" spans="12:20">
      <c r="L2781" s="1179"/>
      <c r="M2781" s="1183"/>
      <c r="N2781" s="1183"/>
      <c r="O2781" s="1183"/>
      <c r="P2781" s="1201"/>
      <c r="Q2781" s="1201"/>
      <c r="R2781" s="1201"/>
      <c r="S2781" s="1201"/>
      <c r="T2781" s="1201"/>
    </row>
    <row r="2782" spans="12:20">
      <c r="L2782" s="1179"/>
      <c r="M2782" s="1183"/>
      <c r="N2782" s="1183"/>
      <c r="O2782" s="1183"/>
      <c r="P2782" s="1201"/>
      <c r="Q2782" s="1201"/>
      <c r="R2782" s="1201"/>
      <c r="S2782" s="1201"/>
      <c r="T2782" s="1201"/>
    </row>
    <row r="2783" spans="12:20">
      <c r="L2783" s="1179"/>
      <c r="M2783" s="1183"/>
      <c r="N2783" s="1183"/>
      <c r="O2783" s="1183"/>
      <c r="P2783" s="1201"/>
      <c r="Q2783" s="1201"/>
      <c r="R2783" s="1201"/>
      <c r="S2783" s="1201"/>
      <c r="T2783" s="1201"/>
    </row>
    <row r="2784" spans="12:20">
      <c r="L2784" s="1179"/>
      <c r="M2784" s="1183"/>
      <c r="N2784" s="1183"/>
      <c r="O2784" s="1183"/>
      <c r="P2784" s="1201"/>
      <c r="Q2784" s="1201"/>
      <c r="R2784" s="1201"/>
      <c r="S2784" s="1201"/>
      <c r="T2784" s="1201"/>
    </row>
    <row r="2785" spans="12:20">
      <c r="L2785" s="1179"/>
      <c r="M2785" s="1183"/>
      <c r="N2785" s="1183"/>
      <c r="O2785" s="1183"/>
      <c r="P2785" s="1201"/>
      <c r="Q2785" s="1201"/>
      <c r="R2785" s="1201"/>
      <c r="S2785" s="1201"/>
      <c r="T2785" s="1201"/>
    </row>
    <row r="2786" spans="12:20">
      <c r="L2786" s="1179"/>
      <c r="M2786" s="1183"/>
      <c r="N2786" s="1183"/>
      <c r="O2786" s="1183"/>
      <c r="P2786" s="1201"/>
      <c r="Q2786" s="1201"/>
      <c r="R2786" s="1201"/>
      <c r="S2786" s="1201"/>
      <c r="T2786" s="1201"/>
    </row>
    <row r="2787" spans="12:20">
      <c r="L2787" s="1179"/>
      <c r="M2787" s="1183"/>
      <c r="N2787" s="1183"/>
      <c r="O2787" s="1183"/>
      <c r="P2787" s="1201"/>
      <c r="Q2787" s="1201"/>
      <c r="R2787" s="1201"/>
      <c r="S2787" s="1201"/>
      <c r="T2787" s="1201"/>
    </row>
    <row r="2788" spans="12:20">
      <c r="L2788" s="1179"/>
      <c r="M2788" s="1183"/>
      <c r="N2788" s="1183"/>
      <c r="O2788" s="1183"/>
      <c r="P2788" s="1201"/>
      <c r="Q2788" s="1201"/>
      <c r="R2788" s="1201"/>
      <c r="S2788" s="1201"/>
      <c r="T2788" s="1201"/>
    </row>
    <row r="2789" spans="12:20">
      <c r="L2789" s="1179"/>
      <c r="M2789" s="1183"/>
      <c r="N2789" s="1183"/>
      <c r="O2789" s="1183"/>
      <c r="P2789" s="1201"/>
      <c r="Q2789" s="1201"/>
      <c r="R2789" s="1201"/>
      <c r="S2789" s="1201"/>
      <c r="T2789" s="1201"/>
    </row>
    <row r="2790" spans="12:20">
      <c r="L2790" s="1179"/>
      <c r="M2790" s="1183"/>
      <c r="N2790" s="1183"/>
      <c r="O2790" s="1183"/>
      <c r="P2790" s="1201"/>
      <c r="Q2790" s="1201"/>
      <c r="R2790" s="1201"/>
      <c r="S2790" s="1201"/>
      <c r="T2790" s="1201"/>
    </row>
    <row r="2791" spans="12:20">
      <c r="L2791" s="1179"/>
      <c r="M2791" s="1183"/>
      <c r="N2791" s="1183"/>
      <c r="O2791" s="1183"/>
      <c r="P2791" s="1201"/>
      <c r="Q2791" s="1201"/>
      <c r="R2791" s="1201"/>
      <c r="S2791" s="1201"/>
      <c r="T2791" s="1201"/>
    </row>
    <row r="2792" spans="12:20">
      <c r="L2792" s="1179"/>
      <c r="M2792" s="1183"/>
      <c r="N2792" s="1183"/>
      <c r="O2792" s="1183"/>
      <c r="P2792" s="1201"/>
      <c r="Q2792" s="1201"/>
      <c r="R2792" s="1201"/>
      <c r="S2792" s="1201"/>
      <c r="T2792" s="1201"/>
    </row>
    <row r="2793" spans="12:20">
      <c r="L2793" s="1179"/>
      <c r="M2793" s="1183"/>
      <c r="N2793" s="1183"/>
      <c r="O2793" s="1183"/>
      <c r="P2793" s="1201"/>
      <c r="Q2793" s="1201"/>
      <c r="R2793" s="1201"/>
      <c r="S2793" s="1201"/>
      <c r="T2793" s="1201"/>
    </row>
    <row r="2794" spans="12:20">
      <c r="L2794" s="1179"/>
      <c r="M2794" s="1183"/>
      <c r="N2794" s="1183"/>
      <c r="O2794" s="1183"/>
      <c r="P2794" s="1201"/>
      <c r="Q2794" s="1201"/>
      <c r="R2794" s="1201"/>
      <c r="S2794" s="1201"/>
      <c r="T2794" s="1201"/>
    </row>
    <row r="2795" spans="12:20">
      <c r="L2795" s="1179"/>
      <c r="M2795" s="1183"/>
      <c r="N2795" s="1183"/>
      <c r="O2795" s="1183"/>
      <c r="P2795" s="1201"/>
      <c r="Q2795" s="1201"/>
      <c r="R2795" s="1201"/>
      <c r="S2795" s="1201"/>
      <c r="T2795" s="1201"/>
    </row>
    <row r="2796" spans="12:20">
      <c r="L2796" s="1179"/>
      <c r="M2796" s="1183"/>
      <c r="N2796" s="1183"/>
      <c r="O2796" s="1183"/>
      <c r="P2796" s="1201"/>
      <c r="Q2796" s="1201"/>
      <c r="R2796" s="1201"/>
      <c r="S2796" s="1201"/>
      <c r="T2796" s="1201"/>
    </row>
    <row r="2797" spans="12:20">
      <c r="L2797" s="1179"/>
      <c r="M2797" s="1183"/>
      <c r="N2797" s="1183"/>
      <c r="O2797" s="1183"/>
      <c r="P2797" s="1201"/>
      <c r="Q2797" s="1201"/>
      <c r="R2797" s="1201"/>
      <c r="S2797" s="1201"/>
      <c r="T2797" s="1201"/>
    </row>
    <row r="2798" spans="12:20">
      <c r="L2798" s="1179"/>
      <c r="M2798" s="1183"/>
      <c r="N2798" s="1183"/>
      <c r="O2798" s="1183"/>
      <c r="P2798" s="1201"/>
      <c r="Q2798" s="1201"/>
      <c r="R2798" s="1201"/>
      <c r="S2798" s="1201"/>
      <c r="T2798" s="1201"/>
    </row>
    <row r="2799" spans="12:20">
      <c r="L2799" s="1179"/>
      <c r="M2799" s="1183"/>
      <c r="N2799" s="1183"/>
      <c r="O2799" s="1183"/>
      <c r="P2799" s="1201"/>
      <c r="Q2799" s="1201"/>
      <c r="R2799" s="1201"/>
      <c r="S2799" s="1201"/>
      <c r="T2799" s="1201"/>
    </row>
    <row r="2800" spans="12:20">
      <c r="L2800" s="1179"/>
      <c r="M2800" s="1183"/>
      <c r="N2800" s="1183"/>
      <c r="O2800" s="1183"/>
      <c r="P2800" s="1201"/>
      <c r="Q2800" s="1201"/>
      <c r="R2800" s="1201"/>
      <c r="S2800" s="1201"/>
      <c r="T2800" s="1201"/>
    </row>
    <row r="2801" spans="12:20">
      <c r="L2801" s="1179"/>
      <c r="M2801" s="1183"/>
      <c r="N2801" s="1183"/>
      <c r="O2801" s="1183"/>
      <c r="P2801" s="1201"/>
      <c r="Q2801" s="1201"/>
      <c r="R2801" s="1201"/>
      <c r="S2801" s="1201"/>
      <c r="T2801" s="1201"/>
    </row>
    <row r="2802" spans="12:20">
      <c r="L2802" s="1179"/>
      <c r="M2802" s="1183"/>
      <c r="N2802" s="1183"/>
      <c r="O2802" s="1183"/>
      <c r="P2802" s="1201"/>
      <c r="Q2802" s="1201"/>
      <c r="R2802" s="1201"/>
      <c r="S2802" s="1201"/>
      <c r="T2802" s="1201"/>
    </row>
    <row r="2803" spans="12:20">
      <c r="L2803" s="1179"/>
      <c r="M2803" s="1183"/>
      <c r="N2803" s="1183"/>
      <c r="O2803" s="1183"/>
      <c r="P2803" s="1201"/>
      <c r="Q2803" s="1201"/>
      <c r="R2803" s="1201"/>
      <c r="S2803" s="1201"/>
      <c r="T2803" s="1201"/>
    </row>
    <row r="2804" spans="12:20">
      <c r="L2804" s="1179"/>
      <c r="M2804" s="1183"/>
      <c r="N2804" s="1183"/>
      <c r="O2804" s="1183"/>
      <c r="P2804" s="1201"/>
      <c r="Q2804" s="1201"/>
      <c r="R2804" s="1201"/>
      <c r="S2804" s="1201"/>
      <c r="T2804" s="1201"/>
    </row>
    <row r="2805" spans="12:20">
      <c r="L2805" s="1179"/>
      <c r="M2805" s="1183"/>
      <c r="N2805" s="1183"/>
      <c r="O2805" s="1183"/>
      <c r="P2805" s="1201"/>
      <c r="Q2805" s="1201"/>
      <c r="R2805" s="1201"/>
      <c r="S2805" s="1201"/>
      <c r="T2805" s="1201"/>
    </row>
    <row r="2806" spans="12:20">
      <c r="L2806" s="1179"/>
      <c r="M2806" s="1183"/>
      <c r="N2806" s="1183"/>
      <c r="O2806" s="1183"/>
      <c r="P2806" s="1201"/>
      <c r="Q2806" s="1201"/>
      <c r="R2806" s="1201"/>
      <c r="S2806" s="1201"/>
      <c r="T2806" s="1201"/>
    </row>
    <row r="2807" spans="12:20">
      <c r="L2807" s="1179"/>
      <c r="M2807" s="1183"/>
      <c r="N2807" s="1183"/>
      <c r="O2807" s="1183"/>
      <c r="P2807" s="1201"/>
      <c r="Q2807" s="1201"/>
      <c r="R2807" s="1201"/>
      <c r="S2807" s="1201"/>
      <c r="T2807" s="1201"/>
    </row>
    <row r="2808" spans="12:20">
      <c r="L2808" s="1179"/>
      <c r="M2808" s="1183"/>
      <c r="N2808" s="1183"/>
      <c r="O2808" s="1183"/>
      <c r="P2808" s="1201"/>
      <c r="Q2808" s="1201"/>
      <c r="R2808" s="1201"/>
      <c r="S2808" s="1201"/>
      <c r="T2808" s="1201"/>
    </row>
    <row r="2809" spans="12:20">
      <c r="L2809" s="1179"/>
      <c r="M2809" s="1183"/>
      <c r="N2809" s="1183"/>
      <c r="O2809" s="1183"/>
      <c r="P2809" s="1201"/>
      <c r="Q2809" s="1201"/>
      <c r="R2809" s="1201"/>
      <c r="S2809" s="1201"/>
      <c r="T2809" s="1201"/>
    </row>
    <row r="2810" spans="12:20">
      <c r="L2810" s="1179"/>
      <c r="M2810" s="1183"/>
      <c r="N2810" s="1183"/>
      <c r="O2810" s="1183"/>
      <c r="P2810" s="1201"/>
      <c r="Q2810" s="1201"/>
      <c r="R2810" s="1201"/>
      <c r="S2810" s="1201"/>
      <c r="T2810" s="1201"/>
    </row>
    <row r="2811" spans="12:20">
      <c r="L2811" s="1179"/>
      <c r="M2811" s="1183"/>
      <c r="N2811" s="1183"/>
      <c r="O2811" s="1183"/>
      <c r="P2811" s="1201"/>
      <c r="Q2811" s="1201"/>
      <c r="R2811" s="1201"/>
      <c r="S2811" s="1201"/>
      <c r="T2811" s="1201"/>
    </row>
    <row r="2812" spans="12:20">
      <c r="L2812" s="1179"/>
      <c r="M2812" s="1183"/>
      <c r="N2812" s="1183"/>
      <c r="O2812" s="1183"/>
      <c r="P2812" s="1201"/>
      <c r="Q2812" s="1201"/>
      <c r="R2812" s="1201"/>
      <c r="S2812" s="1201"/>
      <c r="T2812" s="1201"/>
    </row>
    <row r="2813" spans="12:20">
      <c r="L2813" s="1179"/>
      <c r="M2813" s="1183"/>
      <c r="N2813" s="1183"/>
      <c r="O2813" s="1183"/>
      <c r="P2813" s="1201"/>
      <c r="Q2813" s="1201"/>
      <c r="R2813" s="1201"/>
      <c r="S2813" s="1201"/>
      <c r="T2813" s="1201"/>
    </row>
    <row r="2814" spans="12:20">
      <c r="L2814" s="1179"/>
      <c r="M2814" s="1183"/>
      <c r="N2814" s="1183"/>
      <c r="O2814" s="1183"/>
      <c r="P2814" s="1201"/>
      <c r="Q2814" s="1201"/>
      <c r="R2814" s="1201"/>
      <c r="S2814" s="1201"/>
      <c r="T2814" s="1201"/>
    </row>
    <row r="2815" spans="12:20">
      <c r="L2815" s="1179"/>
      <c r="M2815" s="1183"/>
      <c r="N2815" s="1183"/>
      <c r="O2815" s="1183"/>
      <c r="P2815" s="1201"/>
      <c r="Q2815" s="1201"/>
      <c r="R2815" s="1201"/>
      <c r="S2815" s="1201"/>
      <c r="T2815" s="1201"/>
    </row>
    <row r="2816" spans="12:20">
      <c r="L2816" s="1179"/>
      <c r="M2816" s="1183"/>
      <c r="N2816" s="1183"/>
      <c r="O2816" s="1183"/>
      <c r="P2816" s="1201"/>
      <c r="Q2816" s="1201"/>
      <c r="R2816" s="1201"/>
      <c r="S2816" s="1201"/>
      <c r="T2816" s="1201"/>
    </row>
    <row r="2817" spans="12:20">
      <c r="L2817" s="1179"/>
      <c r="M2817" s="1183"/>
      <c r="N2817" s="1183"/>
      <c r="O2817" s="1183"/>
      <c r="P2817" s="1201"/>
      <c r="Q2817" s="1201"/>
      <c r="R2817" s="1201"/>
      <c r="S2817" s="1201"/>
      <c r="T2817" s="1201"/>
    </row>
    <row r="2818" spans="12:20">
      <c r="L2818" s="1179"/>
      <c r="M2818" s="1183"/>
      <c r="N2818" s="1183"/>
      <c r="O2818" s="1183"/>
      <c r="P2818" s="1201"/>
      <c r="Q2818" s="1201"/>
      <c r="R2818" s="1201"/>
      <c r="S2818" s="1201"/>
      <c r="T2818" s="1201"/>
    </row>
    <row r="2819" spans="12:20">
      <c r="L2819" s="1179"/>
      <c r="M2819" s="1183"/>
      <c r="N2819" s="1183"/>
      <c r="O2819" s="1183"/>
      <c r="P2819" s="1201"/>
      <c r="Q2819" s="1201"/>
      <c r="R2819" s="1201"/>
      <c r="S2819" s="1201"/>
      <c r="T2819" s="1201"/>
    </row>
    <row r="2820" spans="12:20">
      <c r="L2820" s="1179"/>
      <c r="M2820" s="1183"/>
      <c r="N2820" s="1183"/>
      <c r="O2820" s="1183"/>
      <c r="P2820" s="1201"/>
      <c r="Q2820" s="1201"/>
      <c r="R2820" s="1201"/>
      <c r="S2820" s="1201"/>
      <c r="T2820" s="1201"/>
    </row>
    <row r="2821" spans="12:20">
      <c r="L2821" s="1179"/>
      <c r="M2821" s="1183"/>
      <c r="N2821" s="1183"/>
      <c r="O2821" s="1183"/>
      <c r="P2821" s="1201"/>
      <c r="Q2821" s="1201"/>
      <c r="R2821" s="1201"/>
      <c r="S2821" s="1201"/>
      <c r="T2821" s="1201"/>
    </row>
    <row r="2822" spans="12:20">
      <c r="L2822" s="1179"/>
      <c r="M2822" s="1183"/>
      <c r="N2822" s="1183"/>
      <c r="O2822" s="1183"/>
      <c r="P2822" s="1201"/>
      <c r="Q2822" s="1201"/>
      <c r="R2822" s="1201"/>
      <c r="S2822" s="1201"/>
      <c r="T2822" s="1201"/>
    </row>
    <row r="2823" spans="12:20">
      <c r="L2823" s="1179"/>
      <c r="M2823" s="1183"/>
      <c r="N2823" s="1183"/>
      <c r="O2823" s="1183"/>
      <c r="P2823" s="1201"/>
      <c r="Q2823" s="1201"/>
      <c r="R2823" s="1201"/>
      <c r="S2823" s="1201"/>
      <c r="T2823" s="1201"/>
    </row>
    <row r="2824" spans="12:20">
      <c r="L2824" s="1179"/>
      <c r="M2824" s="1183"/>
      <c r="N2824" s="1183"/>
      <c r="O2824" s="1183"/>
      <c r="P2824" s="1201"/>
      <c r="Q2824" s="1201"/>
      <c r="R2824" s="1201"/>
      <c r="S2824" s="1201"/>
      <c r="T2824" s="1201"/>
    </row>
    <row r="2825" spans="12:20">
      <c r="L2825" s="1179"/>
      <c r="M2825" s="1183"/>
      <c r="N2825" s="1183"/>
      <c r="O2825" s="1183"/>
      <c r="P2825" s="1201"/>
      <c r="Q2825" s="1201"/>
      <c r="R2825" s="1201"/>
      <c r="S2825" s="1201"/>
      <c r="T2825" s="1201"/>
    </row>
    <row r="2826" spans="12:20">
      <c r="L2826" s="1179"/>
      <c r="M2826" s="1183"/>
      <c r="N2826" s="1183"/>
      <c r="O2826" s="1183"/>
      <c r="P2826" s="1201"/>
      <c r="Q2826" s="1201"/>
      <c r="R2826" s="1201"/>
      <c r="S2826" s="1201"/>
      <c r="T2826" s="1201"/>
    </row>
    <row r="2827" spans="12:20">
      <c r="L2827" s="1179"/>
      <c r="M2827" s="1183"/>
      <c r="N2827" s="1183"/>
      <c r="O2827" s="1183"/>
      <c r="P2827" s="1201"/>
      <c r="Q2827" s="1201"/>
      <c r="R2827" s="1201"/>
      <c r="S2827" s="1201"/>
      <c r="T2827" s="1201"/>
    </row>
    <row r="2828" spans="12:20">
      <c r="L2828" s="1179"/>
      <c r="M2828" s="1183"/>
      <c r="N2828" s="1183"/>
      <c r="O2828" s="1183"/>
      <c r="P2828" s="1201"/>
      <c r="Q2828" s="1201"/>
      <c r="R2828" s="1201"/>
      <c r="S2828" s="1201"/>
      <c r="T2828" s="1201"/>
    </row>
    <row r="2829" spans="12:20">
      <c r="L2829" s="1179"/>
      <c r="M2829" s="1183"/>
      <c r="N2829" s="1183"/>
      <c r="O2829" s="1183"/>
      <c r="P2829" s="1201"/>
      <c r="Q2829" s="1201"/>
      <c r="R2829" s="1201"/>
      <c r="S2829" s="1201"/>
      <c r="T2829" s="1201"/>
    </row>
    <row r="2830" spans="12:20">
      <c r="L2830" s="1179"/>
      <c r="M2830" s="1183"/>
      <c r="N2830" s="1183"/>
      <c r="O2830" s="1183"/>
      <c r="P2830" s="1201"/>
      <c r="Q2830" s="1201"/>
      <c r="R2830" s="1201"/>
      <c r="S2830" s="1201"/>
      <c r="T2830" s="1201"/>
    </row>
    <row r="2831" spans="12:20">
      <c r="L2831" s="1179"/>
      <c r="M2831" s="1183"/>
      <c r="N2831" s="1183"/>
      <c r="O2831" s="1183"/>
      <c r="P2831" s="1201"/>
      <c r="Q2831" s="1201"/>
      <c r="R2831" s="1201"/>
      <c r="S2831" s="1201"/>
      <c r="T2831" s="1201"/>
    </row>
    <row r="2832" spans="12:20">
      <c r="L2832" s="1179"/>
      <c r="M2832" s="1183"/>
      <c r="N2832" s="1183"/>
      <c r="O2832" s="1183"/>
      <c r="P2832" s="1201"/>
      <c r="Q2832" s="1201"/>
      <c r="R2832" s="1201"/>
      <c r="S2832" s="1201"/>
      <c r="T2832" s="1201"/>
    </row>
    <row r="2833" spans="12:20">
      <c r="L2833" s="1179"/>
      <c r="M2833" s="1183"/>
      <c r="N2833" s="1183"/>
      <c r="O2833" s="1183"/>
      <c r="P2833" s="1201"/>
      <c r="Q2833" s="1201"/>
      <c r="R2833" s="1201"/>
      <c r="S2833" s="1201"/>
      <c r="T2833" s="1201"/>
    </row>
    <row r="2834" spans="12:20">
      <c r="L2834" s="1179"/>
      <c r="M2834" s="1183"/>
      <c r="N2834" s="1183"/>
      <c r="O2834" s="1183"/>
      <c r="P2834" s="1201"/>
      <c r="Q2834" s="1201"/>
      <c r="R2834" s="1201"/>
      <c r="S2834" s="1201"/>
      <c r="T2834" s="1201"/>
    </row>
    <row r="2835" spans="12:20">
      <c r="L2835" s="1179"/>
      <c r="M2835" s="1183"/>
      <c r="N2835" s="1183"/>
      <c r="O2835" s="1183"/>
      <c r="P2835" s="1201"/>
      <c r="Q2835" s="1201"/>
      <c r="R2835" s="1201"/>
      <c r="S2835" s="1201"/>
      <c r="T2835" s="1201"/>
    </row>
    <row r="2836" spans="12:20">
      <c r="L2836" s="1179"/>
      <c r="M2836" s="1183"/>
      <c r="N2836" s="1183"/>
      <c r="O2836" s="1183"/>
      <c r="P2836" s="1201"/>
      <c r="Q2836" s="1201"/>
      <c r="R2836" s="1201"/>
      <c r="S2836" s="1201"/>
      <c r="T2836" s="1201"/>
    </row>
    <row r="2837" spans="12:20">
      <c r="L2837" s="1179"/>
      <c r="M2837" s="1183"/>
      <c r="N2837" s="1183"/>
      <c r="O2837" s="1183"/>
      <c r="P2837" s="1201"/>
      <c r="Q2837" s="1201"/>
      <c r="R2837" s="1201"/>
      <c r="S2837" s="1201"/>
      <c r="T2837" s="1201"/>
    </row>
    <row r="2838" spans="12:20">
      <c r="L2838" s="1179"/>
      <c r="M2838" s="1183"/>
      <c r="N2838" s="1183"/>
      <c r="O2838" s="1183"/>
      <c r="P2838" s="1201"/>
      <c r="Q2838" s="1201"/>
      <c r="R2838" s="1201"/>
      <c r="S2838" s="1201"/>
      <c r="T2838" s="1201"/>
    </row>
    <row r="2839" spans="12:20">
      <c r="L2839" s="1179"/>
      <c r="M2839" s="1183"/>
      <c r="N2839" s="1183"/>
      <c r="O2839" s="1183"/>
      <c r="P2839" s="1201"/>
      <c r="Q2839" s="1201"/>
      <c r="R2839" s="1201"/>
      <c r="S2839" s="1201"/>
      <c r="T2839" s="1201"/>
    </row>
    <row r="2840" spans="12:20">
      <c r="L2840" s="1179"/>
      <c r="M2840" s="1183"/>
      <c r="N2840" s="1183"/>
      <c r="O2840" s="1183"/>
      <c r="P2840" s="1201"/>
      <c r="Q2840" s="1201"/>
      <c r="R2840" s="1201"/>
      <c r="S2840" s="1201"/>
      <c r="T2840" s="1201"/>
    </row>
    <row r="2841" spans="12:20">
      <c r="L2841" s="1179"/>
      <c r="M2841" s="1183"/>
      <c r="N2841" s="1183"/>
      <c r="O2841" s="1183"/>
      <c r="P2841" s="1201"/>
      <c r="Q2841" s="1201"/>
      <c r="R2841" s="1201"/>
      <c r="S2841" s="1201"/>
      <c r="T2841" s="1201"/>
    </row>
    <row r="2842" spans="12:20">
      <c r="L2842" s="1179"/>
      <c r="M2842" s="1183"/>
      <c r="N2842" s="1183"/>
      <c r="O2842" s="1183"/>
      <c r="P2842" s="1201"/>
      <c r="Q2842" s="1201"/>
      <c r="R2842" s="1201"/>
      <c r="S2842" s="1201"/>
      <c r="T2842" s="1201"/>
    </row>
    <row r="2843" spans="12:20">
      <c r="L2843" s="1179"/>
      <c r="M2843" s="1183"/>
      <c r="N2843" s="1183"/>
      <c r="O2843" s="1183"/>
      <c r="P2843" s="1201"/>
      <c r="Q2843" s="1201"/>
      <c r="R2843" s="1201"/>
      <c r="S2843" s="1201"/>
      <c r="T2843" s="1201"/>
    </row>
    <row r="2844" spans="12:20">
      <c r="L2844" s="1179"/>
      <c r="M2844" s="1183"/>
      <c r="N2844" s="1183"/>
      <c r="O2844" s="1183"/>
      <c r="P2844" s="1201"/>
      <c r="Q2844" s="1201"/>
      <c r="R2844" s="1201"/>
      <c r="S2844" s="1201"/>
      <c r="T2844" s="1201"/>
    </row>
    <row r="2845" spans="12:20">
      <c r="L2845" s="1179"/>
      <c r="M2845" s="1183"/>
      <c r="N2845" s="1183"/>
      <c r="O2845" s="1183"/>
      <c r="P2845" s="1201"/>
      <c r="Q2845" s="1201"/>
      <c r="R2845" s="1201"/>
      <c r="S2845" s="1201"/>
      <c r="T2845" s="1201"/>
    </row>
    <row r="2846" spans="12:20">
      <c r="L2846" s="1179"/>
      <c r="M2846" s="1183"/>
      <c r="N2846" s="1183"/>
      <c r="O2846" s="1183"/>
      <c r="P2846" s="1201"/>
      <c r="Q2846" s="1201"/>
      <c r="R2846" s="1201"/>
      <c r="S2846" s="1201"/>
      <c r="T2846" s="1201"/>
    </row>
    <row r="2847" spans="12:20">
      <c r="L2847" s="1179"/>
      <c r="M2847" s="1183"/>
      <c r="N2847" s="1183"/>
      <c r="O2847" s="1183"/>
      <c r="P2847" s="1201"/>
      <c r="Q2847" s="1201"/>
      <c r="R2847" s="1201"/>
      <c r="S2847" s="1201"/>
      <c r="T2847" s="1201"/>
    </row>
    <row r="2848" spans="12:20">
      <c r="L2848" s="1179"/>
      <c r="M2848" s="1183"/>
      <c r="N2848" s="1183"/>
      <c r="O2848" s="1183"/>
      <c r="P2848" s="1201"/>
      <c r="Q2848" s="1201"/>
      <c r="R2848" s="1201"/>
      <c r="S2848" s="1201"/>
      <c r="T2848" s="1201"/>
    </row>
    <row r="2849" spans="12:20">
      <c r="L2849" s="1179"/>
      <c r="M2849" s="1183"/>
      <c r="N2849" s="1183"/>
      <c r="O2849" s="1183"/>
      <c r="P2849" s="1201"/>
      <c r="Q2849" s="1201"/>
      <c r="R2849" s="1201"/>
      <c r="S2849" s="1201"/>
      <c r="T2849" s="1201"/>
    </row>
    <row r="2850" spans="12:20">
      <c r="L2850" s="1179"/>
      <c r="M2850" s="1183"/>
      <c r="N2850" s="1183"/>
      <c r="O2850" s="1183"/>
      <c r="P2850" s="1201"/>
      <c r="Q2850" s="1201"/>
      <c r="R2850" s="1201"/>
      <c r="S2850" s="1201"/>
      <c r="T2850" s="1201"/>
    </row>
    <row r="2851" spans="12:20">
      <c r="L2851" s="1179"/>
      <c r="M2851" s="1183"/>
      <c r="N2851" s="1183"/>
      <c r="O2851" s="1183"/>
      <c r="P2851" s="1201"/>
      <c r="Q2851" s="1201"/>
      <c r="R2851" s="1201"/>
      <c r="S2851" s="1201"/>
      <c r="T2851" s="1201"/>
    </row>
    <row r="2852" spans="12:20">
      <c r="L2852" s="1179"/>
      <c r="M2852" s="1183"/>
      <c r="N2852" s="1183"/>
      <c r="O2852" s="1183"/>
      <c r="P2852" s="1201"/>
      <c r="Q2852" s="1201"/>
      <c r="R2852" s="1201"/>
      <c r="S2852" s="1201"/>
      <c r="T2852" s="1201"/>
    </row>
    <row r="2853" spans="12:20">
      <c r="L2853" s="1179"/>
      <c r="M2853" s="1183"/>
      <c r="N2853" s="1183"/>
      <c r="O2853" s="1183"/>
      <c r="P2853" s="1201"/>
      <c r="Q2853" s="1201"/>
      <c r="R2853" s="1201"/>
      <c r="S2853" s="1201"/>
      <c r="T2853" s="1201"/>
    </row>
    <row r="2854" spans="12:20">
      <c r="L2854" s="1179"/>
      <c r="M2854" s="1183"/>
      <c r="N2854" s="1183"/>
      <c r="O2854" s="1183"/>
      <c r="P2854" s="1201"/>
      <c r="Q2854" s="1201"/>
      <c r="R2854" s="1201"/>
      <c r="S2854" s="1201"/>
      <c r="T2854" s="1201"/>
    </row>
    <row r="2855" spans="12:20">
      <c r="L2855" s="1179"/>
      <c r="M2855" s="1183"/>
      <c r="N2855" s="1183"/>
      <c r="O2855" s="1183"/>
      <c r="P2855" s="1201"/>
      <c r="Q2855" s="1201"/>
      <c r="R2855" s="1201"/>
      <c r="S2855" s="1201"/>
      <c r="T2855" s="1201"/>
    </row>
    <row r="2856" spans="12:20">
      <c r="L2856" s="1179"/>
      <c r="M2856" s="1183"/>
      <c r="N2856" s="1183"/>
      <c r="O2856" s="1183"/>
      <c r="P2856" s="1201"/>
      <c r="Q2856" s="1201"/>
      <c r="R2856" s="1201"/>
      <c r="S2856" s="1201"/>
      <c r="T2856" s="1201"/>
    </row>
    <row r="2857" spans="12:20">
      <c r="L2857" s="1179"/>
      <c r="M2857" s="1183"/>
      <c r="N2857" s="1183"/>
      <c r="O2857" s="1183"/>
      <c r="P2857" s="1201"/>
      <c r="Q2857" s="1201"/>
      <c r="R2857" s="1201"/>
      <c r="S2857" s="1201"/>
      <c r="T2857" s="1201"/>
    </row>
    <row r="2858" spans="12:20">
      <c r="L2858" s="1179"/>
      <c r="M2858" s="1183"/>
      <c r="N2858" s="1183"/>
      <c r="O2858" s="1183"/>
      <c r="P2858" s="1201"/>
      <c r="Q2858" s="1201"/>
      <c r="R2858" s="1201"/>
      <c r="S2858" s="1201"/>
      <c r="T2858" s="1201"/>
    </row>
    <row r="2859" spans="12:20">
      <c r="L2859" s="1179"/>
      <c r="M2859" s="1183"/>
      <c r="N2859" s="1183"/>
      <c r="O2859" s="1183"/>
      <c r="P2859" s="1201"/>
      <c r="Q2859" s="1201"/>
      <c r="R2859" s="1201"/>
      <c r="S2859" s="1201"/>
      <c r="T2859" s="1201"/>
    </row>
    <row r="2860" spans="12:20">
      <c r="L2860" s="1179"/>
      <c r="M2860" s="1183"/>
      <c r="N2860" s="1183"/>
      <c r="O2860" s="1183"/>
      <c r="P2860" s="1201"/>
      <c r="Q2860" s="1201"/>
      <c r="R2860" s="1201"/>
      <c r="S2860" s="1201"/>
      <c r="T2860" s="1201"/>
    </row>
    <row r="2861" spans="12:20">
      <c r="L2861" s="1179"/>
      <c r="M2861" s="1183"/>
      <c r="N2861" s="1183"/>
      <c r="O2861" s="1183"/>
      <c r="P2861" s="1201"/>
      <c r="Q2861" s="1201"/>
      <c r="R2861" s="1201"/>
      <c r="S2861" s="1201"/>
      <c r="T2861" s="1201"/>
    </row>
    <row r="2862" spans="12:20">
      <c r="L2862" s="1179"/>
      <c r="M2862" s="1183"/>
      <c r="N2862" s="1183"/>
      <c r="O2862" s="1183"/>
      <c r="P2862" s="1201"/>
      <c r="Q2862" s="1201"/>
      <c r="R2862" s="1201"/>
      <c r="S2862" s="1201"/>
      <c r="T2862" s="1201"/>
    </row>
    <row r="2863" spans="12:20">
      <c r="L2863" s="1179"/>
      <c r="M2863" s="1183"/>
      <c r="N2863" s="1183"/>
      <c r="O2863" s="1183"/>
      <c r="P2863" s="1201"/>
      <c r="Q2863" s="1201"/>
      <c r="R2863" s="1201"/>
      <c r="S2863" s="1201"/>
      <c r="T2863" s="1201"/>
    </row>
    <row r="2864" spans="12:20">
      <c r="L2864" s="1179"/>
      <c r="M2864" s="1183"/>
      <c r="N2864" s="1183"/>
      <c r="O2864" s="1183"/>
      <c r="P2864" s="1201"/>
      <c r="Q2864" s="1201"/>
      <c r="R2864" s="1201"/>
      <c r="S2864" s="1201"/>
      <c r="T2864" s="1201"/>
    </row>
    <row r="2865" spans="12:20">
      <c r="L2865" s="1179"/>
      <c r="M2865" s="1183"/>
      <c r="N2865" s="1183"/>
      <c r="O2865" s="1183"/>
      <c r="P2865" s="1201"/>
      <c r="Q2865" s="1201"/>
      <c r="R2865" s="1201"/>
      <c r="S2865" s="1201"/>
      <c r="T2865" s="1201"/>
    </row>
    <row r="2866" spans="12:20">
      <c r="L2866" s="1179"/>
      <c r="M2866" s="1183"/>
      <c r="N2866" s="1183"/>
      <c r="O2866" s="1183"/>
      <c r="P2866" s="1201"/>
      <c r="Q2866" s="1201"/>
      <c r="R2866" s="1201"/>
      <c r="S2866" s="1201"/>
      <c r="T2866" s="1201"/>
    </row>
    <row r="2867" spans="12:20">
      <c r="L2867" s="1179"/>
      <c r="M2867" s="1183"/>
      <c r="N2867" s="1183"/>
      <c r="O2867" s="1183"/>
      <c r="P2867" s="1201"/>
      <c r="Q2867" s="1201"/>
      <c r="R2867" s="1201"/>
      <c r="S2867" s="1201"/>
      <c r="T2867" s="1201"/>
    </row>
    <row r="2868" spans="12:20">
      <c r="L2868" s="1179"/>
      <c r="M2868" s="1183"/>
      <c r="N2868" s="1183"/>
      <c r="O2868" s="1183"/>
      <c r="P2868" s="1201"/>
      <c r="Q2868" s="1201"/>
      <c r="R2868" s="1201"/>
      <c r="S2868" s="1201"/>
      <c r="T2868" s="1201"/>
    </row>
    <row r="2869" spans="12:20">
      <c r="L2869" s="1179"/>
      <c r="M2869" s="1183"/>
      <c r="N2869" s="1183"/>
      <c r="O2869" s="1183"/>
      <c r="P2869" s="1201"/>
      <c r="Q2869" s="1201"/>
      <c r="R2869" s="1201"/>
      <c r="S2869" s="1201"/>
      <c r="T2869" s="1201"/>
    </row>
    <row r="2870" spans="12:20">
      <c r="L2870" s="1179"/>
      <c r="M2870" s="1183"/>
      <c r="N2870" s="1183"/>
      <c r="O2870" s="1183"/>
      <c r="P2870" s="1201"/>
      <c r="Q2870" s="1201"/>
      <c r="R2870" s="1201"/>
      <c r="S2870" s="1201"/>
      <c r="T2870" s="1201"/>
    </row>
    <row r="2871" spans="12:20">
      <c r="L2871" s="1179"/>
      <c r="M2871" s="1183"/>
      <c r="N2871" s="1183"/>
      <c r="O2871" s="1183"/>
      <c r="P2871" s="1201"/>
      <c r="Q2871" s="1201"/>
      <c r="R2871" s="1201"/>
      <c r="S2871" s="1201"/>
      <c r="T2871" s="1201"/>
    </row>
    <row r="2872" spans="12:20">
      <c r="L2872" s="1179"/>
      <c r="M2872" s="1183"/>
      <c r="N2872" s="1183"/>
      <c r="O2872" s="1183"/>
      <c r="P2872" s="1201"/>
      <c r="Q2872" s="1201"/>
      <c r="R2872" s="1201"/>
      <c r="S2872" s="1201"/>
      <c r="T2872" s="1201"/>
    </row>
    <row r="2873" spans="12:20">
      <c r="L2873" s="1179"/>
      <c r="M2873" s="1183"/>
      <c r="N2873" s="1183"/>
      <c r="O2873" s="1183"/>
      <c r="P2873" s="1201"/>
      <c r="Q2873" s="1201"/>
      <c r="R2873" s="1201"/>
      <c r="S2873" s="1201"/>
      <c r="T2873" s="1201"/>
    </row>
    <row r="2874" spans="12:20">
      <c r="L2874" s="1179"/>
      <c r="M2874" s="1183"/>
      <c r="N2874" s="1183"/>
      <c r="O2874" s="1183"/>
      <c r="P2874" s="1201"/>
      <c r="Q2874" s="1201"/>
      <c r="R2874" s="1201"/>
      <c r="S2874" s="1201"/>
      <c r="T2874" s="1201"/>
    </row>
    <row r="2875" spans="12:20">
      <c r="L2875" s="1179"/>
      <c r="M2875" s="1183"/>
      <c r="N2875" s="1183"/>
      <c r="O2875" s="1183"/>
      <c r="P2875" s="1201"/>
      <c r="Q2875" s="1201"/>
      <c r="R2875" s="1201"/>
      <c r="S2875" s="1201"/>
      <c r="T2875" s="1201"/>
    </row>
    <row r="2876" spans="12:20">
      <c r="L2876" s="1179"/>
      <c r="M2876" s="1183"/>
      <c r="N2876" s="1183"/>
      <c r="O2876" s="1183"/>
      <c r="P2876" s="1201"/>
      <c r="Q2876" s="1201"/>
      <c r="R2876" s="1201"/>
      <c r="S2876" s="1201"/>
      <c r="T2876" s="1201"/>
    </row>
    <row r="2877" spans="12:20">
      <c r="L2877" s="1179"/>
      <c r="M2877" s="1183"/>
      <c r="N2877" s="1183"/>
      <c r="O2877" s="1183"/>
      <c r="P2877" s="1201"/>
      <c r="Q2877" s="1201"/>
      <c r="R2877" s="1201"/>
      <c r="S2877" s="1201"/>
      <c r="T2877" s="1201"/>
    </row>
    <row r="2878" spans="12:20">
      <c r="L2878" s="1179"/>
      <c r="M2878" s="1183"/>
      <c r="N2878" s="1183"/>
      <c r="O2878" s="1183"/>
      <c r="P2878" s="1201"/>
      <c r="Q2878" s="1201"/>
      <c r="R2878" s="1201"/>
      <c r="S2878" s="1201"/>
      <c r="T2878" s="1201"/>
    </row>
    <row r="2879" spans="12:20">
      <c r="L2879" s="1179"/>
      <c r="M2879" s="1183"/>
      <c r="N2879" s="1183"/>
      <c r="O2879" s="1183"/>
      <c r="P2879" s="1201"/>
      <c r="Q2879" s="1201"/>
      <c r="R2879" s="1201"/>
      <c r="S2879" s="1201"/>
      <c r="T2879" s="1201"/>
    </row>
    <row r="2880" spans="12:20">
      <c r="L2880" s="1179"/>
      <c r="M2880" s="1183"/>
      <c r="N2880" s="1183"/>
      <c r="O2880" s="1183"/>
      <c r="P2880" s="1201"/>
      <c r="Q2880" s="1201"/>
      <c r="R2880" s="1201"/>
      <c r="S2880" s="1201"/>
      <c r="T2880" s="1201"/>
    </row>
    <row r="2881" spans="12:20">
      <c r="L2881" s="1179"/>
      <c r="M2881" s="1183"/>
      <c r="N2881" s="1183"/>
      <c r="O2881" s="1183"/>
      <c r="P2881" s="1201"/>
      <c r="Q2881" s="1201"/>
      <c r="R2881" s="1201"/>
      <c r="S2881" s="1201"/>
      <c r="T2881" s="1201"/>
    </row>
    <row r="2882" spans="12:20">
      <c r="L2882" s="1179"/>
      <c r="M2882" s="1183"/>
      <c r="N2882" s="1183"/>
      <c r="O2882" s="1183"/>
      <c r="P2882" s="1201"/>
      <c r="Q2882" s="1201"/>
      <c r="R2882" s="1201"/>
      <c r="S2882" s="1201"/>
      <c r="T2882" s="1201"/>
    </row>
    <row r="2883" spans="12:20">
      <c r="L2883" s="1179"/>
      <c r="M2883" s="1183"/>
      <c r="N2883" s="1183"/>
      <c r="O2883" s="1183"/>
      <c r="P2883" s="1201"/>
      <c r="Q2883" s="1201"/>
      <c r="R2883" s="1201"/>
      <c r="S2883" s="1201"/>
      <c r="T2883" s="1201"/>
    </row>
    <row r="2884" spans="12:20">
      <c r="L2884" s="1179"/>
      <c r="M2884" s="1183"/>
      <c r="N2884" s="1183"/>
      <c r="O2884" s="1183"/>
      <c r="P2884" s="1201"/>
      <c r="Q2884" s="1201"/>
      <c r="R2884" s="1201"/>
      <c r="S2884" s="1201"/>
      <c r="T2884" s="1201"/>
    </row>
    <row r="2885" spans="12:20">
      <c r="L2885" s="1179"/>
      <c r="M2885" s="1183"/>
      <c r="N2885" s="1183"/>
      <c r="O2885" s="1183"/>
      <c r="P2885" s="1201"/>
      <c r="Q2885" s="1201"/>
      <c r="R2885" s="1201"/>
      <c r="S2885" s="1201"/>
      <c r="T2885" s="1201"/>
    </row>
    <row r="2886" spans="12:20">
      <c r="L2886" s="1179"/>
      <c r="M2886" s="1183"/>
      <c r="N2886" s="1183"/>
      <c r="O2886" s="1183"/>
      <c r="P2886" s="1201"/>
      <c r="Q2886" s="1201"/>
      <c r="R2886" s="1201"/>
      <c r="S2886" s="1201"/>
      <c r="T2886" s="1201"/>
    </row>
    <row r="2887" spans="12:20">
      <c r="L2887" s="1179"/>
      <c r="M2887" s="1183"/>
      <c r="N2887" s="1183"/>
      <c r="O2887" s="1183"/>
      <c r="P2887" s="1201"/>
      <c r="Q2887" s="1201"/>
      <c r="R2887" s="1201"/>
      <c r="S2887" s="1201"/>
      <c r="T2887" s="1201"/>
    </row>
    <row r="2888" spans="12:20">
      <c r="L2888" s="1179"/>
      <c r="M2888" s="1183"/>
      <c r="N2888" s="1183"/>
      <c r="O2888" s="1183"/>
      <c r="P2888" s="1201"/>
      <c r="Q2888" s="1201"/>
      <c r="R2888" s="1201"/>
      <c r="S2888" s="1201"/>
      <c r="T2888" s="1201"/>
    </row>
    <row r="2889" spans="12:20">
      <c r="L2889" s="1179"/>
      <c r="M2889" s="1183"/>
      <c r="N2889" s="1183"/>
      <c r="O2889" s="1183"/>
      <c r="P2889" s="1201"/>
      <c r="Q2889" s="1201"/>
      <c r="R2889" s="1201"/>
      <c r="S2889" s="1201"/>
      <c r="T2889" s="1201"/>
    </row>
    <row r="2890" spans="12:20">
      <c r="L2890" s="1179"/>
      <c r="M2890" s="1183"/>
      <c r="N2890" s="1183"/>
      <c r="O2890" s="1183"/>
      <c r="P2890" s="1201"/>
      <c r="Q2890" s="1201"/>
      <c r="R2890" s="1201"/>
      <c r="S2890" s="1201"/>
      <c r="T2890" s="1201"/>
    </row>
    <row r="2891" spans="12:20">
      <c r="L2891" s="1179"/>
      <c r="M2891" s="1183"/>
      <c r="N2891" s="1183"/>
      <c r="O2891" s="1183"/>
      <c r="P2891" s="1201"/>
      <c r="Q2891" s="1201"/>
      <c r="R2891" s="1201"/>
      <c r="S2891" s="1201"/>
      <c r="T2891" s="1201"/>
    </row>
    <row r="2892" spans="12:20">
      <c r="L2892" s="1179"/>
      <c r="M2892" s="1183"/>
      <c r="N2892" s="1183"/>
      <c r="O2892" s="1183"/>
      <c r="P2892" s="1201"/>
      <c r="Q2892" s="1201"/>
      <c r="R2892" s="1201"/>
      <c r="S2892" s="1201"/>
      <c r="T2892" s="1201"/>
    </row>
    <row r="2893" spans="12:20">
      <c r="L2893" s="1179"/>
      <c r="M2893" s="1183"/>
      <c r="N2893" s="1183"/>
      <c r="O2893" s="1183"/>
      <c r="P2893" s="1201"/>
      <c r="Q2893" s="1201"/>
      <c r="R2893" s="1201"/>
      <c r="S2893" s="1201"/>
      <c r="T2893" s="1201"/>
    </row>
    <row r="2894" spans="12:20">
      <c r="L2894" s="1179"/>
      <c r="M2894" s="1183"/>
      <c r="N2894" s="1183"/>
      <c r="O2894" s="1183"/>
      <c r="P2894" s="1201"/>
      <c r="Q2894" s="1201"/>
      <c r="R2894" s="1201"/>
      <c r="S2894" s="1201"/>
      <c r="T2894" s="1201"/>
    </row>
    <row r="2895" spans="12:20">
      <c r="L2895" s="1179"/>
      <c r="M2895" s="1183"/>
      <c r="N2895" s="1183"/>
      <c r="O2895" s="1183"/>
      <c r="P2895" s="1201"/>
      <c r="Q2895" s="1201"/>
      <c r="R2895" s="1201"/>
      <c r="S2895" s="1201"/>
      <c r="T2895" s="1201"/>
    </row>
    <row r="2896" spans="12:20">
      <c r="L2896" s="1179"/>
      <c r="M2896" s="1183"/>
      <c r="N2896" s="1183"/>
      <c r="O2896" s="1183"/>
      <c r="P2896" s="1201"/>
      <c r="Q2896" s="1201"/>
      <c r="R2896" s="1201"/>
      <c r="S2896" s="1201"/>
      <c r="T2896" s="1201"/>
    </row>
    <row r="2897" spans="12:20">
      <c r="L2897" s="1179"/>
      <c r="M2897" s="1183"/>
      <c r="N2897" s="1183"/>
      <c r="O2897" s="1183"/>
      <c r="P2897" s="1201"/>
      <c r="Q2897" s="1201"/>
      <c r="R2897" s="1201"/>
      <c r="S2897" s="1201"/>
      <c r="T2897" s="1201"/>
    </row>
    <row r="2898" spans="12:20">
      <c r="L2898" s="1179"/>
      <c r="M2898" s="1183"/>
      <c r="N2898" s="1183"/>
      <c r="O2898" s="1183"/>
      <c r="P2898" s="1201"/>
      <c r="Q2898" s="1201"/>
      <c r="R2898" s="1201"/>
      <c r="S2898" s="1201"/>
      <c r="T2898" s="1201"/>
    </row>
    <row r="2899" spans="12:20">
      <c r="L2899" s="1179"/>
      <c r="M2899" s="1183"/>
      <c r="N2899" s="1183"/>
      <c r="O2899" s="1183"/>
      <c r="P2899" s="1201"/>
      <c r="Q2899" s="1201"/>
      <c r="R2899" s="1201"/>
      <c r="S2899" s="1201"/>
      <c r="T2899" s="1201"/>
    </row>
    <row r="2900" spans="12:20">
      <c r="L2900" s="1179"/>
      <c r="M2900" s="1183"/>
      <c r="N2900" s="1183"/>
      <c r="O2900" s="1183"/>
      <c r="P2900" s="1201"/>
      <c r="Q2900" s="1201"/>
      <c r="R2900" s="1201"/>
      <c r="S2900" s="1201"/>
      <c r="T2900" s="1201"/>
    </row>
    <row r="2901" spans="12:20">
      <c r="L2901" s="1179"/>
      <c r="M2901" s="1183"/>
      <c r="N2901" s="1183"/>
      <c r="O2901" s="1183"/>
      <c r="P2901" s="1201"/>
      <c r="Q2901" s="1201"/>
      <c r="R2901" s="1201"/>
      <c r="S2901" s="1201"/>
      <c r="T2901" s="1201"/>
    </row>
    <row r="2902" spans="12:20">
      <c r="L2902" s="1179"/>
      <c r="M2902" s="1183"/>
      <c r="N2902" s="1183"/>
      <c r="O2902" s="1183"/>
      <c r="P2902" s="1201"/>
      <c r="Q2902" s="1201"/>
      <c r="R2902" s="1201"/>
      <c r="S2902" s="1201"/>
      <c r="T2902" s="1201"/>
    </row>
    <row r="2903" spans="12:20">
      <c r="L2903" s="1179"/>
      <c r="M2903" s="1183"/>
      <c r="N2903" s="1183"/>
      <c r="O2903" s="1183"/>
      <c r="P2903" s="1201"/>
      <c r="Q2903" s="1201"/>
      <c r="R2903" s="1201"/>
      <c r="S2903" s="1201"/>
      <c r="T2903" s="1201"/>
    </row>
    <row r="2904" spans="12:20">
      <c r="L2904" s="1179"/>
      <c r="M2904" s="1183"/>
      <c r="N2904" s="1183"/>
      <c r="O2904" s="1183"/>
      <c r="P2904" s="1201"/>
      <c r="Q2904" s="1201"/>
      <c r="R2904" s="1201"/>
      <c r="S2904" s="1201"/>
      <c r="T2904" s="1201"/>
    </row>
    <row r="2905" spans="12:20">
      <c r="L2905" s="1179"/>
      <c r="M2905" s="1183"/>
      <c r="N2905" s="1183"/>
      <c r="O2905" s="1183"/>
      <c r="P2905" s="1201"/>
      <c r="Q2905" s="1201"/>
      <c r="R2905" s="1201"/>
      <c r="S2905" s="1201"/>
      <c r="T2905" s="1201"/>
    </row>
    <row r="2906" spans="12:20">
      <c r="L2906" s="1179"/>
      <c r="M2906" s="1183"/>
      <c r="N2906" s="1183"/>
      <c r="O2906" s="1183"/>
      <c r="P2906" s="1201"/>
      <c r="Q2906" s="1201"/>
      <c r="R2906" s="1201"/>
      <c r="S2906" s="1201"/>
      <c r="T2906" s="1201"/>
    </row>
    <row r="2907" spans="12:20">
      <c r="L2907" s="1179"/>
      <c r="M2907" s="1183"/>
      <c r="N2907" s="1183"/>
      <c r="O2907" s="1183"/>
      <c r="P2907" s="1201"/>
      <c r="Q2907" s="1201"/>
      <c r="R2907" s="1201"/>
      <c r="S2907" s="1201"/>
      <c r="T2907" s="1201"/>
    </row>
    <row r="2908" spans="12:20">
      <c r="L2908" s="1179"/>
      <c r="M2908" s="1183"/>
      <c r="N2908" s="1183"/>
      <c r="O2908" s="1183"/>
      <c r="P2908" s="1201"/>
      <c r="Q2908" s="1201"/>
      <c r="R2908" s="1201"/>
      <c r="S2908" s="1201"/>
      <c r="T2908" s="1201"/>
    </row>
    <row r="2909" spans="12:20">
      <c r="L2909" s="1179"/>
      <c r="M2909" s="1183"/>
      <c r="N2909" s="1183"/>
      <c r="O2909" s="1183"/>
      <c r="P2909" s="1201"/>
      <c r="Q2909" s="1201"/>
      <c r="R2909" s="1201"/>
      <c r="S2909" s="1201"/>
      <c r="T2909" s="1201"/>
    </row>
    <row r="2910" spans="12:20">
      <c r="L2910" s="1179"/>
      <c r="M2910" s="1183"/>
      <c r="N2910" s="1183"/>
      <c r="O2910" s="1183"/>
      <c r="P2910" s="1201"/>
      <c r="Q2910" s="1201"/>
      <c r="R2910" s="1201"/>
      <c r="S2910" s="1201"/>
      <c r="T2910" s="1201"/>
    </row>
    <row r="2911" spans="12:20">
      <c r="L2911" s="1179"/>
      <c r="M2911" s="1183"/>
      <c r="N2911" s="1183"/>
      <c r="O2911" s="1183"/>
      <c r="P2911" s="1201"/>
      <c r="Q2911" s="1201"/>
      <c r="R2911" s="1201"/>
      <c r="S2911" s="1201"/>
      <c r="T2911" s="1201"/>
    </row>
    <row r="2912" spans="12:20">
      <c r="L2912" s="1179"/>
      <c r="M2912" s="1183"/>
      <c r="N2912" s="1183"/>
      <c r="O2912" s="1183"/>
      <c r="P2912" s="1201"/>
      <c r="Q2912" s="1201"/>
      <c r="R2912" s="1201"/>
      <c r="S2912" s="1201"/>
      <c r="T2912" s="1201"/>
    </row>
    <row r="2913" spans="12:20">
      <c r="L2913" s="1179"/>
      <c r="M2913" s="1183"/>
      <c r="N2913" s="1183"/>
      <c r="O2913" s="1183"/>
      <c r="P2913" s="1201"/>
      <c r="Q2913" s="1201"/>
      <c r="R2913" s="1201"/>
      <c r="S2913" s="1201"/>
      <c r="T2913" s="1201"/>
    </row>
    <row r="2914" spans="12:20">
      <c r="L2914" s="1179"/>
      <c r="M2914" s="1183"/>
      <c r="N2914" s="1183"/>
      <c r="O2914" s="1183"/>
      <c r="P2914" s="1201"/>
      <c r="Q2914" s="1201"/>
      <c r="R2914" s="1201"/>
      <c r="S2914" s="1201"/>
      <c r="T2914" s="1201"/>
    </row>
    <row r="2915" spans="12:20">
      <c r="L2915" s="1179"/>
      <c r="M2915" s="1183"/>
      <c r="N2915" s="1183"/>
      <c r="O2915" s="1183"/>
      <c r="P2915" s="1201"/>
      <c r="Q2915" s="1201"/>
      <c r="R2915" s="1201"/>
      <c r="S2915" s="1201"/>
      <c r="T2915" s="1201"/>
    </row>
    <row r="2916" spans="12:20">
      <c r="L2916" s="1179"/>
      <c r="M2916" s="1183"/>
      <c r="N2916" s="1183"/>
      <c r="O2916" s="1183"/>
      <c r="P2916" s="1201"/>
      <c r="Q2916" s="1201"/>
      <c r="R2916" s="1201"/>
      <c r="S2916" s="1201"/>
      <c r="T2916" s="1201"/>
    </row>
    <row r="2917" spans="12:20">
      <c r="L2917" s="1179"/>
      <c r="M2917" s="1183"/>
      <c r="N2917" s="1183"/>
      <c r="O2917" s="1183"/>
      <c r="P2917" s="1201"/>
      <c r="Q2917" s="1201"/>
      <c r="R2917" s="1201"/>
      <c r="S2917" s="1201"/>
      <c r="T2917" s="1201"/>
    </row>
    <row r="2918" spans="12:20">
      <c r="L2918" s="1179"/>
      <c r="M2918" s="1183"/>
      <c r="N2918" s="1183"/>
      <c r="O2918" s="1183"/>
      <c r="P2918" s="1201"/>
      <c r="Q2918" s="1201"/>
      <c r="R2918" s="1201"/>
      <c r="S2918" s="1201"/>
      <c r="T2918" s="1201"/>
    </row>
    <row r="2919" spans="12:20">
      <c r="L2919" s="1179"/>
      <c r="M2919" s="1183"/>
      <c r="N2919" s="1183"/>
      <c r="O2919" s="1183"/>
      <c r="P2919" s="1201"/>
      <c r="Q2919" s="1201"/>
      <c r="R2919" s="1201"/>
      <c r="S2919" s="1201"/>
      <c r="T2919" s="1201"/>
    </row>
    <row r="2920" spans="12:20">
      <c r="L2920" s="1179"/>
      <c r="M2920" s="1183"/>
      <c r="N2920" s="1183"/>
      <c r="O2920" s="1183"/>
      <c r="P2920" s="1201"/>
      <c r="Q2920" s="1201"/>
      <c r="R2920" s="1201"/>
      <c r="S2920" s="1201"/>
      <c r="T2920" s="1201"/>
    </row>
    <row r="2921" spans="12:20">
      <c r="L2921" s="1179"/>
      <c r="M2921" s="1183"/>
      <c r="N2921" s="1183"/>
      <c r="O2921" s="1183"/>
      <c r="P2921" s="1201"/>
      <c r="Q2921" s="1201"/>
      <c r="R2921" s="1201"/>
      <c r="S2921" s="1201"/>
      <c r="T2921" s="1201"/>
    </row>
    <row r="2922" spans="12:20">
      <c r="L2922" s="1179"/>
      <c r="M2922" s="1183"/>
      <c r="N2922" s="1183"/>
      <c r="O2922" s="1183"/>
      <c r="P2922" s="1201"/>
      <c r="Q2922" s="1201"/>
      <c r="R2922" s="1201"/>
      <c r="S2922" s="1201"/>
      <c r="T2922" s="1201"/>
    </row>
    <row r="2923" spans="12:20">
      <c r="L2923" s="1179"/>
      <c r="M2923" s="1183"/>
      <c r="N2923" s="1183"/>
      <c r="O2923" s="1183"/>
      <c r="P2923" s="1201"/>
      <c r="Q2923" s="1201"/>
      <c r="R2923" s="1201"/>
      <c r="S2923" s="1201"/>
      <c r="T2923" s="1201"/>
    </row>
    <row r="2924" spans="12:20">
      <c r="L2924" s="1179"/>
      <c r="M2924" s="1183"/>
      <c r="N2924" s="1183"/>
      <c r="O2924" s="1183"/>
      <c r="P2924" s="1201"/>
      <c r="Q2924" s="1201"/>
      <c r="R2924" s="1201"/>
      <c r="S2924" s="1201"/>
      <c r="T2924" s="1201"/>
    </row>
    <row r="2925" spans="12:20">
      <c r="L2925" s="1179"/>
      <c r="M2925" s="1183"/>
      <c r="N2925" s="1183"/>
      <c r="O2925" s="1183"/>
      <c r="P2925" s="1201"/>
      <c r="Q2925" s="1201"/>
      <c r="R2925" s="1201"/>
      <c r="S2925" s="1201"/>
      <c r="T2925" s="1201"/>
    </row>
    <row r="2926" spans="12:20">
      <c r="L2926" s="1179"/>
      <c r="M2926" s="1183"/>
      <c r="N2926" s="1183"/>
      <c r="O2926" s="1183"/>
      <c r="P2926" s="1201"/>
      <c r="Q2926" s="1201"/>
      <c r="R2926" s="1201"/>
      <c r="S2926" s="1201"/>
      <c r="T2926" s="1201"/>
    </row>
    <row r="2927" spans="12:20">
      <c r="L2927" s="1179"/>
      <c r="M2927" s="1183"/>
      <c r="N2927" s="1183"/>
      <c r="O2927" s="1183"/>
      <c r="P2927" s="1201"/>
      <c r="Q2927" s="1201"/>
      <c r="R2927" s="1201"/>
      <c r="S2927" s="1201"/>
      <c r="T2927" s="1201"/>
    </row>
    <row r="2928" spans="12:20">
      <c r="L2928" s="1179"/>
      <c r="M2928" s="1183"/>
      <c r="N2928" s="1183"/>
      <c r="O2928" s="1183"/>
      <c r="P2928" s="1201"/>
      <c r="Q2928" s="1201"/>
      <c r="R2928" s="1201"/>
      <c r="S2928" s="1201"/>
      <c r="T2928" s="1201"/>
    </row>
    <row r="2929" spans="12:20">
      <c r="L2929" s="1179"/>
      <c r="M2929" s="1183"/>
      <c r="N2929" s="1183"/>
      <c r="O2929" s="1183"/>
      <c r="P2929" s="1201"/>
      <c r="Q2929" s="1201"/>
      <c r="R2929" s="1201"/>
      <c r="S2929" s="1201"/>
      <c r="T2929" s="1201"/>
    </row>
    <row r="2930" spans="12:20">
      <c r="L2930" s="1179"/>
      <c r="M2930" s="1183"/>
      <c r="N2930" s="1183"/>
      <c r="O2930" s="1183"/>
      <c r="P2930" s="1201"/>
      <c r="Q2930" s="1201"/>
      <c r="R2930" s="1201"/>
      <c r="S2930" s="1201"/>
      <c r="T2930" s="1201"/>
    </row>
    <row r="2931" spans="12:20">
      <c r="L2931" s="1179"/>
      <c r="M2931" s="1183"/>
      <c r="N2931" s="1183"/>
      <c r="O2931" s="1183"/>
      <c r="P2931" s="1201"/>
      <c r="Q2931" s="1201"/>
      <c r="R2931" s="1201"/>
      <c r="S2931" s="1201"/>
      <c r="T2931" s="1201"/>
    </row>
    <row r="2932" spans="12:20">
      <c r="L2932" s="1179"/>
      <c r="M2932" s="1183"/>
      <c r="N2932" s="1183"/>
      <c r="O2932" s="1183"/>
      <c r="P2932" s="1201"/>
      <c r="Q2932" s="1201"/>
      <c r="R2932" s="1201"/>
      <c r="S2932" s="1201"/>
      <c r="T2932" s="1201"/>
    </row>
    <row r="2933" spans="12:20">
      <c r="L2933" s="1179"/>
      <c r="M2933" s="1183"/>
      <c r="N2933" s="1183"/>
      <c r="O2933" s="1183"/>
      <c r="P2933" s="1201"/>
      <c r="Q2933" s="1201"/>
      <c r="R2933" s="1201"/>
      <c r="S2933" s="1201"/>
      <c r="T2933" s="1201"/>
    </row>
    <row r="2934" spans="12:20">
      <c r="L2934" s="1179"/>
      <c r="M2934" s="1183"/>
      <c r="N2934" s="1183"/>
      <c r="O2934" s="1183"/>
      <c r="P2934" s="1201"/>
      <c r="Q2934" s="1201"/>
      <c r="R2934" s="1201"/>
      <c r="S2934" s="1201"/>
      <c r="T2934" s="1201"/>
    </row>
    <row r="2935" spans="12:20">
      <c r="L2935" s="1179"/>
      <c r="M2935" s="1183"/>
      <c r="N2935" s="1183"/>
      <c r="O2935" s="1183"/>
      <c r="P2935" s="1201"/>
      <c r="Q2935" s="1201"/>
      <c r="R2935" s="1201"/>
      <c r="S2935" s="1201"/>
      <c r="T2935" s="1201"/>
    </row>
    <row r="2936" spans="12:20">
      <c r="L2936" s="1179"/>
      <c r="M2936" s="1183"/>
      <c r="N2936" s="1183"/>
      <c r="O2936" s="1183"/>
      <c r="P2936" s="1201"/>
      <c r="Q2936" s="1201"/>
      <c r="R2936" s="1201"/>
      <c r="S2936" s="1201"/>
      <c r="T2936" s="1201"/>
    </row>
    <row r="2937" spans="12:20">
      <c r="L2937" s="1179"/>
      <c r="M2937" s="1183"/>
      <c r="N2937" s="1183"/>
      <c r="O2937" s="1183"/>
      <c r="P2937" s="1201"/>
      <c r="Q2937" s="1201"/>
      <c r="R2937" s="1201"/>
      <c r="S2937" s="1201"/>
      <c r="T2937" s="1201"/>
    </row>
    <row r="2938" spans="12:20">
      <c r="L2938" s="1179"/>
      <c r="M2938" s="1183"/>
      <c r="N2938" s="1183"/>
      <c r="O2938" s="1183"/>
      <c r="P2938" s="1201"/>
      <c r="Q2938" s="1201"/>
      <c r="R2938" s="1201"/>
      <c r="S2938" s="1201"/>
      <c r="T2938" s="1201"/>
    </row>
    <row r="2939" spans="12:20">
      <c r="L2939" s="1179"/>
      <c r="M2939" s="1183"/>
      <c r="N2939" s="1183"/>
      <c r="O2939" s="1183"/>
      <c r="P2939" s="1201"/>
      <c r="Q2939" s="1201"/>
      <c r="R2939" s="1201"/>
      <c r="S2939" s="1201"/>
      <c r="T2939" s="1201"/>
    </row>
    <row r="2940" spans="12:20">
      <c r="L2940" s="1179"/>
      <c r="M2940" s="1183"/>
      <c r="N2940" s="1183"/>
      <c r="O2940" s="1183"/>
      <c r="P2940" s="1201"/>
      <c r="Q2940" s="1201"/>
      <c r="R2940" s="1201"/>
      <c r="S2940" s="1201"/>
      <c r="T2940" s="1201"/>
    </row>
    <row r="2941" spans="12:20">
      <c r="L2941" s="1179"/>
      <c r="M2941" s="1183"/>
      <c r="N2941" s="1183"/>
      <c r="O2941" s="1183"/>
      <c r="P2941" s="1201"/>
      <c r="Q2941" s="1201"/>
      <c r="R2941" s="1201"/>
      <c r="S2941" s="1201"/>
      <c r="T2941" s="1201"/>
    </row>
    <row r="2942" spans="12:20">
      <c r="L2942" s="1179"/>
      <c r="M2942" s="1183"/>
      <c r="N2942" s="1183"/>
      <c r="O2942" s="1183"/>
      <c r="P2942" s="1201"/>
      <c r="Q2942" s="1201"/>
      <c r="R2942" s="1201"/>
      <c r="S2942" s="1201"/>
      <c r="T2942" s="1201"/>
    </row>
    <row r="2943" spans="12:20">
      <c r="L2943" s="1179"/>
      <c r="M2943" s="1183"/>
      <c r="N2943" s="1183"/>
      <c r="O2943" s="1183"/>
      <c r="P2943" s="1201"/>
      <c r="Q2943" s="1201"/>
      <c r="R2943" s="1201"/>
      <c r="S2943" s="1201"/>
      <c r="T2943" s="1201"/>
    </row>
    <row r="2944" spans="12:20">
      <c r="L2944" s="1179"/>
      <c r="M2944" s="1183"/>
      <c r="N2944" s="1183"/>
      <c r="O2944" s="1183"/>
      <c r="P2944" s="1201"/>
      <c r="Q2944" s="1201"/>
      <c r="R2944" s="1201"/>
      <c r="S2944" s="1201"/>
      <c r="T2944" s="1201"/>
    </row>
    <row r="2945" spans="12:20">
      <c r="L2945" s="1179"/>
      <c r="M2945" s="1183"/>
      <c r="N2945" s="1183"/>
      <c r="O2945" s="1183"/>
      <c r="P2945" s="1201"/>
      <c r="Q2945" s="1201"/>
      <c r="R2945" s="1201"/>
      <c r="S2945" s="1201"/>
      <c r="T2945" s="1201"/>
    </row>
    <row r="2946" spans="12:20">
      <c r="L2946" s="1179"/>
      <c r="M2946" s="1183"/>
      <c r="N2946" s="1183"/>
      <c r="O2946" s="1183"/>
      <c r="P2946" s="1201"/>
      <c r="Q2946" s="1201"/>
      <c r="R2946" s="1201"/>
      <c r="S2946" s="1201"/>
      <c r="T2946" s="1201"/>
    </row>
    <row r="2947" spans="12:20">
      <c r="L2947" s="1179"/>
      <c r="M2947" s="1183"/>
      <c r="N2947" s="1183"/>
      <c r="O2947" s="1183"/>
      <c r="P2947" s="1201"/>
      <c r="Q2947" s="1201"/>
      <c r="R2947" s="1201"/>
      <c r="S2947" s="1201"/>
      <c r="T2947" s="1201"/>
    </row>
    <row r="2948" spans="12:20">
      <c r="L2948" s="1179"/>
      <c r="M2948" s="1183"/>
      <c r="N2948" s="1183"/>
      <c r="O2948" s="1183"/>
      <c r="P2948" s="1201"/>
      <c r="Q2948" s="1201"/>
      <c r="R2948" s="1201"/>
      <c r="S2948" s="1201"/>
      <c r="T2948" s="1201"/>
    </row>
    <row r="2949" spans="12:20">
      <c r="L2949" s="1179"/>
      <c r="M2949" s="1183"/>
      <c r="N2949" s="1183"/>
      <c r="O2949" s="1183"/>
      <c r="P2949" s="1201"/>
      <c r="Q2949" s="1201"/>
      <c r="R2949" s="1201"/>
      <c r="S2949" s="1201"/>
      <c r="T2949" s="1201"/>
    </row>
    <row r="2950" spans="12:20">
      <c r="L2950" s="1179"/>
      <c r="M2950" s="1183"/>
      <c r="N2950" s="1183"/>
      <c r="O2950" s="1183"/>
      <c r="P2950" s="1201"/>
      <c r="Q2950" s="1201"/>
      <c r="R2950" s="1201"/>
      <c r="S2950" s="1201"/>
      <c r="T2950" s="1201"/>
    </row>
    <row r="2951" spans="12:20">
      <c r="L2951" s="1179"/>
      <c r="M2951" s="1183"/>
      <c r="N2951" s="1183"/>
      <c r="O2951" s="1183"/>
      <c r="P2951" s="1201"/>
      <c r="Q2951" s="1201"/>
      <c r="R2951" s="1201"/>
      <c r="S2951" s="1201"/>
      <c r="T2951" s="1201"/>
    </row>
    <row r="2952" spans="12:20">
      <c r="L2952" s="1179"/>
      <c r="M2952" s="1183"/>
      <c r="N2952" s="1183"/>
      <c r="O2952" s="1183"/>
      <c r="P2952" s="1201"/>
      <c r="Q2952" s="1201"/>
      <c r="R2952" s="1201"/>
      <c r="S2952" s="1201"/>
      <c r="T2952" s="1201"/>
    </row>
    <row r="2953" spans="12:20">
      <c r="L2953" s="1179"/>
      <c r="M2953" s="1183"/>
      <c r="N2953" s="1183"/>
      <c r="O2953" s="1183"/>
      <c r="P2953" s="1201"/>
      <c r="Q2953" s="1201"/>
      <c r="R2953" s="1201"/>
      <c r="S2953" s="1201"/>
      <c r="T2953" s="1201"/>
    </row>
    <row r="2954" spans="12:20">
      <c r="L2954" s="1179"/>
      <c r="M2954" s="1183"/>
      <c r="N2954" s="1183"/>
      <c r="O2954" s="1183"/>
      <c r="P2954" s="1201"/>
      <c r="Q2954" s="1201"/>
      <c r="R2954" s="1201"/>
      <c r="S2954" s="1201"/>
      <c r="T2954" s="1201"/>
    </row>
    <row r="2955" spans="12:20">
      <c r="L2955" s="1179"/>
      <c r="M2955" s="1183"/>
      <c r="N2955" s="1183"/>
      <c r="O2955" s="1183"/>
      <c r="P2955" s="1201"/>
      <c r="Q2955" s="1201"/>
      <c r="R2955" s="1201"/>
      <c r="S2955" s="1201"/>
      <c r="T2955" s="1201"/>
    </row>
    <row r="2956" spans="12:20">
      <c r="L2956" s="1179"/>
      <c r="M2956" s="1183"/>
      <c r="N2956" s="1183"/>
      <c r="O2956" s="1183"/>
      <c r="P2956" s="1201"/>
      <c r="Q2956" s="1201"/>
      <c r="R2956" s="1201"/>
      <c r="S2956" s="1201"/>
      <c r="T2956" s="1201"/>
    </row>
    <row r="2957" spans="12:20">
      <c r="L2957" s="1179"/>
      <c r="M2957" s="1183"/>
      <c r="N2957" s="1183"/>
      <c r="O2957" s="1183"/>
      <c r="P2957" s="1201"/>
      <c r="Q2957" s="1201"/>
      <c r="R2957" s="1201"/>
      <c r="S2957" s="1201"/>
      <c r="T2957" s="1201"/>
    </row>
    <row r="2958" spans="12:20">
      <c r="L2958" s="1179"/>
      <c r="M2958" s="1183"/>
      <c r="N2958" s="1183"/>
      <c r="O2958" s="1183"/>
      <c r="P2958" s="1201"/>
      <c r="Q2958" s="1201"/>
      <c r="R2958" s="1201"/>
      <c r="S2958" s="1201"/>
      <c r="T2958" s="1201"/>
    </row>
    <row r="2959" spans="12:20">
      <c r="L2959" s="1179"/>
      <c r="M2959" s="1183"/>
      <c r="N2959" s="1183"/>
      <c r="O2959" s="1183"/>
      <c r="P2959" s="1201"/>
      <c r="Q2959" s="1201"/>
      <c r="R2959" s="1201"/>
      <c r="S2959" s="1201"/>
      <c r="T2959" s="1201"/>
    </row>
    <row r="2960" spans="12:20">
      <c r="L2960" s="1179"/>
      <c r="M2960" s="1183"/>
      <c r="N2960" s="1183"/>
      <c r="O2960" s="1183"/>
      <c r="P2960" s="1201"/>
      <c r="Q2960" s="1201"/>
      <c r="R2960" s="1201"/>
      <c r="S2960" s="1201"/>
      <c r="T2960" s="1201"/>
    </row>
    <row r="2961" spans="12:20">
      <c r="L2961" s="1179"/>
      <c r="M2961" s="1183"/>
      <c r="N2961" s="1183"/>
      <c r="O2961" s="1183"/>
      <c r="P2961" s="1201"/>
      <c r="Q2961" s="1201"/>
      <c r="R2961" s="1201"/>
      <c r="S2961" s="1201"/>
      <c r="T2961" s="1201"/>
    </row>
    <row r="2962" spans="12:20">
      <c r="L2962" s="1179"/>
      <c r="M2962" s="1183"/>
      <c r="N2962" s="1183"/>
      <c r="O2962" s="1183"/>
      <c r="P2962" s="1201"/>
      <c r="Q2962" s="1201"/>
      <c r="R2962" s="1201"/>
      <c r="S2962" s="1201"/>
      <c r="T2962" s="1201"/>
    </row>
    <row r="2963" spans="12:20">
      <c r="L2963" s="1179"/>
      <c r="M2963" s="1183"/>
      <c r="N2963" s="1183"/>
      <c r="O2963" s="1183"/>
      <c r="P2963" s="1201"/>
      <c r="Q2963" s="1201"/>
      <c r="R2963" s="1201"/>
      <c r="S2963" s="1201"/>
      <c r="T2963" s="1201"/>
    </row>
    <row r="2964" spans="12:20">
      <c r="L2964" s="1179"/>
      <c r="M2964" s="1183"/>
      <c r="N2964" s="1183"/>
      <c r="O2964" s="1183"/>
      <c r="P2964" s="1201"/>
      <c r="Q2964" s="1201"/>
      <c r="R2964" s="1201"/>
      <c r="S2964" s="1201"/>
      <c r="T2964" s="1201"/>
    </row>
    <row r="2965" spans="12:20">
      <c r="L2965" s="1179"/>
      <c r="M2965" s="1183"/>
      <c r="N2965" s="1183"/>
      <c r="O2965" s="1183"/>
      <c r="P2965" s="1201"/>
      <c r="Q2965" s="1201"/>
      <c r="R2965" s="1201"/>
      <c r="S2965" s="1201"/>
      <c r="T2965" s="1201"/>
    </row>
    <row r="2966" spans="12:20">
      <c r="L2966" s="1179"/>
      <c r="M2966" s="1183"/>
      <c r="N2966" s="1183"/>
      <c r="O2966" s="1183"/>
      <c r="P2966" s="1201"/>
      <c r="Q2966" s="1201"/>
      <c r="R2966" s="1201"/>
      <c r="S2966" s="1201"/>
      <c r="T2966" s="1201"/>
    </row>
    <row r="2967" spans="12:20">
      <c r="L2967" s="1179"/>
      <c r="M2967" s="1183"/>
      <c r="N2967" s="1183"/>
      <c r="O2967" s="1183"/>
      <c r="P2967" s="1201"/>
      <c r="Q2967" s="1201"/>
      <c r="R2967" s="1201"/>
      <c r="S2967" s="1201"/>
      <c r="T2967" s="1201"/>
    </row>
    <row r="2968" spans="12:20">
      <c r="L2968" s="1179"/>
      <c r="M2968" s="1183"/>
      <c r="N2968" s="1183"/>
      <c r="O2968" s="1183"/>
      <c r="P2968" s="1201"/>
      <c r="Q2968" s="1201"/>
      <c r="R2968" s="1201"/>
      <c r="S2968" s="1201"/>
      <c r="T2968" s="1201"/>
    </row>
    <row r="2969" spans="12:20">
      <c r="L2969" s="1179"/>
      <c r="M2969" s="1183"/>
      <c r="N2969" s="1183"/>
      <c r="O2969" s="1183"/>
      <c r="P2969" s="1201"/>
      <c r="Q2969" s="1201"/>
      <c r="R2969" s="1201"/>
      <c r="S2969" s="1201"/>
      <c r="T2969" s="1201"/>
    </row>
    <row r="2970" spans="12:20">
      <c r="L2970" s="1179"/>
      <c r="M2970" s="1183"/>
      <c r="N2970" s="1183"/>
      <c r="O2970" s="1183"/>
      <c r="P2970" s="1201"/>
      <c r="Q2970" s="1201"/>
      <c r="R2970" s="1201"/>
      <c r="S2970" s="1201"/>
      <c r="T2970" s="1201"/>
    </row>
    <row r="2971" spans="12:20">
      <c r="L2971" s="1179"/>
      <c r="M2971" s="1183"/>
      <c r="N2971" s="1183"/>
      <c r="O2971" s="1183"/>
      <c r="P2971" s="1201"/>
      <c r="Q2971" s="1201"/>
      <c r="R2971" s="1201"/>
      <c r="S2971" s="1201"/>
      <c r="T2971" s="1201"/>
    </row>
    <row r="2972" spans="12:20">
      <c r="L2972" s="1179"/>
      <c r="M2972" s="1183"/>
      <c r="N2972" s="1183"/>
      <c r="O2972" s="1183"/>
      <c r="P2972" s="1201"/>
      <c r="Q2972" s="1201"/>
      <c r="R2972" s="1201"/>
      <c r="S2972" s="1201"/>
      <c r="T2972" s="1201"/>
    </row>
    <row r="2973" spans="12:20">
      <c r="L2973" s="1179"/>
      <c r="M2973" s="1183"/>
      <c r="N2973" s="1183"/>
      <c r="O2973" s="1183"/>
      <c r="P2973" s="1201"/>
      <c r="Q2973" s="1201"/>
      <c r="R2973" s="1201"/>
      <c r="S2973" s="1201"/>
      <c r="T2973" s="1201"/>
    </row>
    <row r="2974" spans="12:20">
      <c r="L2974" s="1179"/>
      <c r="M2974" s="1183"/>
      <c r="N2974" s="1183"/>
      <c r="O2974" s="1183"/>
      <c r="P2974" s="1201"/>
      <c r="Q2974" s="1201"/>
      <c r="R2974" s="1201"/>
      <c r="S2974" s="1201"/>
      <c r="T2974" s="1201"/>
    </row>
    <row r="2975" spans="12:20">
      <c r="L2975" s="1179"/>
      <c r="M2975" s="1183"/>
      <c r="N2975" s="1183"/>
      <c r="O2975" s="1183"/>
      <c r="P2975" s="1201"/>
      <c r="Q2975" s="1201"/>
      <c r="R2975" s="1201"/>
      <c r="S2975" s="1201"/>
      <c r="T2975" s="1201"/>
    </row>
    <row r="2976" spans="12:20">
      <c r="L2976" s="1179"/>
      <c r="M2976" s="1183"/>
      <c r="N2976" s="1183"/>
      <c r="O2976" s="1183"/>
      <c r="P2976" s="1201"/>
      <c r="Q2976" s="1201"/>
      <c r="R2976" s="1201"/>
      <c r="S2976" s="1201"/>
      <c r="T2976" s="1201"/>
    </row>
    <row r="2977" spans="12:20">
      <c r="L2977" s="1179"/>
      <c r="M2977" s="1183"/>
      <c r="N2977" s="1183"/>
      <c r="O2977" s="1183"/>
      <c r="P2977" s="1201"/>
      <c r="Q2977" s="1201"/>
      <c r="R2977" s="1201"/>
      <c r="S2977" s="1201"/>
      <c r="T2977" s="1201"/>
    </row>
    <row r="2978" spans="12:20">
      <c r="L2978" s="1179"/>
      <c r="M2978" s="1183"/>
      <c r="N2978" s="1183"/>
      <c r="O2978" s="1183"/>
      <c r="P2978" s="1201"/>
      <c r="Q2978" s="1201"/>
      <c r="R2978" s="1201"/>
      <c r="S2978" s="1201"/>
      <c r="T2978" s="1201"/>
    </row>
    <row r="2979" spans="12:20">
      <c r="L2979" s="1179"/>
      <c r="M2979" s="1183"/>
      <c r="N2979" s="1183"/>
      <c r="O2979" s="1183"/>
      <c r="P2979" s="1201"/>
      <c r="Q2979" s="1201"/>
      <c r="R2979" s="1201"/>
      <c r="S2979" s="1201"/>
      <c r="T2979" s="1201"/>
    </row>
    <row r="2980" spans="12:20">
      <c r="L2980" s="1179"/>
      <c r="M2980" s="1183"/>
      <c r="N2980" s="1183"/>
      <c r="O2980" s="1183"/>
      <c r="P2980" s="1201"/>
      <c r="Q2980" s="1201"/>
      <c r="R2980" s="1201"/>
      <c r="S2980" s="1201"/>
      <c r="T2980" s="1201"/>
    </row>
    <row r="2981" spans="12:20">
      <c r="L2981" s="1179"/>
      <c r="M2981" s="1183"/>
      <c r="N2981" s="1183"/>
      <c r="O2981" s="1183"/>
      <c r="P2981" s="1201"/>
      <c r="Q2981" s="1201"/>
      <c r="R2981" s="1201"/>
      <c r="S2981" s="1201"/>
      <c r="T2981" s="1201"/>
    </row>
    <row r="2982" spans="12:20">
      <c r="L2982" s="1179"/>
      <c r="M2982" s="1183"/>
      <c r="N2982" s="1183"/>
      <c r="O2982" s="1183"/>
      <c r="P2982" s="1201"/>
      <c r="Q2982" s="1201"/>
      <c r="R2982" s="1201"/>
      <c r="S2982" s="1201"/>
      <c r="T2982" s="1201"/>
    </row>
    <row r="2983" spans="12:20">
      <c r="L2983" s="1179"/>
      <c r="M2983" s="1183"/>
      <c r="N2983" s="1183"/>
      <c r="O2983" s="1183"/>
      <c r="P2983" s="1201"/>
      <c r="Q2983" s="1201"/>
      <c r="R2983" s="1201"/>
      <c r="S2983" s="1201"/>
      <c r="T2983" s="1201"/>
    </row>
    <row r="2984" spans="12:20">
      <c r="L2984" s="1179"/>
      <c r="M2984" s="1183"/>
      <c r="N2984" s="1183"/>
      <c r="O2984" s="1183"/>
      <c r="P2984" s="1201"/>
      <c r="Q2984" s="1201"/>
      <c r="R2984" s="1201"/>
      <c r="S2984" s="1201"/>
      <c r="T2984" s="1201"/>
    </row>
    <row r="2985" spans="12:20">
      <c r="L2985" s="1179"/>
      <c r="M2985" s="1183"/>
      <c r="N2985" s="1183"/>
      <c r="O2985" s="1183"/>
      <c r="P2985" s="1201"/>
      <c r="Q2985" s="1201"/>
      <c r="R2985" s="1201"/>
      <c r="S2985" s="1201"/>
      <c r="T2985" s="1201"/>
    </row>
    <row r="2986" spans="12:20">
      <c r="L2986" s="1179"/>
      <c r="M2986" s="1183"/>
      <c r="N2986" s="1183"/>
      <c r="O2986" s="1183"/>
      <c r="P2986" s="1201"/>
      <c r="Q2986" s="1201"/>
      <c r="R2986" s="1201"/>
      <c r="S2986" s="1201"/>
      <c r="T2986" s="1201"/>
    </row>
    <row r="2987" spans="12:20">
      <c r="L2987" s="1179"/>
      <c r="M2987" s="1183"/>
      <c r="N2987" s="1183"/>
      <c r="O2987" s="1183"/>
      <c r="P2987" s="1201"/>
      <c r="Q2987" s="1201"/>
      <c r="R2987" s="1201"/>
      <c r="S2987" s="1201"/>
      <c r="T2987" s="1201"/>
    </row>
    <row r="2988" spans="12:20">
      <c r="L2988" s="1179"/>
      <c r="M2988" s="1183"/>
      <c r="N2988" s="1183"/>
      <c r="O2988" s="1183"/>
      <c r="P2988" s="1201"/>
      <c r="Q2988" s="1201"/>
      <c r="R2988" s="1201"/>
      <c r="S2988" s="1201"/>
      <c r="T2988" s="1201"/>
    </row>
    <row r="2989" spans="12:20">
      <c r="L2989" s="1179"/>
      <c r="M2989" s="1183"/>
      <c r="N2989" s="1183"/>
      <c r="O2989" s="1183"/>
      <c r="P2989" s="1201"/>
      <c r="Q2989" s="1201"/>
      <c r="R2989" s="1201"/>
      <c r="S2989" s="1201"/>
      <c r="T2989" s="1201"/>
    </row>
    <row r="2990" spans="12:20">
      <c r="L2990" s="1179"/>
      <c r="M2990" s="1183"/>
      <c r="N2990" s="1183"/>
      <c r="O2990" s="1183"/>
      <c r="P2990" s="1201"/>
      <c r="Q2990" s="1201"/>
      <c r="R2990" s="1201"/>
      <c r="S2990" s="1201"/>
      <c r="T2990" s="1201"/>
    </row>
    <row r="2991" spans="12:20">
      <c r="L2991" s="1179"/>
      <c r="M2991" s="1183"/>
      <c r="N2991" s="1183"/>
      <c r="O2991" s="1183"/>
      <c r="P2991" s="1201"/>
      <c r="Q2991" s="1201"/>
      <c r="R2991" s="1201"/>
      <c r="S2991" s="1201"/>
      <c r="T2991" s="1201"/>
    </row>
    <row r="2992" spans="12:20">
      <c r="L2992" s="1179"/>
      <c r="M2992" s="1183"/>
      <c r="N2992" s="1183"/>
      <c r="O2992" s="1183"/>
      <c r="P2992" s="1201"/>
      <c r="Q2992" s="1201"/>
      <c r="R2992" s="1201"/>
      <c r="S2992" s="1201"/>
      <c r="T2992" s="1201"/>
    </row>
    <row r="2993" spans="12:20">
      <c r="L2993" s="1179"/>
      <c r="M2993" s="1183"/>
      <c r="N2993" s="1183"/>
      <c r="O2993" s="1183"/>
      <c r="P2993" s="1201"/>
      <c r="Q2993" s="1201"/>
      <c r="R2993" s="1201"/>
      <c r="S2993" s="1201"/>
      <c r="T2993" s="1201"/>
    </row>
    <row r="2994" spans="12:20">
      <c r="L2994" s="1179"/>
      <c r="M2994" s="1183"/>
      <c r="N2994" s="1183"/>
      <c r="O2994" s="1183"/>
      <c r="P2994" s="1201"/>
      <c r="Q2994" s="1201"/>
      <c r="R2994" s="1201"/>
      <c r="S2994" s="1201"/>
      <c r="T2994" s="1201"/>
    </row>
    <row r="2995" spans="12:20">
      <c r="L2995" s="1179"/>
      <c r="M2995" s="1183"/>
      <c r="N2995" s="1183"/>
      <c r="O2995" s="1183"/>
      <c r="P2995" s="1201"/>
      <c r="Q2995" s="1201"/>
      <c r="R2995" s="1201"/>
      <c r="S2995" s="1201"/>
      <c r="T2995" s="1201"/>
    </row>
    <row r="2996" spans="12:20">
      <c r="L2996" s="1179"/>
      <c r="M2996" s="1183"/>
      <c r="N2996" s="1183"/>
      <c r="O2996" s="1183"/>
      <c r="P2996" s="1201"/>
      <c r="Q2996" s="1201"/>
      <c r="R2996" s="1201"/>
      <c r="S2996" s="1201"/>
      <c r="T2996" s="1201"/>
    </row>
    <row r="2997" spans="12:20">
      <c r="L2997" s="1179"/>
      <c r="M2997" s="1183"/>
      <c r="N2997" s="1183"/>
      <c r="O2997" s="1183"/>
      <c r="P2997" s="1201"/>
      <c r="Q2997" s="1201"/>
      <c r="R2997" s="1201"/>
      <c r="S2997" s="1201"/>
      <c r="T2997" s="1201"/>
    </row>
    <row r="2998" spans="12:20">
      <c r="L2998" s="1179"/>
      <c r="M2998" s="1183"/>
      <c r="N2998" s="1183"/>
      <c r="O2998" s="1183"/>
      <c r="P2998" s="1201"/>
      <c r="Q2998" s="1201"/>
      <c r="R2998" s="1201"/>
      <c r="S2998" s="1201"/>
      <c r="T2998" s="1201"/>
    </row>
    <row r="2999" spans="12:20">
      <c r="L2999" s="1179"/>
      <c r="M2999" s="1183"/>
      <c r="N2999" s="1183"/>
      <c r="O2999" s="1183"/>
      <c r="P2999" s="1201"/>
      <c r="Q2999" s="1201"/>
      <c r="R2999" s="1201"/>
      <c r="S2999" s="1201"/>
      <c r="T2999" s="1201"/>
    </row>
    <row r="3000" spans="12:20">
      <c r="L3000" s="1179"/>
      <c r="M3000" s="1183"/>
      <c r="N3000" s="1183"/>
      <c r="O3000" s="1183"/>
      <c r="P3000" s="1201"/>
      <c r="Q3000" s="1201"/>
      <c r="R3000" s="1201"/>
      <c r="S3000" s="1201"/>
      <c r="T3000" s="1201"/>
    </row>
    <row r="3001" spans="12:20">
      <c r="L3001" s="1179"/>
      <c r="M3001" s="1183"/>
      <c r="N3001" s="1183"/>
      <c r="O3001" s="1183"/>
      <c r="P3001" s="1201"/>
      <c r="Q3001" s="1201"/>
      <c r="R3001" s="1201"/>
      <c r="S3001" s="1201"/>
      <c r="T3001" s="1201"/>
    </row>
    <row r="3002" spans="12:20">
      <c r="L3002" s="1179"/>
      <c r="M3002" s="1183"/>
      <c r="N3002" s="1183"/>
      <c r="O3002" s="1183"/>
      <c r="P3002" s="1201"/>
      <c r="Q3002" s="1201"/>
      <c r="R3002" s="1201"/>
      <c r="S3002" s="1201"/>
      <c r="T3002" s="1201"/>
    </row>
    <row r="3003" spans="12:20">
      <c r="L3003" s="1179"/>
      <c r="M3003" s="1183"/>
      <c r="N3003" s="1183"/>
      <c r="O3003" s="1183"/>
      <c r="P3003" s="1201"/>
      <c r="Q3003" s="1201"/>
      <c r="R3003" s="1201"/>
      <c r="S3003" s="1201"/>
      <c r="T3003" s="1201"/>
    </row>
    <row r="3004" spans="12:20">
      <c r="L3004" s="1179"/>
      <c r="M3004" s="1183"/>
      <c r="N3004" s="1183"/>
      <c r="O3004" s="1183"/>
      <c r="P3004" s="1201"/>
      <c r="Q3004" s="1201"/>
      <c r="R3004" s="1201"/>
      <c r="S3004" s="1201"/>
      <c r="T3004" s="1201"/>
    </row>
    <row r="3005" spans="12:20">
      <c r="L3005" s="1179"/>
      <c r="M3005" s="1183"/>
      <c r="N3005" s="1183"/>
      <c r="O3005" s="1183"/>
      <c r="P3005" s="1201"/>
      <c r="Q3005" s="1201"/>
      <c r="R3005" s="1201"/>
      <c r="S3005" s="1201"/>
      <c r="T3005" s="1201"/>
    </row>
    <row r="3006" spans="12:20">
      <c r="L3006" s="1179"/>
      <c r="M3006" s="1183"/>
      <c r="N3006" s="1183"/>
      <c r="O3006" s="1183"/>
      <c r="P3006" s="1201"/>
      <c r="Q3006" s="1201"/>
      <c r="R3006" s="1201"/>
      <c r="S3006" s="1201"/>
      <c r="T3006" s="1201"/>
    </row>
    <row r="3007" spans="12:20">
      <c r="L3007" s="1179"/>
      <c r="M3007" s="1183"/>
      <c r="N3007" s="1183"/>
      <c r="O3007" s="1183"/>
      <c r="P3007" s="1201"/>
      <c r="Q3007" s="1201"/>
      <c r="R3007" s="1201"/>
      <c r="S3007" s="1201"/>
      <c r="T3007" s="1201"/>
    </row>
    <row r="3008" spans="12:20">
      <c r="L3008" s="1179"/>
      <c r="M3008" s="1183"/>
      <c r="N3008" s="1183"/>
      <c r="O3008" s="1183"/>
      <c r="P3008" s="1201"/>
      <c r="Q3008" s="1201"/>
      <c r="R3008" s="1201"/>
      <c r="S3008" s="1201"/>
      <c r="T3008" s="1201"/>
    </row>
    <row r="3009" spans="12:20">
      <c r="L3009" s="1179"/>
      <c r="M3009" s="1183"/>
      <c r="N3009" s="1183"/>
      <c r="O3009" s="1183"/>
      <c r="P3009" s="1201"/>
      <c r="Q3009" s="1201"/>
      <c r="R3009" s="1201"/>
      <c r="S3009" s="1201"/>
      <c r="T3009" s="1201"/>
    </row>
    <row r="3010" spans="12:20">
      <c r="L3010" s="1179"/>
      <c r="M3010" s="1183"/>
      <c r="N3010" s="1183"/>
      <c r="O3010" s="1183"/>
      <c r="P3010" s="1201"/>
      <c r="Q3010" s="1201"/>
      <c r="R3010" s="1201"/>
      <c r="S3010" s="1201"/>
      <c r="T3010" s="1201"/>
    </row>
    <row r="3011" spans="12:20">
      <c r="L3011" s="1179"/>
      <c r="M3011" s="1183"/>
      <c r="N3011" s="1183"/>
      <c r="O3011" s="1183"/>
      <c r="P3011" s="1201"/>
      <c r="Q3011" s="1201"/>
      <c r="R3011" s="1201"/>
      <c r="S3011" s="1201"/>
      <c r="T3011" s="1201"/>
    </row>
    <row r="3012" spans="12:20">
      <c r="L3012" s="1179"/>
      <c r="M3012" s="1183"/>
      <c r="N3012" s="1183"/>
      <c r="O3012" s="1183"/>
      <c r="P3012" s="1201"/>
      <c r="Q3012" s="1201"/>
      <c r="R3012" s="1201"/>
      <c r="S3012" s="1201"/>
      <c r="T3012" s="1201"/>
    </row>
    <row r="3013" spans="12:20">
      <c r="L3013" s="1179"/>
      <c r="M3013" s="1183"/>
      <c r="N3013" s="1183"/>
      <c r="O3013" s="1183"/>
      <c r="P3013" s="1201"/>
      <c r="Q3013" s="1201"/>
      <c r="R3013" s="1201"/>
      <c r="S3013" s="1201"/>
      <c r="T3013" s="1201"/>
    </row>
    <row r="3014" spans="12:20">
      <c r="L3014" s="1179"/>
      <c r="M3014" s="1183"/>
      <c r="N3014" s="1183"/>
      <c r="O3014" s="1183"/>
      <c r="P3014" s="1201"/>
      <c r="Q3014" s="1201"/>
      <c r="R3014" s="1201"/>
      <c r="S3014" s="1201"/>
      <c r="T3014" s="1201"/>
    </row>
    <row r="3015" spans="12:20">
      <c r="L3015" s="1179"/>
      <c r="M3015" s="1183"/>
      <c r="N3015" s="1183"/>
      <c r="O3015" s="1183"/>
      <c r="P3015" s="1201"/>
      <c r="Q3015" s="1201"/>
      <c r="R3015" s="1201"/>
      <c r="S3015" s="1201"/>
      <c r="T3015" s="1201"/>
    </row>
    <row r="3016" spans="12:20">
      <c r="L3016" s="1179"/>
      <c r="M3016" s="1183"/>
      <c r="N3016" s="1183"/>
      <c r="O3016" s="1183"/>
      <c r="P3016" s="1201"/>
      <c r="Q3016" s="1201"/>
      <c r="R3016" s="1201"/>
      <c r="S3016" s="1201"/>
      <c r="T3016" s="1201"/>
    </row>
    <row r="3017" spans="12:20">
      <c r="L3017" s="1179"/>
      <c r="M3017" s="1183"/>
      <c r="N3017" s="1183"/>
      <c r="O3017" s="1183"/>
      <c r="P3017" s="1201"/>
      <c r="Q3017" s="1201"/>
      <c r="R3017" s="1201"/>
      <c r="S3017" s="1201"/>
      <c r="T3017" s="1201"/>
    </row>
    <row r="3018" spans="12:20">
      <c r="L3018" s="1179"/>
      <c r="M3018" s="1183"/>
      <c r="N3018" s="1183"/>
      <c r="O3018" s="1183"/>
      <c r="P3018" s="1201"/>
      <c r="Q3018" s="1201"/>
      <c r="R3018" s="1201"/>
      <c r="S3018" s="1201"/>
      <c r="T3018" s="1201"/>
    </row>
    <row r="3019" spans="12:20">
      <c r="L3019" s="1179"/>
      <c r="M3019" s="1183"/>
      <c r="N3019" s="1183"/>
      <c r="O3019" s="1183"/>
      <c r="P3019" s="1201"/>
      <c r="Q3019" s="1201"/>
      <c r="R3019" s="1201"/>
      <c r="S3019" s="1201"/>
      <c r="T3019" s="1201"/>
    </row>
    <row r="3020" spans="12:20">
      <c r="L3020" s="1179"/>
      <c r="M3020" s="1183"/>
      <c r="N3020" s="1183"/>
      <c r="O3020" s="1183"/>
      <c r="P3020" s="1201"/>
      <c r="Q3020" s="1201"/>
      <c r="R3020" s="1201"/>
      <c r="S3020" s="1201"/>
      <c r="T3020" s="1201"/>
    </row>
    <row r="3021" spans="12:20">
      <c r="L3021" s="1179"/>
      <c r="M3021" s="1183"/>
      <c r="N3021" s="1183"/>
      <c r="O3021" s="1183"/>
      <c r="P3021" s="1201"/>
      <c r="Q3021" s="1201"/>
      <c r="R3021" s="1201"/>
      <c r="S3021" s="1201"/>
      <c r="T3021" s="1201"/>
    </row>
    <row r="3022" spans="12:20">
      <c r="L3022" s="1179"/>
      <c r="M3022" s="1183"/>
      <c r="N3022" s="1183"/>
      <c r="O3022" s="1183"/>
      <c r="P3022" s="1201"/>
      <c r="Q3022" s="1201"/>
      <c r="R3022" s="1201"/>
      <c r="S3022" s="1201"/>
      <c r="T3022" s="1201"/>
    </row>
    <row r="3023" spans="12:20">
      <c r="L3023" s="1179"/>
      <c r="M3023" s="1183"/>
      <c r="N3023" s="1183"/>
      <c r="O3023" s="1183"/>
      <c r="P3023" s="1201"/>
      <c r="Q3023" s="1201"/>
      <c r="R3023" s="1201"/>
      <c r="S3023" s="1201"/>
      <c r="T3023" s="1201"/>
    </row>
    <row r="3024" spans="12:20">
      <c r="L3024" s="1179"/>
      <c r="M3024" s="1183"/>
      <c r="N3024" s="1183"/>
      <c r="O3024" s="1183"/>
      <c r="P3024" s="1201"/>
      <c r="Q3024" s="1201"/>
      <c r="R3024" s="1201"/>
      <c r="S3024" s="1201"/>
      <c r="T3024" s="1201"/>
    </row>
    <row r="3025" spans="12:20">
      <c r="L3025" s="1179"/>
      <c r="M3025" s="1183"/>
      <c r="N3025" s="1183"/>
      <c r="O3025" s="1183"/>
      <c r="P3025" s="1201"/>
      <c r="Q3025" s="1201"/>
      <c r="R3025" s="1201"/>
      <c r="S3025" s="1201"/>
      <c r="T3025" s="1201"/>
    </row>
    <row r="3026" spans="12:20">
      <c r="L3026" s="1179"/>
      <c r="M3026" s="1183"/>
      <c r="N3026" s="1183"/>
      <c r="O3026" s="1183"/>
      <c r="P3026" s="1201"/>
      <c r="Q3026" s="1201"/>
      <c r="R3026" s="1201"/>
      <c r="S3026" s="1201"/>
      <c r="T3026" s="1201"/>
    </row>
    <row r="3027" spans="12:20">
      <c r="L3027" s="1179"/>
      <c r="M3027" s="1183"/>
      <c r="N3027" s="1183"/>
      <c r="O3027" s="1183"/>
      <c r="P3027" s="1201"/>
      <c r="Q3027" s="1201"/>
      <c r="R3027" s="1201"/>
      <c r="S3027" s="1201"/>
      <c r="T3027" s="1201"/>
    </row>
    <row r="3028" spans="12:20">
      <c r="L3028" s="1179"/>
      <c r="M3028" s="1183"/>
      <c r="N3028" s="1183"/>
      <c r="O3028" s="1183"/>
      <c r="P3028" s="1201"/>
      <c r="Q3028" s="1201"/>
      <c r="R3028" s="1201"/>
      <c r="S3028" s="1201"/>
      <c r="T3028" s="1201"/>
    </row>
    <row r="3029" spans="12:20">
      <c r="L3029" s="1179"/>
      <c r="M3029" s="1183"/>
      <c r="N3029" s="1183"/>
      <c r="O3029" s="1183"/>
      <c r="P3029" s="1201"/>
      <c r="Q3029" s="1201"/>
      <c r="R3029" s="1201"/>
      <c r="S3029" s="1201"/>
      <c r="T3029" s="1201"/>
    </row>
    <row r="3030" spans="12:20">
      <c r="L3030" s="1179"/>
      <c r="M3030" s="1183"/>
      <c r="N3030" s="1183"/>
      <c r="O3030" s="1183"/>
      <c r="P3030" s="1201"/>
      <c r="Q3030" s="1201"/>
      <c r="R3030" s="1201"/>
      <c r="S3030" s="1201"/>
      <c r="T3030" s="1201"/>
    </row>
    <row r="3031" spans="12:20">
      <c r="L3031" s="1179"/>
      <c r="M3031" s="1183"/>
      <c r="N3031" s="1183"/>
      <c r="O3031" s="1183"/>
      <c r="P3031" s="1201"/>
      <c r="Q3031" s="1201"/>
      <c r="R3031" s="1201"/>
      <c r="S3031" s="1201"/>
      <c r="T3031" s="1201"/>
    </row>
    <row r="3032" spans="12:20">
      <c r="L3032" s="1179"/>
      <c r="M3032" s="1183"/>
      <c r="N3032" s="1183"/>
      <c r="O3032" s="1183"/>
      <c r="P3032" s="1201"/>
      <c r="Q3032" s="1201"/>
      <c r="R3032" s="1201"/>
      <c r="S3032" s="1201"/>
      <c r="T3032" s="1201"/>
    </row>
    <row r="3033" spans="12:20">
      <c r="L3033" s="1179"/>
      <c r="M3033" s="1183"/>
      <c r="N3033" s="1183"/>
      <c r="O3033" s="1183"/>
      <c r="P3033" s="1201"/>
      <c r="Q3033" s="1201"/>
      <c r="R3033" s="1201"/>
      <c r="S3033" s="1201"/>
      <c r="T3033" s="1201"/>
    </row>
    <row r="3034" spans="12:20">
      <c r="L3034" s="1179"/>
      <c r="M3034" s="1183"/>
      <c r="N3034" s="1183"/>
      <c r="O3034" s="1183"/>
      <c r="P3034" s="1201"/>
      <c r="Q3034" s="1201"/>
      <c r="R3034" s="1201"/>
      <c r="S3034" s="1201"/>
      <c r="T3034" s="1201"/>
    </row>
    <row r="3035" spans="12:20">
      <c r="L3035" s="1179"/>
      <c r="M3035" s="1183"/>
      <c r="N3035" s="1183"/>
      <c r="O3035" s="1183"/>
      <c r="P3035" s="1201"/>
      <c r="Q3035" s="1201"/>
      <c r="R3035" s="1201"/>
      <c r="S3035" s="1201"/>
      <c r="T3035" s="1201"/>
    </row>
    <row r="3036" spans="12:20">
      <c r="L3036" s="1179"/>
      <c r="M3036" s="1183"/>
      <c r="N3036" s="1183"/>
      <c r="O3036" s="1183"/>
      <c r="P3036" s="1201"/>
      <c r="Q3036" s="1201"/>
      <c r="R3036" s="1201"/>
      <c r="S3036" s="1201"/>
      <c r="T3036" s="1201"/>
    </row>
    <row r="3037" spans="12:20">
      <c r="L3037" s="1179"/>
      <c r="M3037" s="1183"/>
      <c r="N3037" s="1183"/>
      <c r="O3037" s="1183"/>
      <c r="P3037" s="1201"/>
      <c r="Q3037" s="1201"/>
      <c r="R3037" s="1201"/>
      <c r="S3037" s="1201"/>
      <c r="T3037" s="1201"/>
    </row>
    <row r="3038" spans="12:20">
      <c r="L3038" s="1179"/>
      <c r="M3038" s="1183"/>
      <c r="N3038" s="1183"/>
      <c r="O3038" s="1183"/>
      <c r="P3038" s="1201"/>
      <c r="Q3038" s="1201"/>
      <c r="R3038" s="1201"/>
      <c r="S3038" s="1201"/>
      <c r="T3038" s="1201"/>
    </row>
    <row r="3039" spans="12:20">
      <c r="L3039" s="1179"/>
      <c r="M3039" s="1183"/>
      <c r="N3039" s="1183"/>
      <c r="O3039" s="1183"/>
      <c r="P3039" s="1201"/>
      <c r="Q3039" s="1201"/>
      <c r="R3039" s="1201"/>
      <c r="S3039" s="1201"/>
      <c r="T3039" s="1201"/>
    </row>
    <row r="3040" spans="12:20">
      <c r="L3040" s="1179"/>
      <c r="M3040" s="1183"/>
      <c r="N3040" s="1183"/>
      <c r="O3040" s="1183"/>
      <c r="P3040" s="1201"/>
      <c r="Q3040" s="1201"/>
      <c r="R3040" s="1201"/>
      <c r="S3040" s="1201"/>
      <c r="T3040" s="1201"/>
    </row>
    <row r="3041" spans="12:20">
      <c r="L3041" s="1179"/>
      <c r="M3041" s="1183"/>
      <c r="N3041" s="1183"/>
      <c r="O3041" s="1183"/>
      <c r="P3041" s="1201"/>
      <c r="Q3041" s="1201"/>
      <c r="R3041" s="1201"/>
      <c r="S3041" s="1201"/>
      <c r="T3041" s="1201"/>
    </row>
    <row r="3042" spans="12:20">
      <c r="L3042" s="1179"/>
      <c r="M3042" s="1183"/>
      <c r="N3042" s="1183"/>
      <c r="O3042" s="1183"/>
      <c r="P3042" s="1201"/>
      <c r="Q3042" s="1201"/>
      <c r="R3042" s="1201"/>
      <c r="S3042" s="1201"/>
      <c r="T3042" s="1201"/>
    </row>
    <row r="3043" spans="12:20">
      <c r="L3043" s="1179"/>
      <c r="M3043" s="1183"/>
      <c r="N3043" s="1183"/>
      <c r="O3043" s="1183"/>
      <c r="P3043" s="1201"/>
      <c r="Q3043" s="1201"/>
      <c r="R3043" s="1201"/>
      <c r="S3043" s="1201"/>
      <c r="T3043" s="1201"/>
    </row>
    <row r="3044" spans="12:20">
      <c r="L3044" s="1179"/>
      <c r="M3044" s="1183"/>
      <c r="N3044" s="1183"/>
      <c r="O3044" s="1183"/>
      <c r="P3044" s="1201"/>
      <c r="Q3044" s="1201"/>
      <c r="R3044" s="1201"/>
      <c r="S3044" s="1201"/>
      <c r="T3044" s="1201"/>
    </row>
    <row r="3045" spans="12:20">
      <c r="L3045" s="1179"/>
      <c r="M3045" s="1183"/>
      <c r="N3045" s="1183"/>
      <c r="O3045" s="1183"/>
      <c r="P3045" s="1201"/>
      <c r="Q3045" s="1201"/>
      <c r="R3045" s="1201"/>
      <c r="S3045" s="1201"/>
      <c r="T3045" s="1201"/>
    </row>
    <row r="3046" spans="12:20">
      <c r="L3046" s="1179"/>
      <c r="M3046" s="1183"/>
      <c r="N3046" s="1183"/>
      <c r="O3046" s="1183"/>
      <c r="P3046" s="1201"/>
      <c r="Q3046" s="1201"/>
      <c r="R3046" s="1201"/>
      <c r="S3046" s="1201"/>
      <c r="T3046" s="1201"/>
    </row>
    <row r="3047" spans="12:20">
      <c r="L3047" s="1179"/>
      <c r="M3047" s="1183"/>
      <c r="N3047" s="1183"/>
      <c r="O3047" s="1183"/>
      <c r="P3047" s="1201"/>
      <c r="Q3047" s="1201"/>
      <c r="R3047" s="1201"/>
      <c r="S3047" s="1201"/>
      <c r="T3047" s="1201"/>
    </row>
    <row r="3048" spans="12:20">
      <c r="L3048" s="1179"/>
      <c r="M3048" s="1183"/>
      <c r="N3048" s="1183"/>
      <c r="O3048" s="1183"/>
      <c r="P3048" s="1201"/>
      <c r="Q3048" s="1201"/>
      <c r="R3048" s="1201"/>
      <c r="S3048" s="1201"/>
      <c r="T3048" s="1201"/>
    </row>
    <row r="3049" spans="12:20">
      <c r="L3049" s="1179"/>
      <c r="M3049" s="1183"/>
      <c r="N3049" s="1183"/>
      <c r="O3049" s="1183"/>
      <c r="P3049" s="1201"/>
      <c r="Q3049" s="1201"/>
      <c r="R3049" s="1201"/>
      <c r="S3049" s="1201"/>
      <c r="T3049" s="1201"/>
    </row>
    <row r="3050" spans="12:20">
      <c r="L3050" s="1179"/>
      <c r="M3050" s="1183"/>
      <c r="N3050" s="1183"/>
      <c r="O3050" s="1183"/>
      <c r="P3050" s="1201"/>
      <c r="Q3050" s="1201"/>
      <c r="R3050" s="1201"/>
      <c r="S3050" s="1201"/>
      <c r="T3050" s="1201"/>
    </row>
    <row r="3051" spans="12:20">
      <c r="L3051" s="1179"/>
      <c r="M3051" s="1183"/>
      <c r="N3051" s="1183"/>
      <c r="O3051" s="1183"/>
      <c r="P3051" s="1201"/>
      <c r="Q3051" s="1201"/>
      <c r="R3051" s="1201"/>
      <c r="S3051" s="1201"/>
      <c r="T3051" s="1201"/>
    </row>
    <row r="3052" spans="12:20">
      <c r="L3052" s="1179"/>
      <c r="M3052" s="1183"/>
      <c r="N3052" s="1183"/>
      <c r="O3052" s="1183"/>
      <c r="P3052" s="1201"/>
      <c r="Q3052" s="1201"/>
      <c r="R3052" s="1201"/>
      <c r="S3052" s="1201"/>
      <c r="T3052" s="1201"/>
    </row>
    <row r="3053" spans="12:20">
      <c r="L3053" s="1179"/>
      <c r="M3053" s="1183"/>
      <c r="N3053" s="1183"/>
      <c r="O3053" s="1183"/>
      <c r="P3053" s="1201"/>
      <c r="Q3053" s="1201"/>
      <c r="R3053" s="1201"/>
      <c r="S3053" s="1201"/>
      <c r="T3053" s="1201"/>
    </row>
    <row r="3054" spans="12:20">
      <c r="L3054" s="1179"/>
      <c r="M3054" s="1183"/>
      <c r="N3054" s="1183"/>
      <c r="O3054" s="1183"/>
      <c r="P3054" s="1201"/>
      <c r="Q3054" s="1201"/>
      <c r="R3054" s="1201"/>
      <c r="S3054" s="1201"/>
      <c r="T3054" s="1201"/>
    </row>
    <row r="3055" spans="12:20">
      <c r="L3055" s="1179"/>
      <c r="M3055" s="1183"/>
      <c r="N3055" s="1183"/>
      <c r="O3055" s="1183"/>
      <c r="P3055" s="1201"/>
      <c r="Q3055" s="1201"/>
      <c r="R3055" s="1201"/>
      <c r="S3055" s="1201"/>
      <c r="T3055" s="1201"/>
    </row>
    <row r="3056" spans="12:20">
      <c r="L3056" s="1179"/>
      <c r="M3056" s="1183"/>
      <c r="N3056" s="1183"/>
      <c r="O3056" s="1183"/>
      <c r="P3056" s="1201"/>
      <c r="Q3056" s="1201"/>
      <c r="R3056" s="1201"/>
      <c r="S3056" s="1201"/>
      <c r="T3056" s="1201"/>
    </row>
    <row r="3057" spans="12:20">
      <c r="L3057" s="1179"/>
      <c r="M3057" s="1183"/>
      <c r="N3057" s="1183"/>
      <c r="O3057" s="1183"/>
      <c r="P3057" s="1201"/>
      <c r="Q3057" s="1201"/>
      <c r="R3057" s="1201"/>
      <c r="S3057" s="1201"/>
      <c r="T3057" s="1201"/>
    </row>
    <row r="3058" spans="12:20">
      <c r="L3058" s="1179"/>
      <c r="M3058" s="1183"/>
      <c r="N3058" s="1183"/>
      <c r="O3058" s="1183"/>
      <c r="P3058" s="1201"/>
      <c r="Q3058" s="1201"/>
      <c r="R3058" s="1201"/>
      <c r="S3058" s="1201"/>
      <c r="T3058" s="1201"/>
    </row>
    <row r="3059" spans="12:20">
      <c r="L3059" s="1179"/>
      <c r="M3059" s="1183"/>
      <c r="N3059" s="1183"/>
      <c r="O3059" s="1183"/>
      <c r="P3059" s="1201"/>
      <c r="Q3059" s="1201"/>
      <c r="R3059" s="1201"/>
      <c r="S3059" s="1201"/>
      <c r="T3059" s="1201"/>
    </row>
    <row r="3060" spans="12:20">
      <c r="L3060" s="1179"/>
      <c r="M3060" s="1183"/>
      <c r="N3060" s="1183"/>
      <c r="O3060" s="1183"/>
      <c r="P3060" s="1201"/>
      <c r="Q3060" s="1201"/>
      <c r="R3060" s="1201"/>
      <c r="S3060" s="1201"/>
      <c r="T3060" s="1201"/>
    </row>
    <row r="3061" spans="12:20">
      <c r="L3061" s="1179"/>
      <c r="M3061" s="1183"/>
      <c r="N3061" s="1183"/>
      <c r="O3061" s="1183"/>
      <c r="P3061" s="1201"/>
      <c r="Q3061" s="1201"/>
      <c r="R3061" s="1201"/>
      <c r="S3061" s="1201"/>
      <c r="T3061" s="1201"/>
    </row>
    <row r="3062" spans="12:20">
      <c r="L3062" s="1179"/>
      <c r="M3062" s="1183"/>
      <c r="N3062" s="1183"/>
      <c r="O3062" s="1183"/>
      <c r="P3062" s="1201"/>
      <c r="Q3062" s="1201"/>
      <c r="R3062" s="1201"/>
      <c r="S3062" s="1201"/>
      <c r="T3062" s="1201"/>
    </row>
    <row r="3063" spans="12:20">
      <c r="L3063" s="1179"/>
      <c r="M3063" s="1183"/>
      <c r="N3063" s="1183"/>
      <c r="O3063" s="1183"/>
      <c r="P3063" s="1201"/>
      <c r="Q3063" s="1201"/>
      <c r="R3063" s="1201"/>
      <c r="S3063" s="1201"/>
      <c r="T3063" s="1201"/>
    </row>
    <row r="3064" spans="12:20">
      <c r="L3064" s="1179"/>
      <c r="M3064" s="1183"/>
      <c r="N3064" s="1183"/>
      <c r="O3064" s="1183"/>
      <c r="P3064" s="1201"/>
      <c r="Q3064" s="1201"/>
      <c r="R3064" s="1201"/>
      <c r="S3064" s="1201"/>
      <c r="T3064" s="1201"/>
    </row>
    <row r="3065" spans="12:20">
      <c r="L3065" s="1179"/>
      <c r="M3065" s="1183"/>
      <c r="N3065" s="1183"/>
      <c r="O3065" s="1183"/>
      <c r="P3065" s="1201"/>
      <c r="Q3065" s="1201"/>
      <c r="R3065" s="1201"/>
      <c r="S3065" s="1201"/>
      <c r="T3065" s="1201"/>
    </row>
    <row r="3066" spans="12:20">
      <c r="L3066" s="1179"/>
      <c r="M3066" s="1183"/>
      <c r="N3066" s="1183"/>
      <c r="O3066" s="1183"/>
      <c r="P3066" s="1201"/>
      <c r="Q3066" s="1201"/>
      <c r="R3066" s="1201"/>
      <c r="S3066" s="1201"/>
      <c r="T3066" s="1201"/>
    </row>
    <row r="3067" spans="12:20">
      <c r="L3067" s="1179"/>
      <c r="M3067" s="1183"/>
      <c r="N3067" s="1183"/>
      <c r="O3067" s="1183"/>
      <c r="P3067" s="1201"/>
      <c r="Q3067" s="1201"/>
      <c r="R3067" s="1201"/>
      <c r="S3067" s="1201"/>
      <c r="T3067" s="1201"/>
    </row>
    <row r="3068" spans="12:20">
      <c r="L3068" s="1179"/>
      <c r="M3068" s="1183"/>
      <c r="N3068" s="1183"/>
      <c r="O3068" s="1183"/>
      <c r="P3068" s="1201"/>
      <c r="Q3068" s="1201"/>
      <c r="R3068" s="1201"/>
      <c r="S3068" s="1201"/>
      <c r="T3068" s="1201"/>
    </row>
    <row r="3069" spans="12:20">
      <c r="L3069" s="1179"/>
      <c r="M3069" s="1183"/>
      <c r="N3069" s="1183"/>
      <c r="O3069" s="1183"/>
      <c r="P3069" s="1201"/>
      <c r="Q3069" s="1201"/>
      <c r="R3069" s="1201"/>
      <c r="S3069" s="1201"/>
      <c r="T3069" s="1201"/>
    </row>
    <row r="3070" spans="12:20">
      <c r="L3070" s="1179"/>
      <c r="M3070" s="1183"/>
      <c r="N3070" s="1183"/>
      <c r="O3070" s="1183"/>
      <c r="P3070" s="1201"/>
      <c r="Q3070" s="1201"/>
      <c r="R3070" s="1201"/>
      <c r="S3070" s="1201"/>
      <c r="T3070" s="1201"/>
    </row>
    <row r="3071" spans="12:20">
      <c r="L3071" s="1179"/>
      <c r="M3071" s="1183"/>
      <c r="N3071" s="1183"/>
      <c r="O3071" s="1183"/>
      <c r="P3071" s="1201"/>
      <c r="Q3071" s="1201"/>
      <c r="R3071" s="1201"/>
      <c r="S3071" s="1201"/>
      <c r="T3071" s="1201"/>
    </row>
    <row r="3072" spans="12:20">
      <c r="L3072" s="1179"/>
      <c r="M3072" s="1183"/>
      <c r="N3072" s="1183"/>
      <c r="O3072" s="1183"/>
      <c r="P3072" s="1201"/>
      <c r="Q3072" s="1201"/>
      <c r="R3072" s="1201"/>
      <c r="S3072" s="1201"/>
      <c r="T3072" s="1201"/>
    </row>
    <row r="3073" spans="12:20">
      <c r="L3073" s="1179"/>
      <c r="M3073" s="1183"/>
      <c r="N3073" s="1183"/>
      <c r="O3073" s="1183"/>
      <c r="P3073" s="1201"/>
      <c r="Q3073" s="1201"/>
      <c r="R3073" s="1201"/>
      <c r="S3073" s="1201"/>
      <c r="T3073" s="1201"/>
    </row>
    <row r="3074" spans="12:20">
      <c r="L3074" s="1179"/>
      <c r="M3074" s="1183"/>
      <c r="N3074" s="1183"/>
      <c r="O3074" s="1183"/>
      <c r="P3074" s="1201"/>
      <c r="Q3074" s="1201"/>
      <c r="R3074" s="1201"/>
      <c r="S3074" s="1201"/>
      <c r="T3074" s="1201"/>
    </row>
    <row r="3075" spans="12:20">
      <c r="L3075" s="1179"/>
      <c r="M3075" s="1183"/>
      <c r="N3075" s="1183"/>
      <c r="O3075" s="1183"/>
      <c r="P3075" s="1201"/>
      <c r="Q3075" s="1201"/>
      <c r="R3075" s="1201"/>
      <c r="S3075" s="1201"/>
      <c r="T3075" s="1201"/>
    </row>
    <row r="3076" spans="12:20">
      <c r="L3076" s="1179"/>
      <c r="M3076" s="1183"/>
      <c r="N3076" s="1183"/>
      <c r="O3076" s="1183"/>
      <c r="P3076" s="1201"/>
      <c r="Q3076" s="1201"/>
      <c r="R3076" s="1201"/>
      <c r="S3076" s="1201"/>
      <c r="T3076" s="1201"/>
    </row>
    <row r="3077" spans="12:20">
      <c r="L3077" s="1179"/>
      <c r="M3077" s="1183"/>
      <c r="N3077" s="1183"/>
      <c r="O3077" s="1183"/>
      <c r="P3077" s="1201"/>
      <c r="Q3077" s="1201"/>
      <c r="R3077" s="1201"/>
      <c r="S3077" s="1201"/>
      <c r="T3077" s="1201"/>
    </row>
    <row r="3078" spans="12:20">
      <c r="L3078" s="1179"/>
      <c r="M3078" s="1183"/>
      <c r="N3078" s="1183"/>
      <c r="O3078" s="1183"/>
      <c r="P3078" s="1201"/>
      <c r="Q3078" s="1201"/>
      <c r="R3078" s="1201"/>
      <c r="S3078" s="1201"/>
      <c r="T3078" s="1201"/>
    </row>
    <row r="3079" spans="12:20">
      <c r="L3079" s="1179"/>
      <c r="M3079" s="1183"/>
      <c r="N3079" s="1183"/>
      <c r="O3079" s="1183"/>
      <c r="P3079" s="1201"/>
      <c r="Q3079" s="1201"/>
      <c r="R3079" s="1201"/>
      <c r="S3079" s="1201"/>
      <c r="T3079" s="1201"/>
    </row>
    <row r="3080" spans="12:20">
      <c r="L3080" s="1179"/>
      <c r="M3080" s="1183"/>
      <c r="N3080" s="1183"/>
      <c r="O3080" s="1183"/>
      <c r="P3080" s="1201"/>
      <c r="Q3080" s="1201"/>
      <c r="R3080" s="1201"/>
      <c r="S3080" s="1201"/>
      <c r="T3080" s="1201"/>
    </row>
    <row r="3081" spans="12:20">
      <c r="L3081" s="1179"/>
      <c r="M3081" s="1183"/>
      <c r="N3081" s="1183"/>
      <c r="O3081" s="1183"/>
      <c r="P3081" s="1201"/>
      <c r="Q3081" s="1201"/>
      <c r="R3081" s="1201"/>
      <c r="S3081" s="1201"/>
      <c r="T3081" s="1201"/>
    </row>
    <row r="3082" spans="12:20">
      <c r="L3082" s="1179"/>
      <c r="M3082" s="1183"/>
      <c r="N3082" s="1183"/>
      <c r="O3082" s="1183"/>
      <c r="P3082" s="1201"/>
      <c r="Q3082" s="1201"/>
      <c r="R3082" s="1201"/>
      <c r="S3082" s="1201"/>
      <c r="T3082" s="1201"/>
    </row>
    <row r="3083" spans="12:20">
      <c r="L3083" s="1179"/>
      <c r="M3083" s="1183"/>
      <c r="N3083" s="1183"/>
      <c r="O3083" s="1183"/>
      <c r="P3083" s="1201"/>
      <c r="Q3083" s="1201"/>
      <c r="R3083" s="1201"/>
      <c r="S3083" s="1201"/>
      <c r="T3083" s="1201"/>
    </row>
    <row r="3084" spans="12:20">
      <c r="L3084" s="1179"/>
      <c r="M3084" s="1183"/>
      <c r="N3084" s="1183"/>
      <c r="O3084" s="1183"/>
      <c r="P3084" s="1201"/>
      <c r="Q3084" s="1201"/>
      <c r="R3084" s="1201"/>
      <c r="S3084" s="1201"/>
      <c r="T3084" s="1201"/>
    </row>
    <row r="3085" spans="12:20">
      <c r="L3085" s="1179"/>
      <c r="M3085" s="1183"/>
      <c r="N3085" s="1183"/>
      <c r="O3085" s="1183"/>
      <c r="P3085" s="1201"/>
      <c r="Q3085" s="1201"/>
      <c r="R3085" s="1201"/>
      <c r="S3085" s="1201"/>
      <c r="T3085" s="1201"/>
    </row>
    <row r="3086" spans="12:20">
      <c r="L3086" s="1179"/>
      <c r="M3086" s="1183"/>
      <c r="N3086" s="1183"/>
      <c r="O3086" s="1183"/>
      <c r="P3086" s="1201"/>
      <c r="Q3086" s="1201"/>
      <c r="R3086" s="1201"/>
      <c r="S3086" s="1201"/>
      <c r="T3086" s="1201"/>
    </row>
    <row r="3087" spans="12:20">
      <c r="L3087" s="1179"/>
      <c r="M3087" s="1183"/>
      <c r="N3087" s="1183"/>
      <c r="O3087" s="1183"/>
      <c r="P3087" s="1201"/>
      <c r="Q3087" s="1201"/>
      <c r="R3087" s="1201"/>
      <c r="S3087" s="1201"/>
      <c r="T3087" s="1201"/>
    </row>
    <row r="3088" spans="12:20">
      <c r="L3088" s="1179"/>
      <c r="M3088" s="1183"/>
      <c r="N3088" s="1183"/>
      <c r="O3088" s="1183"/>
      <c r="P3088" s="1201"/>
      <c r="Q3088" s="1201"/>
      <c r="R3088" s="1201"/>
      <c r="S3088" s="1201"/>
      <c r="T3088" s="1201"/>
    </row>
    <row r="3089" spans="12:20">
      <c r="L3089" s="1179"/>
      <c r="M3089" s="1183"/>
      <c r="N3089" s="1183"/>
      <c r="O3089" s="1183"/>
      <c r="P3089" s="1201"/>
      <c r="Q3089" s="1201"/>
      <c r="R3089" s="1201"/>
      <c r="S3089" s="1201"/>
      <c r="T3089" s="1201"/>
    </row>
    <row r="3090" spans="12:20">
      <c r="L3090" s="1179"/>
      <c r="M3090" s="1183"/>
      <c r="N3090" s="1183"/>
      <c r="O3090" s="1183"/>
      <c r="P3090" s="1201"/>
      <c r="Q3090" s="1201"/>
      <c r="R3090" s="1201"/>
      <c r="S3090" s="1201"/>
      <c r="T3090" s="1201"/>
    </row>
    <row r="3091" spans="12:20">
      <c r="L3091" s="1179"/>
      <c r="M3091" s="1183"/>
      <c r="N3091" s="1183"/>
      <c r="O3091" s="1183"/>
      <c r="P3091" s="1201"/>
      <c r="Q3091" s="1201"/>
      <c r="R3091" s="1201"/>
      <c r="S3091" s="1201"/>
      <c r="T3091" s="1201"/>
    </row>
    <row r="3092" spans="12:20">
      <c r="L3092" s="1179"/>
      <c r="M3092" s="1183"/>
      <c r="N3092" s="1183"/>
      <c r="O3092" s="1183"/>
      <c r="P3092" s="1201"/>
      <c r="Q3092" s="1201"/>
      <c r="R3092" s="1201"/>
      <c r="S3092" s="1201"/>
      <c r="T3092" s="1201"/>
    </row>
    <row r="3093" spans="12:20">
      <c r="L3093" s="1179"/>
      <c r="M3093" s="1183"/>
      <c r="N3093" s="1183"/>
      <c r="O3093" s="1183"/>
      <c r="P3093" s="1201"/>
      <c r="Q3093" s="1201"/>
      <c r="R3093" s="1201"/>
      <c r="S3093" s="1201"/>
      <c r="T3093" s="1201"/>
    </row>
    <row r="3094" spans="12:20">
      <c r="L3094" s="1179"/>
      <c r="M3094" s="1183"/>
      <c r="N3094" s="1183"/>
      <c r="O3094" s="1183"/>
      <c r="P3094" s="1201"/>
      <c r="Q3094" s="1201"/>
      <c r="R3094" s="1201"/>
      <c r="S3094" s="1201"/>
      <c r="T3094" s="1201"/>
    </row>
    <row r="3095" spans="12:20">
      <c r="L3095" s="1179"/>
      <c r="M3095" s="1183"/>
      <c r="N3095" s="1183"/>
      <c r="O3095" s="1183"/>
      <c r="P3095" s="1201"/>
      <c r="Q3095" s="1201"/>
      <c r="R3095" s="1201"/>
      <c r="S3095" s="1201"/>
      <c r="T3095" s="1201"/>
    </row>
    <row r="3096" spans="12:20">
      <c r="L3096" s="1179"/>
      <c r="M3096" s="1183"/>
      <c r="N3096" s="1183"/>
      <c r="O3096" s="1183"/>
      <c r="P3096" s="1201"/>
      <c r="Q3096" s="1201"/>
      <c r="R3096" s="1201"/>
      <c r="S3096" s="1201"/>
      <c r="T3096" s="1201"/>
    </row>
    <row r="3097" spans="12:20">
      <c r="L3097" s="1179"/>
      <c r="M3097" s="1183"/>
      <c r="N3097" s="1183"/>
      <c r="O3097" s="1183"/>
      <c r="P3097" s="1201"/>
      <c r="Q3097" s="1201"/>
      <c r="R3097" s="1201"/>
      <c r="S3097" s="1201"/>
      <c r="T3097" s="1201"/>
    </row>
    <row r="3098" spans="12:20">
      <c r="L3098" s="1179"/>
      <c r="M3098" s="1183"/>
      <c r="N3098" s="1183"/>
      <c r="O3098" s="1183"/>
      <c r="P3098" s="1201"/>
      <c r="Q3098" s="1201"/>
      <c r="R3098" s="1201"/>
      <c r="S3098" s="1201"/>
      <c r="T3098" s="1201"/>
    </row>
    <row r="3099" spans="12:20">
      <c r="L3099" s="1179"/>
      <c r="M3099" s="1183"/>
      <c r="N3099" s="1183"/>
      <c r="O3099" s="1183"/>
      <c r="P3099" s="1201"/>
      <c r="Q3099" s="1201"/>
      <c r="R3099" s="1201"/>
      <c r="S3099" s="1201"/>
      <c r="T3099" s="1201"/>
    </row>
    <row r="3100" spans="12:20">
      <c r="L3100" s="1179"/>
      <c r="M3100" s="1183"/>
      <c r="N3100" s="1183"/>
      <c r="O3100" s="1183"/>
      <c r="P3100" s="1201"/>
      <c r="Q3100" s="1201"/>
      <c r="R3100" s="1201"/>
      <c r="S3100" s="1201"/>
      <c r="T3100" s="1201"/>
    </row>
    <row r="3101" spans="12:20">
      <c r="L3101" s="1179"/>
      <c r="M3101" s="1183"/>
      <c r="N3101" s="1183"/>
      <c r="O3101" s="1183"/>
      <c r="P3101" s="1201"/>
      <c r="Q3101" s="1201"/>
      <c r="R3101" s="1201"/>
      <c r="S3101" s="1201"/>
      <c r="T3101" s="1201"/>
    </row>
    <row r="3102" spans="12:20">
      <c r="L3102" s="1179"/>
      <c r="M3102" s="1183"/>
      <c r="N3102" s="1183"/>
      <c r="O3102" s="1183"/>
      <c r="P3102" s="1201"/>
      <c r="Q3102" s="1201"/>
      <c r="R3102" s="1201"/>
      <c r="S3102" s="1201"/>
      <c r="T3102" s="1201"/>
    </row>
    <row r="3103" spans="12:20">
      <c r="L3103" s="1179"/>
      <c r="M3103" s="1183"/>
      <c r="N3103" s="1183"/>
      <c r="O3103" s="1183"/>
      <c r="P3103" s="1201"/>
      <c r="Q3103" s="1201"/>
      <c r="R3103" s="1201"/>
      <c r="S3103" s="1201"/>
      <c r="T3103" s="1201"/>
    </row>
    <row r="3104" spans="12:20">
      <c r="L3104" s="1179"/>
      <c r="M3104" s="1183"/>
      <c r="N3104" s="1183"/>
      <c r="O3104" s="1183"/>
      <c r="P3104" s="1201"/>
      <c r="Q3104" s="1201"/>
      <c r="R3104" s="1201"/>
      <c r="S3104" s="1201"/>
      <c r="T3104" s="1201"/>
    </row>
    <row r="3105" spans="12:20">
      <c r="L3105" s="1179"/>
      <c r="M3105" s="1183"/>
      <c r="N3105" s="1183"/>
      <c r="O3105" s="1183"/>
      <c r="P3105" s="1201"/>
      <c r="Q3105" s="1201"/>
      <c r="R3105" s="1201"/>
      <c r="S3105" s="1201"/>
      <c r="T3105" s="1201"/>
    </row>
    <row r="3106" spans="12:20">
      <c r="L3106" s="1179"/>
      <c r="M3106" s="1183"/>
      <c r="N3106" s="1183"/>
      <c r="O3106" s="1183"/>
      <c r="P3106" s="1201"/>
      <c r="Q3106" s="1201"/>
      <c r="R3106" s="1201"/>
      <c r="S3106" s="1201"/>
      <c r="T3106" s="1201"/>
    </row>
    <row r="3107" spans="12:20">
      <c r="L3107" s="1179"/>
      <c r="M3107" s="1183"/>
      <c r="N3107" s="1183"/>
      <c r="O3107" s="1183"/>
      <c r="P3107" s="1201"/>
      <c r="Q3107" s="1201"/>
      <c r="R3107" s="1201"/>
      <c r="S3107" s="1201"/>
      <c r="T3107" s="1201"/>
    </row>
    <row r="3108" spans="12:20">
      <c r="L3108" s="1179"/>
      <c r="M3108" s="1183"/>
      <c r="N3108" s="1183"/>
      <c r="O3108" s="1183"/>
      <c r="P3108" s="1201"/>
      <c r="Q3108" s="1201"/>
      <c r="R3108" s="1201"/>
      <c r="S3108" s="1201"/>
      <c r="T3108" s="1201"/>
    </row>
    <row r="3109" spans="12:20">
      <c r="L3109" s="1179"/>
      <c r="M3109" s="1183"/>
      <c r="N3109" s="1183"/>
      <c r="O3109" s="1183"/>
      <c r="P3109" s="1201"/>
      <c r="Q3109" s="1201"/>
      <c r="R3109" s="1201"/>
      <c r="S3109" s="1201"/>
      <c r="T3109" s="1201"/>
    </row>
    <row r="3110" spans="12:20">
      <c r="L3110" s="1179"/>
      <c r="M3110" s="1183"/>
      <c r="N3110" s="1183"/>
      <c r="O3110" s="1183"/>
      <c r="P3110" s="1201"/>
      <c r="Q3110" s="1201"/>
      <c r="R3110" s="1201"/>
      <c r="S3110" s="1201"/>
      <c r="T3110" s="1201"/>
    </row>
    <row r="3111" spans="12:20">
      <c r="L3111" s="1179"/>
      <c r="M3111" s="1183"/>
      <c r="N3111" s="1183"/>
      <c r="O3111" s="1183"/>
      <c r="P3111" s="1201"/>
      <c r="Q3111" s="1201"/>
      <c r="R3111" s="1201"/>
      <c r="S3111" s="1201"/>
      <c r="T3111" s="1201"/>
    </row>
    <row r="3112" spans="12:20">
      <c r="L3112" s="1179"/>
      <c r="M3112" s="1183"/>
      <c r="N3112" s="1183"/>
      <c r="O3112" s="1183"/>
      <c r="P3112" s="1201"/>
      <c r="Q3112" s="1201"/>
      <c r="R3112" s="1201"/>
      <c r="S3112" s="1201"/>
      <c r="T3112" s="1201"/>
    </row>
    <row r="3113" spans="12:20">
      <c r="L3113" s="1179"/>
      <c r="M3113" s="1183"/>
      <c r="N3113" s="1183"/>
      <c r="O3113" s="1183"/>
      <c r="P3113" s="1201"/>
      <c r="Q3113" s="1201"/>
      <c r="R3113" s="1201"/>
      <c r="S3113" s="1201"/>
      <c r="T3113" s="1201"/>
    </row>
    <row r="3114" spans="12:20">
      <c r="L3114" s="1179"/>
      <c r="M3114" s="1183"/>
      <c r="N3114" s="1183"/>
      <c r="O3114" s="1183"/>
      <c r="P3114" s="1201"/>
      <c r="Q3114" s="1201"/>
      <c r="R3114" s="1201"/>
      <c r="S3114" s="1201"/>
      <c r="T3114" s="1201"/>
    </row>
    <row r="3115" spans="12:20">
      <c r="L3115" s="1179"/>
      <c r="M3115" s="1183"/>
      <c r="N3115" s="1183"/>
      <c r="O3115" s="1183"/>
      <c r="P3115" s="1201"/>
      <c r="Q3115" s="1201"/>
      <c r="R3115" s="1201"/>
      <c r="S3115" s="1201"/>
      <c r="T3115" s="1201"/>
    </row>
    <row r="3116" spans="12:20">
      <c r="L3116" s="1179"/>
      <c r="M3116" s="1183"/>
      <c r="N3116" s="1183"/>
      <c r="O3116" s="1183"/>
      <c r="P3116" s="1201"/>
      <c r="Q3116" s="1201"/>
      <c r="R3116" s="1201"/>
      <c r="S3116" s="1201"/>
      <c r="T3116" s="1201"/>
    </row>
    <row r="3117" spans="12:20">
      <c r="L3117" s="1179"/>
      <c r="M3117" s="1183"/>
      <c r="N3117" s="1183"/>
      <c r="O3117" s="1183"/>
      <c r="P3117" s="1201"/>
      <c r="Q3117" s="1201"/>
      <c r="R3117" s="1201"/>
      <c r="S3117" s="1201"/>
      <c r="T3117" s="1201"/>
    </row>
    <row r="3118" spans="12:20">
      <c r="L3118" s="1179"/>
      <c r="M3118" s="1183"/>
      <c r="N3118" s="1183"/>
      <c r="O3118" s="1183"/>
      <c r="P3118" s="1201"/>
      <c r="Q3118" s="1201"/>
      <c r="R3118" s="1201"/>
      <c r="S3118" s="1201"/>
      <c r="T3118" s="1201"/>
    </row>
    <row r="3119" spans="12:20">
      <c r="L3119" s="1179"/>
      <c r="M3119" s="1183"/>
      <c r="N3119" s="1183"/>
      <c r="O3119" s="1183"/>
      <c r="P3119" s="1201"/>
      <c r="Q3119" s="1201"/>
      <c r="R3119" s="1201"/>
      <c r="S3119" s="1201"/>
      <c r="T3119" s="1201"/>
    </row>
    <row r="3120" spans="12:20">
      <c r="L3120" s="1179"/>
      <c r="M3120" s="1183"/>
      <c r="N3120" s="1183"/>
      <c r="O3120" s="1183"/>
      <c r="P3120" s="1201"/>
      <c r="Q3120" s="1201"/>
      <c r="R3120" s="1201"/>
      <c r="S3120" s="1201"/>
      <c r="T3120" s="1201"/>
    </row>
    <row r="3121" spans="12:20">
      <c r="L3121" s="1179"/>
      <c r="M3121" s="1183"/>
      <c r="N3121" s="1183"/>
      <c r="O3121" s="1183"/>
      <c r="P3121" s="1201"/>
      <c r="Q3121" s="1201"/>
      <c r="R3121" s="1201"/>
      <c r="S3121" s="1201"/>
      <c r="T3121" s="1201"/>
    </row>
    <row r="3122" spans="12:20">
      <c r="L3122" s="1179"/>
      <c r="M3122" s="1183"/>
      <c r="N3122" s="1183"/>
      <c r="O3122" s="1183"/>
      <c r="P3122" s="1201"/>
      <c r="Q3122" s="1201"/>
      <c r="R3122" s="1201"/>
      <c r="S3122" s="1201"/>
      <c r="T3122" s="1201"/>
    </row>
    <row r="3123" spans="12:20">
      <c r="L3123" s="1179"/>
      <c r="M3123" s="1183"/>
      <c r="N3123" s="1183"/>
      <c r="O3123" s="1183"/>
      <c r="P3123" s="1201"/>
      <c r="Q3123" s="1201"/>
      <c r="R3123" s="1201"/>
      <c r="S3123" s="1201"/>
      <c r="T3123" s="1201"/>
    </row>
    <row r="3124" spans="12:20">
      <c r="L3124" s="1179"/>
      <c r="M3124" s="1183"/>
      <c r="N3124" s="1183"/>
      <c r="O3124" s="1183"/>
      <c r="P3124" s="1201"/>
      <c r="Q3124" s="1201"/>
      <c r="R3124" s="1201"/>
      <c r="S3124" s="1201"/>
      <c r="T3124" s="1201"/>
    </row>
    <row r="3125" spans="12:20">
      <c r="L3125" s="1179"/>
      <c r="M3125" s="1183"/>
      <c r="N3125" s="1183"/>
      <c r="O3125" s="1183"/>
      <c r="P3125" s="1201"/>
      <c r="Q3125" s="1201"/>
      <c r="R3125" s="1201"/>
      <c r="S3125" s="1201"/>
      <c r="T3125" s="1201"/>
    </row>
    <row r="3126" spans="12:20">
      <c r="L3126" s="1179"/>
      <c r="M3126" s="1183"/>
      <c r="N3126" s="1183"/>
      <c r="O3126" s="1183"/>
      <c r="P3126" s="1201"/>
      <c r="Q3126" s="1201"/>
      <c r="R3126" s="1201"/>
      <c r="S3126" s="1201"/>
      <c r="T3126" s="1201"/>
    </row>
    <row r="3127" spans="12:20">
      <c r="L3127" s="1179"/>
      <c r="M3127" s="1183"/>
      <c r="N3127" s="1183"/>
      <c r="O3127" s="1183"/>
      <c r="P3127" s="1201"/>
      <c r="Q3127" s="1201"/>
      <c r="R3127" s="1201"/>
      <c r="S3127" s="1201"/>
      <c r="T3127" s="1201"/>
    </row>
    <row r="3128" spans="12:20">
      <c r="L3128" s="1179"/>
      <c r="M3128" s="1183"/>
      <c r="N3128" s="1183"/>
      <c r="O3128" s="1183"/>
      <c r="P3128" s="1201"/>
      <c r="Q3128" s="1201"/>
      <c r="R3128" s="1201"/>
      <c r="S3128" s="1201"/>
      <c r="T3128" s="1201"/>
    </row>
    <row r="3129" spans="12:20">
      <c r="L3129" s="1179"/>
      <c r="M3129" s="1183"/>
      <c r="N3129" s="1183"/>
      <c r="O3129" s="1183"/>
      <c r="P3129" s="1201"/>
      <c r="Q3129" s="1201"/>
      <c r="R3129" s="1201"/>
      <c r="S3129" s="1201"/>
      <c r="T3129" s="1201"/>
    </row>
    <row r="3130" spans="12:20">
      <c r="L3130" s="1179"/>
      <c r="M3130" s="1183"/>
      <c r="N3130" s="1183"/>
      <c r="O3130" s="1183"/>
      <c r="P3130" s="1201"/>
      <c r="Q3130" s="1201"/>
      <c r="R3130" s="1201"/>
      <c r="S3130" s="1201"/>
      <c r="T3130" s="1201"/>
    </row>
    <row r="3131" spans="12:20">
      <c r="L3131" s="1179"/>
      <c r="M3131" s="1183"/>
      <c r="N3131" s="1183"/>
      <c r="O3131" s="1183"/>
      <c r="P3131" s="1201"/>
      <c r="Q3131" s="1201"/>
      <c r="R3131" s="1201"/>
      <c r="S3131" s="1201"/>
      <c r="T3131" s="1201"/>
    </row>
    <row r="3132" spans="12:20">
      <c r="L3132" s="1179"/>
      <c r="M3132" s="1183"/>
      <c r="N3132" s="1183"/>
      <c r="O3132" s="1183"/>
      <c r="P3132" s="1201"/>
      <c r="Q3132" s="1201"/>
      <c r="R3132" s="1201"/>
      <c r="S3132" s="1201"/>
      <c r="T3132" s="1201"/>
    </row>
    <row r="3133" spans="12:20">
      <c r="L3133" s="1179"/>
      <c r="M3133" s="1183"/>
      <c r="N3133" s="1183"/>
      <c r="O3133" s="1183"/>
      <c r="P3133" s="1201"/>
      <c r="Q3133" s="1201"/>
      <c r="R3133" s="1201"/>
      <c r="S3133" s="1201"/>
      <c r="T3133" s="1201"/>
    </row>
    <row r="3134" spans="12:20">
      <c r="L3134" s="1179"/>
      <c r="M3134" s="1183"/>
      <c r="N3134" s="1183"/>
      <c r="O3134" s="1183"/>
      <c r="P3134" s="1201"/>
      <c r="Q3134" s="1201"/>
      <c r="R3134" s="1201"/>
      <c r="S3134" s="1201"/>
      <c r="T3134" s="1201"/>
    </row>
    <row r="3135" spans="12:20">
      <c r="L3135" s="1179"/>
      <c r="M3135" s="1183"/>
      <c r="N3135" s="1183"/>
      <c r="O3135" s="1183"/>
      <c r="P3135" s="1201"/>
      <c r="Q3135" s="1201"/>
      <c r="R3135" s="1201"/>
      <c r="S3135" s="1201"/>
      <c r="T3135" s="1201"/>
    </row>
    <row r="3136" spans="12:20">
      <c r="L3136" s="1179"/>
      <c r="M3136" s="1183"/>
      <c r="N3136" s="1183"/>
      <c r="O3136" s="1183"/>
      <c r="P3136" s="1201"/>
      <c r="Q3136" s="1201"/>
      <c r="R3136" s="1201"/>
      <c r="S3136" s="1201"/>
      <c r="T3136" s="1201"/>
    </row>
    <row r="3137" spans="12:20">
      <c r="L3137" s="1179"/>
      <c r="M3137" s="1183"/>
      <c r="N3137" s="1183"/>
      <c r="O3137" s="1183"/>
      <c r="P3137" s="1201"/>
      <c r="Q3137" s="1201"/>
      <c r="R3137" s="1201"/>
      <c r="S3137" s="1201"/>
      <c r="T3137" s="1201"/>
    </row>
    <row r="3138" spans="12:20">
      <c r="L3138" s="1179"/>
      <c r="M3138" s="1183"/>
      <c r="N3138" s="1183"/>
      <c r="O3138" s="1183"/>
      <c r="P3138" s="1201"/>
      <c r="Q3138" s="1201"/>
      <c r="R3138" s="1201"/>
      <c r="S3138" s="1201"/>
      <c r="T3138" s="1201"/>
    </row>
    <row r="3139" spans="12:20">
      <c r="L3139" s="1179"/>
      <c r="M3139" s="1183"/>
      <c r="N3139" s="1183"/>
      <c r="O3139" s="1183"/>
      <c r="P3139" s="1201"/>
      <c r="Q3139" s="1201"/>
      <c r="R3139" s="1201"/>
      <c r="S3139" s="1201"/>
      <c r="T3139" s="1201"/>
    </row>
    <row r="3140" spans="12:20">
      <c r="L3140" s="1179"/>
      <c r="M3140" s="1183"/>
      <c r="N3140" s="1183"/>
      <c r="O3140" s="1183"/>
      <c r="P3140" s="1201"/>
      <c r="Q3140" s="1201"/>
      <c r="R3140" s="1201"/>
      <c r="S3140" s="1201"/>
      <c r="T3140" s="1201"/>
    </row>
    <row r="3141" spans="12:20">
      <c r="L3141" s="1179"/>
      <c r="M3141" s="1183"/>
      <c r="N3141" s="1183"/>
      <c r="O3141" s="1183"/>
      <c r="P3141" s="1201"/>
      <c r="Q3141" s="1201"/>
      <c r="R3141" s="1201"/>
      <c r="S3141" s="1201"/>
      <c r="T3141" s="1201"/>
    </row>
    <row r="3142" spans="12:20">
      <c r="L3142" s="1179"/>
      <c r="M3142" s="1183"/>
      <c r="N3142" s="1183"/>
      <c r="O3142" s="1183"/>
      <c r="P3142" s="1201"/>
      <c r="Q3142" s="1201"/>
      <c r="R3142" s="1201"/>
      <c r="S3142" s="1201"/>
      <c r="T3142" s="1201"/>
    </row>
    <row r="3143" spans="12:20">
      <c r="L3143" s="1179"/>
      <c r="M3143" s="1183"/>
      <c r="N3143" s="1183"/>
      <c r="O3143" s="1183"/>
      <c r="P3143" s="1201"/>
      <c r="Q3143" s="1201"/>
      <c r="R3143" s="1201"/>
      <c r="S3143" s="1201"/>
      <c r="T3143" s="1201"/>
    </row>
    <row r="3144" spans="12:20">
      <c r="L3144" s="1179"/>
      <c r="M3144" s="1183"/>
      <c r="N3144" s="1183"/>
      <c r="O3144" s="1183"/>
      <c r="P3144" s="1201"/>
      <c r="Q3144" s="1201"/>
      <c r="R3144" s="1201"/>
      <c r="S3144" s="1201"/>
      <c r="T3144" s="1201"/>
    </row>
    <row r="3145" spans="12:20">
      <c r="L3145" s="1179"/>
      <c r="M3145" s="1183"/>
      <c r="N3145" s="1183"/>
      <c r="O3145" s="1183"/>
      <c r="P3145" s="1201"/>
      <c r="Q3145" s="1201"/>
      <c r="R3145" s="1201"/>
      <c r="S3145" s="1201"/>
      <c r="T3145" s="1201"/>
    </row>
    <row r="3146" spans="12:20">
      <c r="L3146" s="1179"/>
      <c r="M3146" s="1183"/>
      <c r="N3146" s="1183"/>
      <c r="O3146" s="1183"/>
      <c r="P3146" s="1201"/>
      <c r="Q3146" s="1201"/>
      <c r="R3146" s="1201"/>
      <c r="S3146" s="1201"/>
      <c r="T3146" s="1201"/>
    </row>
    <row r="3147" spans="12:20">
      <c r="L3147" s="1179"/>
      <c r="M3147" s="1183"/>
      <c r="N3147" s="1183"/>
      <c r="O3147" s="1183"/>
      <c r="P3147" s="1201"/>
      <c r="Q3147" s="1201"/>
      <c r="R3147" s="1201"/>
      <c r="S3147" s="1201"/>
      <c r="T3147" s="1201"/>
    </row>
    <row r="3148" spans="12:20">
      <c r="L3148" s="1179"/>
      <c r="M3148" s="1183"/>
      <c r="N3148" s="1183"/>
      <c r="O3148" s="1183"/>
      <c r="P3148" s="1201"/>
      <c r="Q3148" s="1201"/>
      <c r="R3148" s="1201"/>
      <c r="S3148" s="1201"/>
      <c r="T3148" s="1201"/>
    </row>
    <row r="3149" spans="12:20">
      <c r="L3149" s="1179"/>
      <c r="M3149" s="1183"/>
      <c r="N3149" s="1183"/>
      <c r="O3149" s="1183"/>
      <c r="P3149" s="1201"/>
      <c r="Q3149" s="1201"/>
      <c r="R3149" s="1201"/>
      <c r="S3149" s="1201"/>
      <c r="T3149" s="1201"/>
    </row>
    <row r="3150" spans="12:20">
      <c r="L3150" s="1179"/>
      <c r="M3150" s="1183"/>
      <c r="N3150" s="1183"/>
      <c r="O3150" s="1183"/>
      <c r="P3150" s="1201"/>
      <c r="Q3150" s="1201"/>
      <c r="R3150" s="1201"/>
      <c r="S3150" s="1201"/>
      <c r="T3150" s="1201"/>
    </row>
    <row r="3151" spans="12:20">
      <c r="L3151" s="1179"/>
      <c r="M3151" s="1183"/>
      <c r="N3151" s="1183"/>
      <c r="O3151" s="1183"/>
      <c r="P3151" s="1201"/>
      <c r="Q3151" s="1201"/>
      <c r="R3151" s="1201"/>
      <c r="S3151" s="1201"/>
      <c r="T3151" s="1201"/>
    </row>
    <row r="3152" spans="12:20">
      <c r="L3152" s="1179"/>
      <c r="M3152" s="1183"/>
      <c r="N3152" s="1183"/>
      <c r="O3152" s="1183"/>
      <c r="P3152" s="1201"/>
      <c r="Q3152" s="1201"/>
      <c r="R3152" s="1201"/>
      <c r="S3152" s="1201"/>
      <c r="T3152" s="1201"/>
    </row>
    <row r="3153" spans="12:20">
      <c r="L3153" s="1179"/>
      <c r="M3153" s="1183"/>
      <c r="N3153" s="1183"/>
      <c r="O3153" s="1183"/>
      <c r="P3153" s="1201"/>
      <c r="Q3153" s="1201"/>
      <c r="R3153" s="1201"/>
      <c r="S3153" s="1201"/>
      <c r="T3153" s="1201"/>
    </row>
    <row r="3154" spans="12:20">
      <c r="L3154" s="1179"/>
      <c r="M3154" s="1183"/>
      <c r="N3154" s="1183"/>
      <c r="O3154" s="1183"/>
      <c r="P3154" s="1201"/>
      <c r="Q3154" s="1201"/>
      <c r="R3154" s="1201"/>
      <c r="S3154" s="1201"/>
      <c r="T3154" s="1201"/>
    </row>
    <row r="3155" spans="12:20">
      <c r="L3155" s="1179"/>
      <c r="M3155" s="1183"/>
      <c r="N3155" s="1183"/>
      <c r="O3155" s="1183"/>
      <c r="P3155" s="1201"/>
      <c r="Q3155" s="1201"/>
      <c r="R3155" s="1201"/>
      <c r="S3155" s="1201"/>
      <c r="T3155" s="1201"/>
    </row>
    <row r="3156" spans="12:20">
      <c r="L3156" s="1179"/>
      <c r="M3156" s="1183"/>
      <c r="N3156" s="1183"/>
      <c r="O3156" s="1183"/>
      <c r="P3156" s="1201"/>
      <c r="Q3156" s="1201"/>
      <c r="R3156" s="1201"/>
      <c r="S3156" s="1201"/>
      <c r="T3156" s="1201"/>
    </row>
    <row r="3157" spans="12:20">
      <c r="L3157" s="1179"/>
      <c r="M3157" s="1183"/>
      <c r="N3157" s="1183"/>
      <c r="O3157" s="1183"/>
      <c r="P3157" s="1201"/>
      <c r="Q3157" s="1201"/>
      <c r="R3157" s="1201"/>
      <c r="S3157" s="1201"/>
      <c r="T3157" s="1201"/>
    </row>
    <row r="3158" spans="12:20">
      <c r="L3158" s="1179"/>
      <c r="M3158" s="1183"/>
      <c r="N3158" s="1183"/>
      <c r="O3158" s="1183"/>
      <c r="P3158" s="1201"/>
      <c r="Q3158" s="1201"/>
      <c r="R3158" s="1201"/>
      <c r="S3158" s="1201"/>
      <c r="T3158" s="1201"/>
    </row>
    <row r="3159" spans="12:20">
      <c r="L3159" s="1179"/>
      <c r="M3159" s="1183"/>
      <c r="N3159" s="1183"/>
      <c r="O3159" s="1183"/>
      <c r="P3159" s="1201"/>
      <c r="Q3159" s="1201"/>
      <c r="R3159" s="1201"/>
      <c r="S3159" s="1201"/>
      <c r="T3159" s="1201"/>
    </row>
    <row r="3160" spans="12:20">
      <c r="L3160" s="1179"/>
      <c r="M3160" s="1183"/>
      <c r="N3160" s="1183"/>
      <c r="O3160" s="1183"/>
      <c r="P3160" s="1201"/>
      <c r="Q3160" s="1201"/>
      <c r="R3160" s="1201"/>
      <c r="S3160" s="1201"/>
      <c r="T3160" s="1201"/>
    </row>
    <row r="3161" spans="12:20">
      <c r="L3161" s="1179"/>
      <c r="M3161" s="1183"/>
      <c r="N3161" s="1183"/>
      <c r="O3161" s="1183"/>
      <c r="P3161" s="1201"/>
      <c r="Q3161" s="1201"/>
      <c r="R3161" s="1201"/>
      <c r="S3161" s="1201"/>
      <c r="T3161" s="1201"/>
    </row>
    <row r="3162" spans="12:20">
      <c r="L3162" s="1179"/>
      <c r="M3162" s="1183"/>
      <c r="N3162" s="1183"/>
      <c r="O3162" s="1183"/>
      <c r="P3162" s="1201"/>
      <c r="Q3162" s="1201"/>
      <c r="R3162" s="1201"/>
      <c r="S3162" s="1201"/>
      <c r="T3162" s="1201"/>
    </row>
    <row r="3163" spans="12:20">
      <c r="L3163" s="1179"/>
      <c r="M3163" s="1183"/>
      <c r="N3163" s="1183"/>
      <c r="O3163" s="1183"/>
      <c r="P3163" s="1201"/>
      <c r="Q3163" s="1201"/>
      <c r="R3163" s="1201"/>
      <c r="S3163" s="1201"/>
      <c r="T3163" s="1201"/>
    </row>
    <row r="3164" spans="12:20">
      <c r="L3164" s="1179"/>
      <c r="M3164" s="1183"/>
      <c r="N3164" s="1183"/>
      <c r="O3164" s="1183"/>
      <c r="P3164" s="1201"/>
      <c r="Q3164" s="1201"/>
      <c r="R3164" s="1201"/>
      <c r="S3164" s="1201"/>
      <c r="T3164" s="1201"/>
    </row>
    <row r="3165" spans="12:20">
      <c r="L3165" s="1179"/>
      <c r="M3165" s="1183"/>
      <c r="N3165" s="1183"/>
      <c r="O3165" s="1183"/>
      <c r="P3165" s="1201"/>
      <c r="Q3165" s="1201"/>
      <c r="R3165" s="1201"/>
      <c r="S3165" s="1201"/>
      <c r="T3165" s="1201"/>
    </row>
    <row r="3166" spans="12:20">
      <c r="L3166" s="1179"/>
      <c r="M3166" s="1183"/>
      <c r="N3166" s="1183"/>
      <c r="O3166" s="1183"/>
      <c r="P3166" s="1201"/>
      <c r="Q3166" s="1201"/>
      <c r="R3166" s="1201"/>
      <c r="S3166" s="1201"/>
      <c r="T3166" s="1201"/>
    </row>
    <row r="3167" spans="12:20">
      <c r="L3167" s="1179"/>
      <c r="M3167" s="1183"/>
      <c r="N3167" s="1183"/>
      <c r="O3167" s="1183"/>
      <c r="P3167" s="1201"/>
      <c r="Q3167" s="1201"/>
      <c r="R3167" s="1201"/>
      <c r="S3167" s="1201"/>
      <c r="T3167" s="1201"/>
    </row>
    <row r="3168" spans="12:20">
      <c r="L3168" s="1179"/>
      <c r="M3168" s="1183"/>
      <c r="N3168" s="1183"/>
      <c r="O3168" s="1183"/>
      <c r="P3168" s="1201"/>
      <c r="Q3168" s="1201"/>
      <c r="R3168" s="1201"/>
      <c r="S3168" s="1201"/>
      <c r="T3168" s="1201"/>
    </row>
    <row r="3169" spans="12:20">
      <c r="L3169" s="1179"/>
      <c r="M3169" s="1183"/>
      <c r="N3169" s="1183"/>
      <c r="O3169" s="1183"/>
      <c r="P3169" s="1201"/>
      <c r="Q3169" s="1201"/>
      <c r="R3169" s="1201"/>
      <c r="S3169" s="1201"/>
      <c r="T3169" s="1201"/>
    </row>
    <row r="3170" spans="12:20">
      <c r="L3170" s="1179"/>
      <c r="M3170" s="1183"/>
      <c r="N3170" s="1183"/>
      <c r="O3170" s="1183"/>
      <c r="P3170" s="1201"/>
      <c r="Q3170" s="1201"/>
      <c r="R3170" s="1201"/>
      <c r="S3170" s="1201"/>
      <c r="T3170" s="1201"/>
    </row>
    <row r="3171" spans="12:20">
      <c r="L3171" s="1179"/>
      <c r="M3171" s="1183"/>
      <c r="N3171" s="1183"/>
      <c r="O3171" s="1183"/>
      <c r="P3171" s="1201"/>
      <c r="Q3171" s="1201"/>
      <c r="R3171" s="1201"/>
      <c r="S3171" s="1201"/>
      <c r="T3171" s="1201"/>
    </row>
    <row r="3172" spans="12:20">
      <c r="L3172" s="1179"/>
      <c r="M3172" s="1183"/>
      <c r="N3172" s="1183"/>
      <c r="O3172" s="1183"/>
      <c r="P3172" s="1201"/>
      <c r="Q3172" s="1201"/>
      <c r="R3172" s="1201"/>
      <c r="S3172" s="1201"/>
      <c r="T3172" s="1201"/>
    </row>
    <row r="3173" spans="12:20">
      <c r="L3173" s="1179"/>
      <c r="M3173" s="1183"/>
      <c r="N3173" s="1183"/>
      <c r="O3173" s="1183"/>
      <c r="P3173" s="1201"/>
      <c r="Q3173" s="1201"/>
      <c r="R3173" s="1201"/>
      <c r="S3173" s="1201"/>
      <c r="T3173" s="1201"/>
    </row>
    <row r="3174" spans="12:20">
      <c r="L3174" s="1179"/>
      <c r="M3174" s="1183"/>
      <c r="N3174" s="1183"/>
      <c r="O3174" s="1183"/>
      <c r="P3174" s="1201"/>
      <c r="Q3174" s="1201"/>
      <c r="R3174" s="1201"/>
      <c r="S3174" s="1201"/>
      <c r="T3174" s="1201"/>
    </row>
    <row r="3175" spans="12:20">
      <c r="L3175" s="1179"/>
      <c r="M3175" s="1183"/>
      <c r="N3175" s="1183"/>
      <c r="O3175" s="1183"/>
      <c r="P3175" s="1201"/>
      <c r="Q3175" s="1201"/>
      <c r="R3175" s="1201"/>
      <c r="S3175" s="1201"/>
      <c r="T3175" s="1201"/>
    </row>
    <row r="3176" spans="12:20">
      <c r="L3176" s="1179"/>
      <c r="M3176" s="1183"/>
      <c r="N3176" s="1183"/>
      <c r="O3176" s="1183"/>
      <c r="P3176" s="1201"/>
      <c r="Q3176" s="1201"/>
      <c r="R3176" s="1201"/>
      <c r="S3176" s="1201"/>
      <c r="T3176" s="1201"/>
    </row>
    <row r="3177" spans="12:20">
      <c r="L3177" s="1179"/>
      <c r="M3177" s="1183"/>
      <c r="N3177" s="1183"/>
      <c r="O3177" s="1183"/>
      <c r="P3177" s="1201"/>
      <c r="Q3177" s="1201"/>
      <c r="R3177" s="1201"/>
      <c r="S3177" s="1201"/>
      <c r="T3177" s="1201"/>
    </row>
    <row r="3178" spans="12:20">
      <c r="L3178" s="1179"/>
      <c r="M3178" s="1183"/>
      <c r="N3178" s="1183"/>
      <c r="O3178" s="1183"/>
      <c r="P3178" s="1201"/>
      <c r="Q3178" s="1201"/>
      <c r="R3178" s="1201"/>
      <c r="S3178" s="1201"/>
      <c r="T3178" s="1201"/>
    </row>
    <row r="3179" spans="12:20">
      <c r="L3179" s="1179"/>
      <c r="M3179" s="1183"/>
      <c r="N3179" s="1183"/>
      <c r="O3179" s="1183"/>
      <c r="P3179" s="1201"/>
      <c r="Q3179" s="1201"/>
      <c r="R3179" s="1201"/>
      <c r="S3179" s="1201"/>
      <c r="T3179" s="1201"/>
    </row>
    <row r="3180" spans="12:20">
      <c r="L3180" s="1179"/>
      <c r="M3180" s="1183"/>
      <c r="N3180" s="1183"/>
      <c r="O3180" s="1183"/>
      <c r="P3180" s="1201"/>
      <c r="Q3180" s="1201"/>
      <c r="R3180" s="1201"/>
      <c r="S3180" s="1201"/>
      <c r="T3180" s="1201"/>
    </row>
    <row r="3181" spans="12:20">
      <c r="L3181" s="1179"/>
      <c r="M3181" s="1183"/>
      <c r="N3181" s="1183"/>
      <c r="O3181" s="1183"/>
      <c r="P3181" s="1201"/>
      <c r="Q3181" s="1201"/>
      <c r="R3181" s="1201"/>
      <c r="S3181" s="1201"/>
      <c r="T3181" s="1201"/>
    </row>
    <row r="3182" spans="12:20">
      <c r="L3182" s="1179"/>
      <c r="M3182" s="1183"/>
      <c r="N3182" s="1183"/>
      <c r="O3182" s="1183"/>
      <c r="P3182" s="1201"/>
      <c r="Q3182" s="1201"/>
      <c r="R3182" s="1201"/>
      <c r="S3182" s="1201"/>
      <c r="T3182" s="1201"/>
    </row>
    <row r="3183" spans="12:20">
      <c r="L3183" s="1179"/>
      <c r="M3183" s="1183"/>
      <c r="N3183" s="1183"/>
      <c r="O3183" s="1183"/>
      <c r="P3183" s="1201"/>
      <c r="Q3183" s="1201"/>
      <c r="R3183" s="1201"/>
      <c r="S3183" s="1201"/>
      <c r="T3183" s="1201"/>
    </row>
    <row r="3184" spans="12:20">
      <c r="L3184" s="1179"/>
      <c r="M3184" s="1183"/>
      <c r="N3184" s="1183"/>
      <c r="O3184" s="1183"/>
      <c r="P3184" s="1201"/>
      <c r="Q3184" s="1201"/>
      <c r="R3184" s="1201"/>
      <c r="S3184" s="1201"/>
      <c r="T3184" s="1201"/>
    </row>
    <row r="3185" spans="12:20">
      <c r="L3185" s="1179"/>
      <c r="M3185" s="1183"/>
      <c r="N3185" s="1183"/>
      <c r="O3185" s="1183"/>
      <c r="P3185" s="1201"/>
      <c r="Q3185" s="1201"/>
      <c r="R3185" s="1201"/>
      <c r="S3185" s="1201"/>
      <c r="T3185" s="1201"/>
    </row>
    <row r="3186" spans="12:20">
      <c r="L3186" s="1179"/>
      <c r="M3186" s="1183"/>
      <c r="N3186" s="1183"/>
      <c r="O3186" s="1183"/>
      <c r="P3186" s="1201"/>
      <c r="Q3186" s="1201"/>
      <c r="R3186" s="1201"/>
      <c r="S3186" s="1201"/>
      <c r="T3186" s="1201"/>
    </row>
    <row r="3187" spans="12:20">
      <c r="L3187" s="1179"/>
      <c r="M3187" s="1183"/>
      <c r="N3187" s="1183"/>
      <c r="O3187" s="1183"/>
      <c r="P3187" s="1201"/>
      <c r="Q3187" s="1201"/>
      <c r="R3187" s="1201"/>
      <c r="S3187" s="1201"/>
      <c r="T3187" s="1201"/>
    </row>
    <row r="3188" spans="12:20">
      <c r="L3188" s="1179"/>
      <c r="M3188" s="1183"/>
      <c r="N3188" s="1183"/>
      <c r="O3188" s="1183"/>
      <c r="P3188" s="1201"/>
      <c r="Q3188" s="1201"/>
      <c r="R3188" s="1201"/>
      <c r="S3188" s="1201"/>
      <c r="T3188" s="1201"/>
    </row>
    <row r="3189" spans="12:20">
      <c r="L3189" s="1179"/>
      <c r="M3189" s="1183"/>
      <c r="N3189" s="1183"/>
      <c r="O3189" s="1183"/>
      <c r="P3189" s="1201"/>
      <c r="Q3189" s="1201"/>
      <c r="R3189" s="1201"/>
      <c r="S3189" s="1201"/>
      <c r="T3189" s="1201"/>
    </row>
    <row r="3190" spans="12:20">
      <c r="L3190" s="1179"/>
      <c r="M3190" s="1183"/>
      <c r="N3190" s="1183"/>
      <c r="O3190" s="1183"/>
      <c r="P3190" s="1201"/>
      <c r="Q3190" s="1201"/>
      <c r="R3190" s="1201"/>
      <c r="S3190" s="1201"/>
      <c r="T3190" s="1201"/>
    </row>
    <row r="3191" spans="12:20">
      <c r="L3191" s="1179"/>
      <c r="M3191" s="1183"/>
      <c r="N3191" s="1183"/>
      <c r="O3191" s="1183"/>
      <c r="P3191" s="1201"/>
      <c r="Q3191" s="1201"/>
      <c r="R3191" s="1201"/>
      <c r="S3191" s="1201"/>
      <c r="T3191" s="1201"/>
    </row>
    <row r="3192" spans="12:20">
      <c r="L3192" s="1179"/>
      <c r="M3192" s="1183"/>
      <c r="N3192" s="1183"/>
      <c r="O3192" s="1183"/>
      <c r="P3192" s="1201"/>
      <c r="Q3192" s="1201"/>
      <c r="R3192" s="1201"/>
      <c r="S3192" s="1201"/>
      <c r="T3192" s="1201"/>
    </row>
    <row r="3193" spans="12:20">
      <c r="L3193" s="1179"/>
      <c r="M3193" s="1183"/>
      <c r="N3193" s="1183"/>
      <c r="O3193" s="1183"/>
      <c r="P3193" s="1201"/>
      <c r="Q3193" s="1201"/>
      <c r="R3193" s="1201"/>
      <c r="S3193" s="1201"/>
      <c r="T3193" s="1201"/>
    </row>
    <row r="3194" spans="12:20">
      <c r="L3194" s="1179"/>
      <c r="M3194" s="1183"/>
      <c r="N3194" s="1183"/>
      <c r="O3194" s="1183"/>
      <c r="P3194" s="1201"/>
      <c r="Q3194" s="1201"/>
      <c r="R3194" s="1201"/>
      <c r="S3194" s="1201"/>
      <c r="T3194" s="1201"/>
    </row>
    <row r="3195" spans="12:20">
      <c r="L3195" s="1179"/>
      <c r="M3195" s="1183"/>
      <c r="N3195" s="1183"/>
      <c r="O3195" s="1183"/>
      <c r="P3195" s="1201"/>
      <c r="Q3195" s="1201"/>
      <c r="R3195" s="1201"/>
      <c r="S3195" s="1201"/>
      <c r="T3195" s="1201"/>
    </row>
    <row r="3196" spans="12:20">
      <c r="L3196" s="1179"/>
      <c r="M3196" s="1183"/>
      <c r="N3196" s="1183"/>
      <c r="O3196" s="1183"/>
      <c r="P3196" s="1201"/>
      <c r="Q3196" s="1201"/>
      <c r="R3196" s="1201"/>
      <c r="S3196" s="1201"/>
      <c r="T3196" s="1201"/>
    </row>
    <row r="3197" spans="12:20">
      <c r="L3197" s="1179"/>
      <c r="M3197" s="1183"/>
      <c r="N3197" s="1183"/>
      <c r="O3197" s="1183"/>
      <c r="P3197" s="1201"/>
      <c r="Q3197" s="1201"/>
      <c r="R3197" s="1201"/>
      <c r="S3197" s="1201"/>
      <c r="T3197" s="1201"/>
    </row>
    <row r="3198" spans="12:20">
      <c r="L3198" s="1179"/>
      <c r="M3198" s="1183"/>
      <c r="N3198" s="1183"/>
      <c r="O3198" s="1183"/>
      <c r="P3198" s="1201"/>
      <c r="Q3198" s="1201"/>
      <c r="R3198" s="1201"/>
      <c r="S3198" s="1201"/>
      <c r="T3198" s="1201"/>
    </row>
    <row r="3199" spans="12:20">
      <c r="L3199" s="1179"/>
      <c r="M3199" s="1183"/>
      <c r="N3199" s="1183"/>
      <c r="O3199" s="1183"/>
      <c r="P3199" s="1201"/>
      <c r="Q3199" s="1201"/>
      <c r="R3199" s="1201"/>
      <c r="S3199" s="1201"/>
      <c r="T3199" s="1201"/>
    </row>
    <row r="3200" spans="12:20">
      <c r="L3200" s="1179"/>
      <c r="M3200" s="1183"/>
      <c r="N3200" s="1183"/>
      <c r="O3200" s="1183"/>
      <c r="P3200" s="1201"/>
      <c r="Q3200" s="1201"/>
      <c r="R3200" s="1201"/>
      <c r="S3200" s="1201"/>
      <c r="T3200" s="1201"/>
    </row>
    <row r="3201" spans="12:20">
      <c r="L3201" s="1179"/>
      <c r="M3201" s="1183"/>
      <c r="N3201" s="1183"/>
      <c r="O3201" s="1183"/>
      <c r="P3201" s="1201"/>
      <c r="Q3201" s="1201"/>
      <c r="R3201" s="1201"/>
      <c r="S3201" s="1201"/>
      <c r="T3201" s="1201"/>
    </row>
    <row r="3202" spans="12:20">
      <c r="L3202" s="1179"/>
      <c r="M3202" s="1183"/>
      <c r="N3202" s="1183"/>
      <c r="O3202" s="1183"/>
      <c r="P3202" s="1201"/>
      <c r="Q3202" s="1201"/>
      <c r="R3202" s="1201"/>
      <c r="S3202" s="1201"/>
      <c r="T3202" s="1201"/>
    </row>
    <row r="3203" spans="12:20">
      <c r="L3203" s="1179"/>
      <c r="M3203" s="1183"/>
      <c r="N3203" s="1183"/>
      <c r="O3203" s="1183"/>
      <c r="P3203" s="1201"/>
      <c r="Q3203" s="1201"/>
      <c r="R3203" s="1201"/>
      <c r="S3203" s="1201"/>
      <c r="T3203" s="1201"/>
    </row>
    <row r="3204" spans="12:20">
      <c r="L3204" s="1179"/>
      <c r="M3204" s="1183"/>
      <c r="N3204" s="1183"/>
      <c r="O3204" s="1183"/>
      <c r="P3204" s="1201"/>
      <c r="Q3204" s="1201"/>
      <c r="R3204" s="1201"/>
      <c r="S3204" s="1201"/>
      <c r="T3204" s="1201"/>
    </row>
    <row r="3205" spans="12:20">
      <c r="L3205" s="1179"/>
      <c r="M3205" s="1183"/>
      <c r="N3205" s="1183"/>
      <c r="O3205" s="1183"/>
      <c r="P3205" s="1201"/>
      <c r="Q3205" s="1201"/>
      <c r="R3205" s="1201"/>
      <c r="S3205" s="1201"/>
      <c r="T3205" s="1201"/>
    </row>
    <row r="3206" spans="12:20">
      <c r="L3206" s="1179"/>
      <c r="M3206" s="1183"/>
      <c r="N3206" s="1183"/>
      <c r="O3206" s="1183"/>
      <c r="P3206" s="1201"/>
      <c r="Q3206" s="1201"/>
      <c r="R3206" s="1201"/>
      <c r="S3206" s="1201"/>
      <c r="T3206" s="1201"/>
    </row>
    <row r="3207" spans="12:20">
      <c r="L3207" s="1179"/>
      <c r="M3207" s="1183"/>
      <c r="N3207" s="1183"/>
      <c r="O3207" s="1183"/>
      <c r="P3207" s="1201"/>
      <c r="Q3207" s="1201"/>
      <c r="R3207" s="1201"/>
      <c r="S3207" s="1201"/>
      <c r="T3207" s="1201"/>
    </row>
    <row r="3208" spans="12:20">
      <c r="L3208" s="1179"/>
      <c r="M3208" s="1183"/>
      <c r="N3208" s="1183"/>
      <c r="O3208" s="1183"/>
      <c r="P3208" s="1201"/>
      <c r="Q3208" s="1201"/>
      <c r="R3208" s="1201"/>
      <c r="S3208" s="1201"/>
      <c r="T3208" s="1201"/>
    </row>
    <row r="3209" spans="12:20">
      <c r="L3209" s="1179"/>
      <c r="M3209" s="1183"/>
      <c r="N3209" s="1183"/>
      <c r="O3209" s="1183"/>
      <c r="P3209" s="1201"/>
      <c r="Q3209" s="1201"/>
      <c r="R3209" s="1201"/>
      <c r="S3209" s="1201"/>
      <c r="T3209" s="1201"/>
    </row>
    <row r="3210" spans="12:20">
      <c r="L3210" s="1179"/>
      <c r="M3210" s="1183"/>
      <c r="N3210" s="1183"/>
      <c r="O3210" s="1183"/>
      <c r="P3210" s="1201"/>
      <c r="Q3210" s="1201"/>
      <c r="R3210" s="1201"/>
      <c r="S3210" s="1201"/>
      <c r="T3210" s="1201"/>
    </row>
    <row r="3211" spans="12:20">
      <c r="L3211" s="1179"/>
      <c r="M3211" s="1183"/>
      <c r="N3211" s="1183"/>
      <c r="O3211" s="1183"/>
      <c r="P3211" s="1201"/>
      <c r="Q3211" s="1201"/>
      <c r="R3211" s="1201"/>
      <c r="S3211" s="1201"/>
      <c r="T3211" s="1201"/>
    </row>
    <row r="3212" spans="12:20">
      <c r="L3212" s="1179"/>
      <c r="M3212" s="1183"/>
      <c r="N3212" s="1183"/>
      <c r="O3212" s="1183"/>
      <c r="P3212" s="1201"/>
      <c r="Q3212" s="1201"/>
      <c r="R3212" s="1201"/>
      <c r="S3212" s="1201"/>
      <c r="T3212" s="1201"/>
    </row>
    <row r="3213" spans="12:20">
      <c r="L3213" s="1179"/>
      <c r="M3213" s="1183"/>
      <c r="N3213" s="1183"/>
      <c r="O3213" s="1183"/>
      <c r="P3213" s="1201"/>
      <c r="Q3213" s="1201"/>
      <c r="R3213" s="1201"/>
      <c r="S3213" s="1201"/>
      <c r="T3213" s="1201"/>
    </row>
    <row r="3214" spans="12:20">
      <c r="L3214" s="1179"/>
      <c r="M3214" s="1183"/>
      <c r="N3214" s="1183"/>
      <c r="O3214" s="1183"/>
      <c r="P3214" s="1201"/>
      <c r="Q3214" s="1201"/>
      <c r="R3214" s="1201"/>
      <c r="S3214" s="1201"/>
      <c r="T3214" s="1201"/>
    </row>
    <row r="3215" spans="12:20">
      <c r="L3215" s="1179"/>
      <c r="M3215" s="1183"/>
      <c r="N3215" s="1183"/>
      <c r="O3215" s="1183"/>
      <c r="P3215" s="1201"/>
      <c r="Q3215" s="1201"/>
      <c r="R3215" s="1201"/>
      <c r="S3215" s="1201"/>
      <c r="T3215" s="1201"/>
    </row>
    <row r="3216" spans="12:20">
      <c r="L3216" s="1179"/>
      <c r="M3216" s="1183"/>
      <c r="N3216" s="1183"/>
      <c r="O3216" s="1183"/>
      <c r="P3216" s="1201"/>
      <c r="Q3216" s="1201"/>
      <c r="R3216" s="1201"/>
      <c r="S3216" s="1201"/>
      <c r="T3216" s="1201"/>
    </row>
    <row r="3217" spans="12:20">
      <c r="L3217" s="1179"/>
      <c r="M3217" s="1183"/>
      <c r="N3217" s="1183"/>
      <c r="O3217" s="1183"/>
      <c r="P3217" s="1201"/>
      <c r="Q3217" s="1201"/>
      <c r="R3217" s="1201"/>
      <c r="S3217" s="1201"/>
      <c r="T3217" s="1201"/>
    </row>
    <row r="3218" spans="12:20">
      <c r="L3218" s="1179"/>
      <c r="M3218" s="1183"/>
      <c r="N3218" s="1183"/>
      <c r="O3218" s="1183"/>
      <c r="P3218" s="1201"/>
      <c r="Q3218" s="1201"/>
      <c r="R3218" s="1201"/>
      <c r="S3218" s="1201"/>
      <c r="T3218" s="1201"/>
    </row>
    <row r="3219" spans="12:20">
      <c r="L3219" s="1179"/>
      <c r="M3219" s="1183"/>
      <c r="N3219" s="1183"/>
      <c r="O3219" s="1183"/>
      <c r="P3219" s="1201"/>
      <c r="Q3219" s="1201"/>
      <c r="R3219" s="1201"/>
      <c r="S3219" s="1201"/>
      <c r="T3219" s="1201"/>
    </row>
    <row r="3220" spans="12:20">
      <c r="L3220" s="1179"/>
      <c r="M3220" s="1183"/>
      <c r="N3220" s="1183"/>
      <c r="O3220" s="1183"/>
      <c r="P3220" s="1201"/>
      <c r="Q3220" s="1201"/>
      <c r="R3220" s="1201"/>
      <c r="S3220" s="1201"/>
      <c r="T3220" s="1201"/>
    </row>
    <row r="3221" spans="12:20">
      <c r="L3221" s="1179"/>
      <c r="M3221" s="1183"/>
      <c r="N3221" s="1183"/>
      <c r="O3221" s="1183"/>
      <c r="P3221" s="1201"/>
      <c r="Q3221" s="1201"/>
      <c r="R3221" s="1201"/>
      <c r="S3221" s="1201"/>
      <c r="T3221" s="1201"/>
    </row>
    <row r="3222" spans="12:20">
      <c r="L3222" s="1179"/>
      <c r="M3222" s="1183"/>
      <c r="N3222" s="1183"/>
      <c r="O3222" s="1183"/>
      <c r="P3222" s="1201"/>
      <c r="Q3222" s="1201"/>
      <c r="R3222" s="1201"/>
      <c r="S3222" s="1201"/>
      <c r="T3222" s="1201"/>
    </row>
    <row r="3223" spans="12:20">
      <c r="L3223" s="1179"/>
      <c r="M3223" s="1183"/>
      <c r="N3223" s="1183"/>
      <c r="O3223" s="1183"/>
      <c r="P3223" s="1201"/>
      <c r="Q3223" s="1201"/>
      <c r="R3223" s="1201"/>
      <c r="S3223" s="1201"/>
      <c r="T3223" s="1201"/>
    </row>
    <row r="3224" spans="12:20">
      <c r="L3224" s="1179"/>
      <c r="M3224" s="1183"/>
      <c r="N3224" s="1183"/>
      <c r="O3224" s="1183"/>
      <c r="P3224" s="1201"/>
      <c r="Q3224" s="1201"/>
      <c r="R3224" s="1201"/>
      <c r="S3224" s="1201"/>
      <c r="T3224" s="1201"/>
    </row>
    <row r="3225" spans="12:20">
      <c r="L3225" s="1179"/>
      <c r="M3225" s="1183"/>
      <c r="N3225" s="1183"/>
      <c r="O3225" s="1183"/>
      <c r="P3225" s="1201"/>
      <c r="Q3225" s="1201"/>
      <c r="R3225" s="1201"/>
      <c r="S3225" s="1201"/>
      <c r="T3225" s="1201"/>
    </row>
    <row r="3226" spans="12:20">
      <c r="L3226" s="1179"/>
      <c r="M3226" s="1183"/>
      <c r="N3226" s="1183"/>
      <c r="O3226" s="1183"/>
      <c r="P3226" s="1201"/>
      <c r="Q3226" s="1201"/>
      <c r="R3226" s="1201"/>
      <c r="S3226" s="1201"/>
      <c r="T3226" s="1201"/>
    </row>
    <row r="3227" spans="12:20">
      <c r="L3227" s="1179"/>
      <c r="M3227" s="1183"/>
      <c r="N3227" s="1183"/>
      <c r="O3227" s="1183"/>
      <c r="P3227" s="1201"/>
      <c r="Q3227" s="1201"/>
      <c r="R3227" s="1201"/>
      <c r="S3227" s="1201"/>
      <c r="T3227" s="1201"/>
    </row>
    <row r="3228" spans="12:20">
      <c r="L3228" s="1179"/>
      <c r="M3228" s="1183"/>
      <c r="N3228" s="1183"/>
      <c r="O3228" s="1183"/>
      <c r="P3228" s="1201"/>
      <c r="Q3228" s="1201"/>
      <c r="R3228" s="1201"/>
      <c r="S3228" s="1201"/>
      <c r="T3228" s="1201"/>
    </row>
    <row r="3229" spans="12:20">
      <c r="L3229" s="1179"/>
      <c r="M3229" s="1183"/>
      <c r="N3229" s="1183"/>
      <c r="O3229" s="1183"/>
      <c r="P3229" s="1201"/>
      <c r="Q3229" s="1201"/>
      <c r="R3229" s="1201"/>
      <c r="S3229" s="1201"/>
      <c r="T3229" s="1201"/>
    </row>
    <row r="3230" spans="12:20">
      <c r="L3230" s="1179"/>
      <c r="M3230" s="1183"/>
      <c r="N3230" s="1183"/>
      <c r="O3230" s="1183"/>
      <c r="P3230" s="1201"/>
      <c r="Q3230" s="1201"/>
      <c r="R3230" s="1201"/>
      <c r="S3230" s="1201"/>
      <c r="T3230" s="1201"/>
    </row>
    <row r="3231" spans="12:20">
      <c r="L3231" s="1179"/>
      <c r="M3231" s="1183"/>
      <c r="N3231" s="1183"/>
      <c r="O3231" s="1183"/>
      <c r="P3231" s="1201"/>
      <c r="Q3231" s="1201"/>
      <c r="R3231" s="1201"/>
      <c r="S3231" s="1201"/>
      <c r="T3231" s="1201"/>
    </row>
    <row r="3232" spans="12:20">
      <c r="L3232" s="1179"/>
      <c r="M3232" s="1183"/>
      <c r="N3232" s="1183"/>
      <c r="O3232" s="1183"/>
      <c r="P3232" s="1201"/>
      <c r="Q3232" s="1201"/>
      <c r="R3232" s="1201"/>
      <c r="S3232" s="1201"/>
      <c r="T3232" s="1201"/>
    </row>
    <row r="3233" spans="12:20">
      <c r="L3233" s="1179"/>
      <c r="M3233" s="1183"/>
      <c r="N3233" s="1183"/>
      <c r="O3233" s="1183"/>
      <c r="P3233" s="1201"/>
      <c r="Q3233" s="1201"/>
      <c r="R3233" s="1201"/>
      <c r="S3233" s="1201"/>
      <c r="T3233" s="1201"/>
    </row>
    <row r="3234" spans="12:20">
      <c r="L3234" s="1179"/>
      <c r="M3234" s="1183"/>
      <c r="N3234" s="1183"/>
      <c r="O3234" s="1183"/>
      <c r="P3234" s="1201"/>
      <c r="Q3234" s="1201"/>
      <c r="R3234" s="1201"/>
      <c r="S3234" s="1201"/>
      <c r="T3234" s="1201"/>
    </row>
    <row r="3235" spans="12:20">
      <c r="L3235" s="1179"/>
      <c r="M3235" s="1183"/>
      <c r="N3235" s="1183"/>
      <c r="O3235" s="1183"/>
      <c r="P3235" s="1201"/>
      <c r="Q3235" s="1201"/>
      <c r="R3235" s="1201"/>
      <c r="S3235" s="1201"/>
      <c r="T3235" s="1201"/>
    </row>
    <row r="3236" spans="12:20">
      <c r="L3236" s="1179"/>
      <c r="M3236" s="1183"/>
      <c r="N3236" s="1183"/>
      <c r="O3236" s="1183"/>
      <c r="P3236" s="1201"/>
      <c r="Q3236" s="1201"/>
      <c r="R3236" s="1201"/>
      <c r="S3236" s="1201"/>
      <c r="T3236" s="1201"/>
    </row>
    <row r="3237" spans="12:20">
      <c r="L3237" s="1179"/>
      <c r="M3237" s="1183"/>
      <c r="N3237" s="1183"/>
      <c r="O3237" s="1183"/>
      <c r="P3237" s="1201"/>
      <c r="Q3237" s="1201"/>
      <c r="R3237" s="1201"/>
      <c r="S3237" s="1201"/>
      <c r="T3237" s="1201"/>
    </row>
    <row r="3238" spans="12:20">
      <c r="L3238" s="1179"/>
      <c r="M3238" s="1183"/>
      <c r="N3238" s="1183"/>
      <c r="O3238" s="1183"/>
      <c r="P3238" s="1201"/>
      <c r="Q3238" s="1201"/>
      <c r="R3238" s="1201"/>
      <c r="S3238" s="1201"/>
      <c r="T3238" s="1201"/>
    </row>
    <row r="3239" spans="12:20">
      <c r="L3239" s="1179"/>
      <c r="M3239" s="1183"/>
      <c r="N3239" s="1183"/>
      <c r="O3239" s="1183"/>
      <c r="P3239" s="1201"/>
      <c r="Q3239" s="1201"/>
      <c r="R3239" s="1201"/>
      <c r="S3239" s="1201"/>
      <c r="T3239" s="1201"/>
    </row>
    <row r="3240" spans="12:20">
      <c r="L3240" s="1179"/>
      <c r="M3240" s="1183"/>
      <c r="N3240" s="1183"/>
      <c r="O3240" s="1183"/>
      <c r="P3240" s="1201"/>
      <c r="Q3240" s="1201"/>
      <c r="R3240" s="1201"/>
      <c r="S3240" s="1201"/>
      <c r="T3240" s="1201"/>
    </row>
    <row r="3241" spans="12:20">
      <c r="L3241" s="1179"/>
      <c r="M3241" s="1183"/>
      <c r="N3241" s="1183"/>
      <c r="O3241" s="1183"/>
      <c r="P3241" s="1201"/>
      <c r="Q3241" s="1201"/>
      <c r="R3241" s="1201"/>
      <c r="S3241" s="1201"/>
      <c r="T3241" s="1201"/>
    </row>
    <row r="3242" spans="12:20">
      <c r="L3242" s="1179"/>
      <c r="M3242" s="1183"/>
      <c r="N3242" s="1183"/>
      <c r="O3242" s="1183"/>
      <c r="P3242" s="1201"/>
      <c r="Q3242" s="1201"/>
      <c r="R3242" s="1201"/>
      <c r="S3242" s="1201"/>
      <c r="T3242" s="1201"/>
    </row>
    <row r="3243" spans="12:20">
      <c r="L3243" s="1179"/>
      <c r="M3243" s="1183"/>
      <c r="N3243" s="1183"/>
      <c r="O3243" s="1183"/>
      <c r="P3243" s="1201"/>
      <c r="Q3243" s="1201"/>
      <c r="R3243" s="1201"/>
      <c r="S3243" s="1201"/>
      <c r="T3243" s="1201"/>
    </row>
    <row r="3244" spans="12:20">
      <c r="L3244" s="1179"/>
      <c r="M3244" s="1183"/>
      <c r="N3244" s="1183"/>
      <c r="O3244" s="1183"/>
      <c r="P3244" s="1201"/>
      <c r="Q3244" s="1201"/>
      <c r="R3244" s="1201"/>
      <c r="S3244" s="1201"/>
      <c r="T3244" s="1201"/>
    </row>
    <row r="3245" spans="12:20">
      <c r="L3245" s="1179"/>
      <c r="M3245" s="1183"/>
      <c r="N3245" s="1183"/>
      <c r="O3245" s="1183"/>
      <c r="P3245" s="1201"/>
      <c r="Q3245" s="1201"/>
      <c r="R3245" s="1201"/>
      <c r="S3245" s="1201"/>
      <c r="T3245" s="1201"/>
    </row>
    <row r="3246" spans="12:20">
      <c r="L3246" s="1179"/>
      <c r="M3246" s="1183"/>
      <c r="N3246" s="1183"/>
      <c r="O3246" s="1183"/>
      <c r="P3246" s="1201"/>
      <c r="Q3246" s="1201"/>
      <c r="R3246" s="1201"/>
      <c r="S3246" s="1201"/>
      <c r="T3246" s="1201"/>
    </row>
    <row r="3247" spans="12:20">
      <c r="L3247" s="1179"/>
      <c r="M3247" s="1183"/>
      <c r="N3247" s="1183"/>
      <c r="O3247" s="1183"/>
      <c r="P3247" s="1201"/>
      <c r="Q3247" s="1201"/>
      <c r="R3247" s="1201"/>
      <c r="S3247" s="1201"/>
      <c r="T3247" s="1201"/>
    </row>
    <row r="3248" spans="12:20">
      <c r="L3248" s="1179"/>
      <c r="M3248" s="1183"/>
      <c r="N3248" s="1183"/>
      <c r="O3248" s="1183"/>
      <c r="P3248" s="1201"/>
      <c r="Q3248" s="1201"/>
      <c r="R3248" s="1201"/>
      <c r="S3248" s="1201"/>
      <c r="T3248" s="1201"/>
    </row>
    <row r="3249" spans="12:20">
      <c r="L3249" s="1179"/>
      <c r="M3249" s="1183"/>
      <c r="N3249" s="1183"/>
      <c r="O3249" s="1183"/>
      <c r="P3249" s="1201"/>
      <c r="Q3249" s="1201"/>
      <c r="R3249" s="1201"/>
      <c r="S3249" s="1201"/>
      <c r="T3249" s="1201"/>
    </row>
    <row r="3250" spans="12:20">
      <c r="L3250" s="1179"/>
      <c r="M3250" s="1183"/>
      <c r="N3250" s="1183"/>
      <c r="O3250" s="1183"/>
      <c r="P3250" s="1201"/>
      <c r="Q3250" s="1201"/>
      <c r="R3250" s="1201"/>
      <c r="S3250" s="1201"/>
      <c r="T3250" s="1201"/>
    </row>
    <row r="3251" spans="12:20">
      <c r="L3251" s="1179"/>
      <c r="M3251" s="1183"/>
      <c r="N3251" s="1183"/>
      <c r="O3251" s="1183"/>
      <c r="P3251" s="1201"/>
      <c r="Q3251" s="1201"/>
      <c r="R3251" s="1201"/>
      <c r="S3251" s="1201"/>
      <c r="T3251" s="1201"/>
    </row>
    <row r="3252" spans="12:20">
      <c r="L3252" s="1179"/>
      <c r="M3252" s="1183"/>
      <c r="N3252" s="1183"/>
      <c r="O3252" s="1183"/>
      <c r="P3252" s="1201"/>
      <c r="Q3252" s="1201"/>
      <c r="R3252" s="1201"/>
      <c r="S3252" s="1201"/>
      <c r="T3252" s="1201"/>
    </row>
    <row r="3253" spans="12:20">
      <c r="L3253" s="1179"/>
      <c r="M3253" s="1183"/>
      <c r="N3253" s="1183"/>
      <c r="O3253" s="1183"/>
      <c r="P3253" s="1201"/>
      <c r="Q3253" s="1201"/>
      <c r="R3253" s="1201"/>
      <c r="S3253" s="1201"/>
      <c r="T3253" s="1201"/>
    </row>
    <row r="3254" spans="12:20">
      <c r="L3254" s="1179"/>
      <c r="M3254" s="1183"/>
      <c r="N3254" s="1183"/>
      <c r="O3254" s="1183"/>
      <c r="P3254" s="1201"/>
      <c r="Q3254" s="1201"/>
      <c r="R3254" s="1201"/>
      <c r="S3254" s="1201"/>
      <c r="T3254" s="1201"/>
    </row>
    <row r="3255" spans="12:20">
      <c r="L3255" s="1179"/>
      <c r="M3255" s="1183"/>
      <c r="N3255" s="1183"/>
      <c r="O3255" s="1183"/>
      <c r="P3255" s="1201"/>
      <c r="Q3255" s="1201"/>
      <c r="R3255" s="1201"/>
      <c r="S3255" s="1201"/>
      <c r="T3255" s="1201"/>
    </row>
    <row r="3256" spans="12:20">
      <c r="L3256" s="1179"/>
      <c r="M3256" s="1183"/>
      <c r="N3256" s="1183"/>
      <c r="O3256" s="1183"/>
      <c r="P3256" s="1201"/>
      <c r="Q3256" s="1201"/>
      <c r="R3256" s="1201"/>
      <c r="S3256" s="1201"/>
      <c r="T3256" s="1201"/>
    </row>
    <row r="3257" spans="12:20">
      <c r="L3257" s="1179"/>
      <c r="M3257" s="1183"/>
      <c r="N3257" s="1183"/>
      <c r="O3257" s="1183"/>
      <c r="P3257" s="1201"/>
      <c r="Q3257" s="1201"/>
      <c r="R3257" s="1201"/>
      <c r="S3257" s="1201"/>
      <c r="T3257" s="1201"/>
    </row>
    <row r="3258" spans="12:20">
      <c r="L3258" s="1179"/>
      <c r="M3258" s="1183"/>
      <c r="N3258" s="1183"/>
      <c r="O3258" s="1183"/>
      <c r="P3258" s="1201"/>
      <c r="Q3258" s="1201"/>
      <c r="R3258" s="1201"/>
      <c r="S3258" s="1201"/>
      <c r="T3258" s="1201"/>
    </row>
    <row r="3259" spans="12:20">
      <c r="L3259" s="1179"/>
      <c r="M3259" s="1183"/>
      <c r="N3259" s="1183"/>
      <c r="O3259" s="1183"/>
      <c r="P3259" s="1201"/>
      <c r="Q3259" s="1201"/>
      <c r="R3259" s="1201"/>
      <c r="S3259" s="1201"/>
      <c r="T3259" s="1201"/>
    </row>
    <row r="3260" spans="12:20">
      <c r="L3260" s="1179"/>
      <c r="M3260" s="1183"/>
      <c r="N3260" s="1183"/>
      <c r="O3260" s="1183"/>
      <c r="P3260" s="1201"/>
      <c r="Q3260" s="1201"/>
      <c r="R3260" s="1201"/>
      <c r="S3260" s="1201"/>
      <c r="T3260" s="1201"/>
    </row>
    <row r="3261" spans="12:20">
      <c r="L3261" s="1179"/>
      <c r="M3261" s="1183"/>
      <c r="N3261" s="1183"/>
      <c r="O3261" s="1183"/>
      <c r="P3261" s="1201"/>
      <c r="Q3261" s="1201"/>
      <c r="R3261" s="1201"/>
      <c r="S3261" s="1201"/>
      <c r="T3261" s="1201"/>
    </row>
    <row r="3262" spans="12:20">
      <c r="L3262" s="1179"/>
      <c r="M3262" s="1183"/>
      <c r="N3262" s="1183"/>
      <c r="O3262" s="1183"/>
      <c r="P3262" s="1201"/>
      <c r="Q3262" s="1201"/>
      <c r="R3262" s="1201"/>
      <c r="S3262" s="1201"/>
      <c r="T3262" s="1201"/>
    </row>
    <row r="3263" spans="12:20">
      <c r="L3263" s="1179"/>
      <c r="M3263" s="1183"/>
      <c r="N3263" s="1183"/>
      <c r="O3263" s="1183"/>
      <c r="P3263" s="1201"/>
      <c r="Q3263" s="1201"/>
      <c r="R3263" s="1201"/>
      <c r="S3263" s="1201"/>
      <c r="T3263" s="1201"/>
    </row>
    <row r="3264" spans="12:20">
      <c r="L3264" s="1179"/>
      <c r="M3264" s="1183"/>
      <c r="N3264" s="1183"/>
      <c r="O3264" s="1183"/>
      <c r="P3264" s="1201"/>
      <c r="Q3264" s="1201"/>
      <c r="R3264" s="1201"/>
      <c r="S3264" s="1201"/>
      <c r="T3264" s="1201"/>
    </row>
    <row r="3265" spans="12:20">
      <c r="L3265" s="1179"/>
      <c r="M3265" s="1183"/>
      <c r="N3265" s="1183"/>
      <c r="O3265" s="1183"/>
      <c r="P3265" s="1201"/>
      <c r="Q3265" s="1201"/>
      <c r="R3265" s="1201"/>
      <c r="S3265" s="1201"/>
      <c r="T3265" s="1201"/>
    </row>
    <row r="3266" spans="12:20">
      <c r="L3266" s="1179"/>
      <c r="M3266" s="1183"/>
      <c r="N3266" s="1183"/>
      <c r="O3266" s="1183"/>
      <c r="P3266" s="1201"/>
      <c r="Q3266" s="1201"/>
      <c r="R3266" s="1201"/>
      <c r="S3266" s="1201"/>
      <c r="T3266" s="1201"/>
    </row>
    <row r="3267" spans="12:20">
      <c r="L3267" s="1179"/>
      <c r="M3267" s="1183"/>
      <c r="N3267" s="1183"/>
      <c r="O3267" s="1183"/>
      <c r="P3267" s="1201"/>
      <c r="Q3267" s="1201"/>
      <c r="R3267" s="1201"/>
      <c r="S3267" s="1201"/>
      <c r="T3267" s="1201"/>
    </row>
    <row r="3268" spans="12:20">
      <c r="L3268" s="1179"/>
      <c r="M3268" s="1183"/>
      <c r="N3268" s="1183"/>
      <c r="O3268" s="1183"/>
      <c r="P3268" s="1201"/>
      <c r="Q3268" s="1201"/>
      <c r="R3268" s="1201"/>
      <c r="S3268" s="1201"/>
      <c r="T3268" s="1201"/>
    </row>
    <row r="3269" spans="12:20">
      <c r="L3269" s="1179"/>
      <c r="M3269" s="1183"/>
      <c r="N3269" s="1183"/>
      <c r="O3269" s="1183"/>
      <c r="P3269" s="1201"/>
      <c r="Q3269" s="1201"/>
      <c r="R3269" s="1201"/>
      <c r="S3269" s="1201"/>
      <c r="T3269" s="1201"/>
    </row>
    <row r="3270" spans="12:20">
      <c r="L3270" s="1179"/>
      <c r="M3270" s="1183"/>
      <c r="N3270" s="1183"/>
      <c r="O3270" s="1183"/>
      <c r="P3270" s="1201"/>
      <c r="Q3270" s="1201"/>
      <c r="R3270" s="1201"/>
      <c r="S3270" s="1201"/>
      <c r="T3270" s="1201"/>
    </row>
    <row r="3271" spans="12:20">
      <c r="L3271" s="1179"/>
      <c r="M3271" s="1183"/>
      <c r="N3271" s="1183"/>
      <c r="O3271" s="1183"/>
      <c r="P3271" s="1201"/>
      <c r="Q3271" s="1201"/>
      <c r="R3271" s="1201"/>
      <c r="S3271" s="1201"/>
      <c r="T3271" s="1201"/>
    </row>
    <row r="3272" spans="12:20">
      <c r="L3272" s="1179"/>
      <c r="M3272" s="1183"/>
      <c r="N3272" s="1183"/>
      <c r="O3272" s="1183"/>
      <c r="P3272" s="1201"/>
      <c r="Q3272" s="1201"/>
      <c r="R3272" s="1201"/>
      <c r="S3272" s="1201"/>
      <c r="T3272" s="1201"/>
    </row>
    <row r="3273" spans="12:20">
      <c r="L3273" s="1179"/>
      <c r="M3273" s="1183"/>
      <c r="N3273" s="1183"/>
      <c r="O3273" s="1183"/>
      <c r="P3273" s="1201"/>
      <c r="Q3273" s="1201"/>
      <c r="R3273" s="1201"/>
      <c r="S3273" s="1201"/>
      <c r="T3273" s="1201"/>
    </row>
    <row r="3274" spans="12:20">
      <c r="L3274" s="1179"/>
      <c r="M3274" s="1183"/>
      <c r="N3274" s="1183"/>
      <c r="O3274" s="1183"/>
      <c r="P3274" s="1201"/>
      <c r="Q3274" s="1201"/>
      <c r="R3274" s="1201"/>
      <c r="S3274" s="1201"/>
      <c r="T3274" s="1201"/>
    </row>
    <row r="3275" spans="12:20">
      <c r="L3275" s="1179"/>
      <c r="M3275" s="1183"/>
      <c r="N3275" s="1183"/>
      <c r="O3275" s="1183"/>
      <c r="P3275" s="1201"/>
      <c r="Q3275" s="1201"/>
      <c r="R3275" s="1201"/>
      <c r="S3275" s="1201"/>
      <c r="T3275" s="1201"/>
    </row>
    <row r="3276" spans="12:20">
      <c r="L3276" s="1179"/>
      <c r="M3276" s="1183"/>
      <c r="N3276" s="1183"/>
      <c r="O3276" s="1183"/>
      <c r="P3276" s="1201"/>
      <c r="Q3276" s="1201"/>
      <c r="R3276" s="1201"/>
      <c r="S3276" s="1201"/>
      <c r="T3276" s="1201"/>
    </row>
    <row r="3277" spans="12:20">
      <c r="L3277" s="1179"/>
      <c r="M3277" s="1183"/>
      <c r="N3277" s="1183"/>
      <c r="O3277" s="1183"/>
      <c r="P3277" s="1201"/>
      <c r="Q3277" s="1201"/>
      <c r="R3277" s="1201"/>
      <c r="S3277" s="1201"/>
      <c r="T3277" s="1201"/>
    </row>
    <row r="3278" spans="12:20">
      <c r="L3278" s="1179"/>
      <c r="M3278" s="1183"/>
      <c r="N3278" s="1183"/>
      <c r="O3278" s="1183"/>
      <c r="P3278" s="1201"/>
      <c r="Q3278" s="1201"/>
      <c r="R3278" s="1201"/>
      <c r="S3278" s="1201"/>
      <c r="T3278" s="1201"/>
    </row>
    <row r="3279" spans="12:20">
      <c r="L3279" s="1179"/>
      <c r="M3279" s="1183"/>
      <c r="N3279" s="1183"/>
      <c r="O3279" s="1183"/>
      <c r="P3279" s="1201"/>
      <c r="Q3279" s="1201"/>
      <c r="R3279" s="1201"/>
      <c r="S3279" s="1201"/>
      <c r="T3279" s="1201"/>
    </row>
    <row r="3280" spans="12:20">
      <c r="L3280" s="1179"/>
      <c r="M3280" s="1183"/>
      <c r="N3280" s="1183"/>
      <c r="O3280" s="1183"/>
      <c r="P3280" s="1201"/>
      <c r="Q3280" s="1201"/>
      <c r="R3280" s="1201"/>
      <c r="S3280" s="1201"/>
      <c r="T3280" s="1201"/>
    </row>
    <row r="3281" spans="12:20">
      <c r="L3281" s="1179"/>
      <c r="M3281" s="1183"/>
      <c r="N3281" s="1183"/>
      <c r="O3281" s="1183"/>
      <c r="P3281" s="1201"/>
      <c r="Q3281" s="1201"/>
      <c r="R3281" s="1201"/>
      <c r="S3281" s="1201"/>
      <c r="T3281" s="1201"/>
    </row>
    <row r="3282" spans="12:20">
      <c r="L3282" s="1179"/>
      <c r="M3282" s="1183"/>
      <c r="N3282" s="1183"/>
      <c r="O3282" s="1183"/>
      <c r="P3282" s="1201"/>
      <c r="Q3282" s="1201"/>
      <c r="R3282" s="1201"/>
      <c r="S3282" s="1201"/>
      <c r="T3282" s="1201"/>
    </row>
    <row r="3283" spans="12:20">
      <c r="L3283" s="1179"/>
      <c r="M3283" s="1183"/>
      <c r="N3283" s="1183"/>
      <c r="O3283" s="1183"/>
      <c r="P3283" s="1201"/>
      <c r="Q3283" s="1201"/>
      <c r="R3283" s="1201"/>
      <c r="S3283" s="1201"/>
      <c r="T3283" s="1201"/>
    </row>
    <row r="3284" spans="12:20">
      <c r="L3284" s="1179"/>
      <c r="M3284" s="1183"/>
      <c r="N3284" s="1183"/>
      <c r="O3284" s="1183"/>
      <c r="P3284" s="1201"/>
      <c r="Q3284" s="1201"/>
      <c r="R3284" s="1201"/>
      <c r="S3284" s="1201"/>
      <c r="T3284" s="1201"/>
    </row>
    <row r="3285" spans="12:20">
      <c r="L3285" s="1179"/>
      <c r="M3285" s="1183"/>
      <c r="N3285" s="1183"/>
      <c r="O3285" s="1183"/>
      <c r="P3285" s="1201"/>
      <c r="Q3285" s="1201"/>
      <c r="R3285" s="1201"/>
      <c r="S3285" s="1201"/>
      <c r="T3285" s="1201"/>
    </row>
    <row r="3286" spans="12:20">
      <c r="L3286" s="1179"/>
      <c r="M3286" s="1183"/>
      <c r="N3286" s="1183"/>
      <c r="O3286" s="1183"/>
      <c r="P3286" s="1201"/>
      <c r="Q3286" s="1201"/>
      <c r="R3286" s="1201"/>
      <c r="S3286" s="1201"/>
      <c r="T3286" s="1201"/>
    </row>
    <row r="3287" spans="12:20">
      <c r="L3287" s="1179"/>
      <c r="M3287" s="1183"/>
      <c r="N3287" s="1183"/>
      <c r="O3287" s="1183"/>
      <c r="P3287" s="1201"/>
      <c r="Q3287" s="1201"/>
      <c r="R3287" s="1201"/>
      <c r="S3287" s="1201"/>
      <c r="T3287" s="1201"/>
    </row>
    <row r="3288" spans="12:20">
      <c r="L3288" s="1179"/>
      <c r="M3288" s="1183"/>
      <c r="N3288" s="1183"/>
      <c r="O3288" s="1183"/>
      <c r="P3288" s="1201"/>
      <c r="Q3288" s="1201"/>
      <c r="R3288" s="1201"/>
      <c r="S3288" s="1201"/>
      <c r="T3288" s="1201"/>
    </row>
    <row r="3289" spans="12:20">
      <c r="L3289" s="1179"/>
      <c r="M3289" s="1183"/>
      <c r="N3289" s="1183"/>
      <c r="O3289" s="1183"/>
      <c r="P3289" s="1201"/>
      <c r="Q3289" s="1201"/>
      <c r="R3289" s="1201"/>
      <c r="S3289" s="1201"/>
      <c r="T3289" s="1201"/>
    </row>
    <row r="3290" spans="12:20">
      <c r="L3290" s="1179"/>
      <c r="M3290" s="1183"/>
      <c r="N3290" s="1183"/>
      <c r="O3290" s="1183"/>
      <c r="P3290" s="1201"/>
      <c r="Q3290" s="1201"/>
      <c r="R3290" s="1201"/>
      <c r="S3290" s="1201"/>
      <c r="T3290" s="1201"/>
    </row>
    <row r="3291" spans="12:20">
      <c r="L3291" s="1179"/>
      <c r="M3291" s="1183"/>
      <c r="N3291" s="1183"/>
      <c r="O3291" s="1183"/>
      <c r="P3291" s="1201"/>
      <c r="Q3291" s="1201"/>
      <c r="R3291" s="1201"/>
      <c r="S3291" s="1201"/>
      <c r="T3291" s="1201"/>
    </row>
    <row r="3292" spans="12:20">
      <c r="L3292" s="1179"/>
      <c r="M3292" s="1183"/>
      <c r="N3292" s="1183"/>
      <c r="O3292" s="1183"/>
      <c r="P3292" s="1201"/>
      <c r="Q3292" s="1201"/>
      <c r="R3292" s="1201"/>
      <c r="S3292" s="1201"/>
      <c r="T3292" s="1201"/>
    </row>
    <row r="3293" spans="12:20">
      <c r="L3293" s="1179"/>
      <c r="M3293" s="1183"/>
      <c r="N3293" s="1183"/>
      <c r="O3293" s="1183"/>
      <c r="P3293" s="1201"/>
      <c r="Q3293" s="1201"/>
      <c r="R3293" s="1201"/>
      <c r="S3293" s="1201"/>
      <c r="T3293" s="1201"/>
    </row>
    <row r="3294" spans="12:20">
      <c r="L3294" s="1179"/>
      <c r="M3294" s="1183"/>
      <c r="N3294" s="1183"/>
      <c r="O3294" s="1183"/>
      <c r="P3294" s="1201"/>
      <c r="Q3294" s="1201"/>
      <c r="R3294" s="1201"/>
      <c r="S3294" s="1201"/>
      <c r="T3294" s="1201"/>
    </row>
    <row r="3295" spans="12:20">
      <c r="L3295" s="1179"/>
      <c r="M3295" s="1183"/>
      <c r="N3295" s="1183"/>
      <c r="O3295" s="1183"/>
      <c r="P3295" s="1201"/>
      <c r="Q3295" s="1201"/>
      <c r="R3295" s="1201"/>
      <c r="S3295" s="1201"/>
      <c r="T3295" s="1201"/>
    </row>
    <row r="3296" spans="12:20">
      <c r="L3296" s="1179"/>
      <c r="M3296" s="1183"/>
      <c r="N3296" s="1183"/>
      <c r="O3296" s="1183"/>
      <c r="P3296" s="1201"/>
      <c r="Q3296" s="1201"/>
      <c r="R3296" s="1201"/>
      <c r="S3296" s="1201"/>
      <c r="T3296" s="1201"/>
    </row>
    <row r="3297" spans="12:20">
      <c r="L3297" s="1179"/>
      <c r="M3297" s="1183"/>
      <c r="N3297" s="1183"/>
      <c r="O3297" s="1183"/>
      <c r="P3297" s="1201"/>
      <c r="Q3297" s="1201"/>
      <c r="R3297" s="1201"/>
      <c r="S3297" s="1201"/>
      <c r="T3297" s="1201"/>
    </row>
    <row r="3298" spans="12:20">
      <c r="L3298" s="1179"/>
      <c r="M3298" s="1183"/>
      <c r="N3298" s="1183"/>
      <c r="O3298" s="1183"/>
      <c r="P3298" s="1201"/>
      <c r="Q3298" s="1201"/>
      <c r="R3298" s="1201"/>
      <c r="S3298" s="1201"/>
      <c r="T3298" s="1201"/>
    </row>
    <row r="3299" spans="12:20">
      <c r="L3299" s="1179"/>
      <c r="M3299" s="1183"/>
      <c r="N3299" s="1183"/>
      <c r="O3299" s="1183"/>
      <c r="P3299" s="1201"/>
      <c r="Q3299" s="1201"/>
      <c r="R3299" s="1201"/>
      <c r="S3299" s="1201"/>
      <c r="T3299" s="1201"/>
    </row>
    <row r="3300" spans="12:20">
      <c r="L3300" s="1179"/>
      <c r="M3300" s="1183"/>
      <c r="N3300" s="1183"/>
      <c r="O3300" s="1183"/>
      <c r="P3300" s="1201"/>
      <c r="Q3300" s="1201"/>
      <c r="R3300" s="1201"/>
      <c r="S3300" s="1201"/>
      <c r="T3300" s="1201"/>
    </row>
    <row r="3301" spans="12:20">
      <c r="L3301" s="1179"/>
      <c r="M3301" s="1183"/>
      <c r="N3301" s="1183"/>
      <c r="O3301" s="1183"/>
      <c r="P3301" s="1201"/>
      <c r="Q3301" s="1201"/>
      <c r="R3301" s="1201"/>
      <c r="S3301" s="1201"/>
      <c r="T3301" s="1201"/>
    </row>
    <row r="3302" spans="12:20">
      <c r="L3302" s="1179"/>
      <c r="M3302" s="1183"/>
      <c r="N3302" s="1183"/>
      <c r="O3302" s="1183"/>
      <c r="P3302" s="1201"/>
      <c r="Q3302" s="1201"/>
      <c r="R3302" s="1201"/>
      <c r="S3302" s="1201"/>
      <c r="T3302" s="1201"/>
    </row>
    <row r="3303" spans="12:20">
      <c r="L3303" s="1179"/>
      <c r="M3303" s="1183"/>
      <c r="N3303" s="1183"/>
      <c r="O3303" s="1183"/>
      <c r="P3303" s="1201"/>
      <c r="Q3303" s="1201"/>
      <c r="R3303" s="1201"/>
      <c r="S3303" s="1201"/>
      <c r="T3303" s="1201"/>
    </row>
    <row r="3304" spans="12:20">
      <c r="L3304" s="1179"/>
      <c r="M3304" s="1183"/>
      <c r="N3304" s="1183"/>
      <c r="O3304" s="1183"/>
      <c r="P3304" s="1201"/>
      <c r="Q3304" s="1201"/>
      <c r="R3304" s="1201"/>
      <c r="S3304" s="1201"/>
      <c r="T3304" s="1201"/>
    </row>
    <row r="3305" spans="12:20">
      <c r="L3305" s="1179"/>
      <c r="M3305" s="1183"/>
      <c r="N3305" s="1183"/>
      <c r="O3305" s="1183"/>
      <c r="P3305" s="1201"/>
      <c r="Q3305" s="1201"/>
      <c r="R3305" s="1201"/>
      <c r="S3305" s="1201"/>
      <c r="T3305" s="1201"/>
    </row>
    <row r="3306" spans="12:20">
      <c r="L3306" s="1179"/>
      <c r="M3306" s="1183"/>
      <c r="N3306" s="1183"/>
      <c r="O3306" s="1183"/>
      <c r="P3306" s="1201"/>
      <c r="Q3306" s="1201"/>
      <c r="R3306" s="1201"/>
      <c r="S3306" s="1201"/>
      <c r="T3306" s="1201"/>
    </row>
    <row r="3307" spans="12:20">
      <c r="L3307" s="1179"/>
      <c r="M3307" s="1183"/>
      <c r="N3307" s="1183"/>
      <c r="O3307" s="1183"/>
      <c r="P3307" s="1201"/>
      <c r="Q3307" s="1201"/>
      <c r="R3307" s="1201"/>
      <c r="S3307" s="1201"/>
      <c r="T3307" s="1201"/>
    </row>
    <row r="3308" spans="12:20">
      <c r="L3308" s="1179"/>
      <c r="M3308" s="1183"/>
      <c r="N3308" s="1183"/>
      <c r="O3308" s="1183"/>
      <c r="P3308" s="1201"/>
      <c r="Q3308" s="1201"/>
      <c r="R3308" s="1201"/>
      <c r="S3308" s="1201"/>
      <c r="T3308" s="1201"/>
    </row>
    <row r="3309" spans="12:20">
      <c r="L3309" s="1179"/>
      <c r="M3309" s="1183"/>
      <c r="N3309" s="1183"/>
      <c r="O3309" s="1183"/>
      <c r="P3309" s="1201"/>
      <c r="Q3309" s="1201"/>
      <c r="R3309" s="1201"/>
      <c r="S3309" s="1201"/>
      <c r="T3309" s="1201"/>
    </row>
    <row r="3310" spans="12:20">
      <c r="L3310" s="1179"/>
      <c r="M3310" s="1183"/>
      <c r="N3310" s="1183"/>
      <c r="O3310" s="1183"/>
      <c r="P3310" s="1201"/>
      <c r="Q3310" s="1201"/>
      <c r="R3310" s="1201"/>
      <c r="S3310" s="1201"/>
      <c r="T3310" s="1201"/>
    </row>
    <row r="3311" spans="12:20">
      <c r="L3311" s="1179"/>
      <c r="M3311" s="1183"/>
      <c r="N3311" s="1183"/>
      <c r="O3311" s="1183"/>
      <c r="P3311" s="1201"/>
      <c r="Q3311" s="1201"/>
      <c r="R3311" s="1201"/>
      <c r="S3311" s="1201"/>
      <c r="T3311" s="1201"/>
    </row>
    <row r="3312" spans="12:20">
      <c r="L3312" s="1179"/>
      <c r="M3312" s="1183"/>
      <c r="N3312" s="1183"/>
      <c r="O3312" s="1183"/>
      <c r="P3312" s="1201"/>
      <c r="Q3312" s="1201"/>
      <c r="R3312" s="1201"/>
      <c r="S3312" s="1201"/>
      <c r="T3312" s="1201"/>
    </row>
    <row r="3313" spans="12:20">
      <c r="L3313" s="1179"/>
      <c r="M3313" s="1183"/>
      <c r="N3313" s="1183"/>
      <c r="O3313" s="1183"/>
      <c r="P3313" s="1201"/>
      <c r="Q3313" s="1201"/>
      <c r="R3313" s="1201"/>
      <c r="S3313" s="1201"/>
      <c r="T3313" s="1201"/>
    </row>
    <row r="3314" spans="12:20">
      <c r="L3314" s="1179"/>
      <c r="M3314" s="1183"/>
      <c r="N3314" s="1183"/>
      <c r="O3314" s="1183"/>
      <c r="P3314" s="1201"/>
      <c r="Q3314" s="1201"/>
      <c r="R3314" s="1201"/>
      <c r="S3314" s="1201"/>
      <c r="T3314" s="1201"/>
    </row>
    <row r="3315" spans="12:20">
      <c r="L3315" s="1179"/>
      <c r="M3315" s="1183"/>
      <c r="N3315" s="1183"/>
      <c r="O3315" s="1183"/>
      <c r="P3315" s="1201"/>
      <c r="Q3315" s="1201"/>
      <c r="R3315" s="1201"/>
      <c r="S3315" s="1201"/>
      <c r="T3315" s="1201"/>
    </row>
    <row r="3316" spans="12:20">
      <c r="L3316" s="1179"/>
      <c r="M3316" s="1183"/>
      <c r="N3316" s="1183"/>
      <c r="O3316" s="1183"/>
      <c r="P3316" s="1201"/>
      <c r="Q3316" s="1201"/>
      <c r="R3316" s="1201"/>
      <c r="S3316" s="1201"/>
      <c r="T3316" s="1201"/>
    </row>
    <row r="3317" spans="12:20">
      <c r="L3317" s="1179"/>
      <c r="M3317" s="1183"/>
      <c r="N3317" s="1183"/>
      <c r="O3317" s="1183"/>
      <c r="P3317" s="1201"/>
      <c r="Q3317" s="1201"/>
      <c r="R3317" s="1201"/>
      <c r="S3317" s="1201"/>
      <c r="T3317" s="1201"/>
    </row>
    <row r="3318" spans="12:20">
      <c r="L3318" s="1179"/>
      <c r="M3318" s="1183"/>
      <c r="N3318" s="1183"/>
      <c r="O3318" s="1183"/>
      <c r="P3318" s="1201"/>
      <c r="Q3318" s="1201"/>
      <c r="R3318" s="1201"/>
      <c r="S3318" s="1201"/>
      <c r="T3318" s="1201"/>
    </row>
    <row r="3319" spans="12:20">
      <c r="L3319" s="1179"/>
      <c r="M3319" s="1183"/>
      <c r="N3319" s="1183"/>
      <c r="O3319" s="1183"/>
      <c r="P3319" s="1201"/>
      <c r="Q3319" s="1201"/>
      <c r="R3319" s="1201"/>
      <c r="S3319" s="1201"/>
      <c r="T3319" s="1201"/>
    </row>
    <row r="3320" spans="12:20">
      <c r="L3320" s="1179"/>
      <c r="M3320" s="1183"/>
      <c r="N3320" s="1183"/>
      <c r="O3320" s="1183"/>
      <c r="P3320" s="1201"/>
      <c r="Q3320" s="1201"/>
      <c r="R3320" s="1201"/>
      <c r="S3320" s="1201"/>
      <c r="T3320" s="1201"/>
    </row>
    <row r="3321" spans="12:20">
      <c r="L3321" s="1179"/>
      <c r="M3321" s="1183"/>
      <c r="N3321" s="1183"/>
      <c r="O3321" s="1183"/>
      <c r="P3321" s="1201"/>
      <c r="Q3321" s="1201"/>
      <c r="R3321" s="1201"/>
      <c r="S3321" s="1201"/>
      <c r="T3321" s="1201"/>
    </row>
    <row r="3322" spans="12:20">
      <c r="L3322" s="1179"/>
      <c r="M3322" s="1183"/>
      <c r="N3322" s="1183"/>
      <c r="O3322" s="1183"/>
      <c r="P3322" s="1201"/>
      <c r="Q3322" s="1201"/>
      <c r="R3322" s="1201"/>
      <c r="S3322" s="1201"/>
      <c r="T3322" s="1201"/>
    </row>
    <row r="3323" spans="12:20">
      <c r="L3323" s="1179"/>
      <c r="M3323" s="1183"/>
      <c r="N3323" s="1183"/>
      <c r="O3323" s="1183"/>
      <c r="P3323" s="1201"/>
      <c r="Q3323" s="1201"/>
      <c r="R3323" s="1201"/>
      <c r="S3323" s="1201"/>
      <c r="T3323" s="1201"/>
    </row>
    <row r="3324" spans="12:20">
      <c r="L3324" s="1179"/>
      <c r="M3324" s="1183"/>
      <c r="N3324" s="1183"/>
      <c r="O3324" s="1183"/>
      <c r="P3324" s="1201"/>
      <c r="Q3324" s="1201"/>
      <c r="R3324" s="1201"/>
      <c r="S3324" s="1201"/>
      <c r="T3324" s="1201"/>
    </row>
    <row r="3325" spans="12:20">
      <c r="L3325" s="1179"/>
      <c r="M3325" s="1183"/>
      <c r="N3325" s="1183"/>
      <c r="O3325" s="1183"/>
      <c r="P3325" s="1201"/>
      <c r="Q3325" s="1201"/>
      <c r="R3325" s="1201"/>
      <c r="S3325" s="1201"/>
      <c r="T3325" s="1201"/>
    </row>
    <row r="3326" spans="12:20">
      <c r="L3326" s="1179"/>
      <c r="M3326" s="1183"/>
      <c r="N3326" s="1183"/>
      <c r="O3326" s="1183"/>
      <c r="P3326" s="1201"/>
      <c r="Q3326" s="1201"/>
      <c r="R3326" s="1201"/>
      <c r="S3326" s="1201"/>
      <c r="T3326" s="1201"/>
    </row>
    <row r="3327" spans="12:20">
      <c r="L3327" s="1179"/>
      <c r="M3327" s="1183"/>
      <c r="N3327" s="1183"/>
      <c r="O3327" s="1183"/>
      <c r="P3327" s="1201"/>
      <c r="Q3327" s="1201"/>
      <c r="R3327" s="1201"/>
      <c r="S3327" s="1201"/>
      <c r="T3327" s="1201"/>
    </row>
    <row r="3328" spans="12:20">
      <c r="L3328" s="1179"/>
      <c r="M3328" s="1183"/>
      <c r="N3328" s="1183"/>
      <c r="O3328" s="1183"/>
      <c r="P3328" s="1201"/>
      <c r="Q3328" s="1201"/>
      <c r="R3328" s="1201"/>
      <c r="S3328" s="1201"/>
      <c r="T3328" s="1201"/>
    </row>
    <row r="3329" spans="12:20">
      <c r="L3329" s="1179"/>
      <c r="M3329" s="1183"/>
      <c r="N3329" s="1183"/>
      <c r="O3329" s="1183"/>
      <c r="P3329" s="1201"/>
      <c r="Q3329" s="1201"/>
      <c r="R3329" s="1201"/>
      <c r="S3329" s="1201"/>
      <c r="T3329" s="1201"/>
    </row>
    <row r="3330" spans="12:20">
      <c r="L3330" s="1179"/>
      <c r="M3330" s="1183"/>
      <c r="N3330" s="1183"/>
      <c r="O3330" s="1183"/>
      <c r="P3330" s="1201"/>
      <c r="Q3330" s="1201"/>
      <c r="R3330" s="1201"/>
      <c r="S3330" s="1201"/>
      <c r="T3330" s="1201"/>
    </row>
    <row r="3331" spans="12:20">
      <c r="L3331" s="1179"/>
      <c r="M3331" s="1183"/>
      <c r="N3331" s="1183"/>
      <c r="O3331" s="1183"/>
      <c r="P3331" s="1201"/>
      <c r="Q3331" s="1201"/>
      <c r="R3331" s="1201"/>
      <c r="S3331" s="1201"/>
      <c r="T3331" s="1201"/>
    </row>
    <row r="3332" spans="12:20">
      <c r="L3332" s="1179"/>
      <c r="M3332" s="1183"/>
      <c r="N3332" s="1183"/>
      <c r="O3332" s="1183"/>
      <c r="P3332" s="1201"/>
      <c r="Q3332" s="1201"/>
      <c r="R3332" s="1201"/>
      <c r="S3332" s="1201"/>
      <c r="T3332" s="1201"/>
    </row>
    <row r="3333" spans="12:20">
      <c r="L3333" s="1179"/>
      <c r="M3333" s="1183"/>
      <c r="N3333" s="1183"/>
      <c r="O3333" s="1183"/>
      <c r="P3333" s="1201"/>
      <c r="Q3333" s="1201"/>
      <c r="R3333" s="1201"/>
      <c r="S3333" s="1201"/>
      <c r="T3333" s="1201"/>
    </row>
    <row r="3334" spans="12:20">
      <c r="L3334" s="1179"/>
      <c r="M3334" s="1183"/>
      <c r="N3334" s="1183"/>
      <c r="O3334" s="1183"/>
      <c r="P3334" s="1201"/>
      <c r="Q3334" s="1201"/>
      <c r="R3334" s="1201"/>
      <c r="S3334" s="1201"/>
      <c r="T3334" s="1201"/>
    </row>
    <row r="3335" spans="12:20">
      <c r="L3335" s="1179"/>
      <c r="M3335" s="1183"/>
      <c r="N3335" s="1183"/>
      <c r="O3335" s="1183"/>
      <c r="P3335" s="1201"/>
      <c r="Q3335" s="1201"/>
      <c r="R3335" s="1201"/>
      <c r="S3335" s="1201"/>
      <c r="T3335" s="1201"/>
    </row>
    <row r="3336" spans="12:20">
      <c r="L3336" s="1179"/>
      <c r="M3336" s="1183"/>
      <c r="N3336" s="1183"/>
      <c r="O3336" s="1183"/>
      <c r="P3336" s="1201"/>
      <c r="Q3336" s="1201"/>
      <c r="R3336" s="1201"/>
      <c r="S3336" s="1201"/>
      <c r="T3336" s="1201"/>
    </row>
    <row r="3337" spans="12:20">
      <c r="L3337" s="1179"/>
      <c r="M3337" s="1183"/>
      <c r="N3337" s="1183"/>
      <c r="O3337" s="1183"/>
      <c r="P3337" s="1201"/>
      <c r="Q3337" s="1201"/>
      <c r="R3337" s="1201"/>
      <c r="S3337" s="1201"/>
      <c r="T3337" s="1201"/>
    </row>
    <row r="3338" spans="12:20">
      <c r="L3338" s="1179"/>
      <c r="M3338" s="1183"/>
      <c r="N3338" s="1183"/>
      <c r="O3338" s="1183"/>
      <c r="P3338" s="1201"/>
      <c r="Q3338" s="1201"/>
      <c r="R3338" s="1201"/>
      <c r="S3338" s="1201"/>
      <c r="T3338" s="1201"/>
    </row>
    <row r="3339" spans="12:20">
      <c r="L3339" s="1179"/>
      <c r="M3339" s="1183"/>
      <c r="N3339" s="1183"/>
      <c r="O3339" s="1183"/>
      <c r="P3339" s="1201"/>
      <c r="Q3339" s="1201"/>
      <c r="R3339" s="1201"/>
      <c r="S3339" s="1201"/>
      <c r="T3339" s="1201"/>
    </row>
    <row r="3340" spans="12:20">
      <c r="L3340" s="1179"/>
      <c r="M3340" s="1183"/>
      <c r="N3340" s="1183"/>
      <c r="O3340" s="1183"/>
      <c r="P3340" s="1201"/>
      <c r="Q3340" s="1201"/>
      <c r="R3340" s="1201"/>
      <c r="S3340" s="1201"/>
      <c r="T3340" s="1201"/>
    </row>
    <row r="3341" spans="12:20">
      <c r="L3341" s="1179"/>
      <c r="M3341" s="1183"/>
      <c r="N3341" s="1183"/>
      <c r="O3341" s="1183"/>
      <c r="P3341" s="1201"/>
      <c r="Q3341" s="1201"/>
      <c r="R3341" s="1201"/>
      <c r="S3341" s="1201"/>
      <c r="T3341" s="1201"/>
    </row>
    <row r="3342" spans="12:20">
      <c r="L3342" s="1179"/>
      <c r="M3342" s="1183"/>
      <c r="N3342" s="1183"/>
      <c r="O3342" s="1183"/>
      <c r="P3342" s="1201"/>
      <c r="Q3342" s="1201"/>
      <c r="R3342" s="1201"/>
      <c r="S3342" s="1201"/>
      <c r="T3342" s="1201"/>
    </row>
    <row r="3343" spans="12:20">
      <c r="L3343" s="1179"/>
      <c r="M3343" s="1183"/>
      <c r="N3343" s="1183"/>
      <c r="O3343" s="1183"/>
      <c r="P3343" s="1201"/>
      <c r="Q3343" s="1201"/>
      <c r="R3343" s="1201"/>
      <c r="S3343" s="1201"/>
      <c r="T3343" s="1201"/>
    </row>
    <row r="3344" spans="12:20">
      <c r="L3344" s="1179"/>
      <c r="M3344" s="1183"/>
      <c r="N3344" s="1183"/>
      <c r="O3344" s="1183"/>
      <c r="P3344" s="1201"/>
      <c r="Q3344" s="1201"/>
      <c r="R3344" s="1201"/>
      <c r="S3344" s="1201"/>
      <c r="T3344" s="1201"/>
    </row>
    <row r="3345" spans="12:20">
      <c r="L3345" s="1179"/>
      <c r="M3345" s="1183"/>
      <c r="N3345" s="1183"/>
      <c r="O3345" s="1183"/>
      <c r="P3345" s="1201"/>
      <c r="Q3345" s="1201"/>
      <c r="R3345" s="1201"/>
      <c r="S3345" s="1201"/>
      <c r="T3345" s="1201"/>
    </row>
    <row r="3346" spans="12:20">
      <c r="L3346" s="1179"/>
      <c r="M3346" s="1183"/>
      <c r="N3346" s="1183"/>
      <c r="O3346" s="1183"/>
      <c r="P3346" s="1201"/>
      <c r="Q3346" s="1201"/>
      <c r="R3346" s="1201"/>
      <c r="S3346" s="1201"/>
      <c r="T3346" s="1201"/>
    </row>
    <row r="3347" spans="12:20">
      <c r="L3347" s="1179"/>
      <c r="M3347" s="1183"/>
      <c r="N3347" s="1183"/>
      <c r="O3347" s="1183"/>
      <c r="P3347" s="1201"/>
      <c r="Q3347" s="1201"/>
      <c r="R3347" s="1201"/>
      <c r="S3347" s="1201"/>
      <c r="T3347" s="1201"/>
    </row>
    <row r="3348" spans="12:20">
      <c r="L3348" s="1179"/>
      <c r="M3348" s="1183"/>
      <c r="N3348" s="1183"/>
      <c r="O3348" s="1183"/>
      <c r="P3348" s="1201"/>
      <c r="Q3348" s="1201"/>
      <c r="R3348" s="1201"/>
      <c r="S3348" s="1201"/>
      <c r="T3348" s="1201"/>
    </row>
    <row r="3349" spans="12:20">
      <c r="L3349" s="1179"/>
      <c r="M3349" s="1183"/>
      <c r="N3349" s="1183"/>
      <c r="O3349" s="1183"/>
      <c r="P3349" s="1201"/>
      <c r="Q3349" s="1201"/>
      <c r="R3349" s="1201"/>
      <c r="S3349" s="1201"/>
      <c r="T3349" s="1201"/>
    </row>
    <row r="3350" spans="12:20">
      <c r="L3350" s="1179"/>
      <c r="M3350" s="1183"/>
      <c r="N3350" s="1183"/>
      <c r="O3350" s="1183"/>
      <c r="P3350" s="1201"/>
      <c r="Q3350" s="1201"/>
      <c r="R3350" s="1201"/>
      <c r="S3350" s="1201"/>
      <c r="T3350" s="1201"/>
    </row>
    <row r="3351" spans="12:20">
      <c r="L3351" s="1179"/>
      <c r="M3351" s="1183"/>
      <c r="N3351" s="1183"/>
      <c r="O3351" s="1183"/>
      <c r="P3351" s="1201"/>
      <c r="Q3351" s="1201"/>
      <c r="R3351" s="1201"/>
      <c r="S3351" s="1201"/>
      <c r="T3351" s="1201"/>
    </row>
    <row r="3352" spans="12:20">
      <c r="L3352" s="1179"/>
      <c r="M3352" s="1183"/>
      <c r="N3352" s="1183"/>
      <c r="O3352" s="1183"/>
      <c r="P3352" s="1201"/>
      <c r="Q3352" s="1201"/>
      <c r="R3352" s="1201"/>
      <c r="S3352" s="1201"/>
      <c r="T3352" s="1201"/>
    </row>
    <row r="3353" spans="12:20">
      <c r="L3353" s="1179"/>
      <c r="M3353" s="1183"/>
      <c r="N3353" s="1183"/>
      <c r="O3353" s="1183"/>
      <c r="P3353" s="1201"/>
      <c r="Q3353" s="1201"/>
      <c r="R3353" s="1201"/>
      <c r="S3353" s="1201"/>
      <c r="T3353" s="1201"/>
    </row>
    <row r="3354" spans="12:20">
      <c r="L3354" s="1179"/>
      <c r="M3354" s="1183"/>
      <c r="N3354" s="1183"/>
      <c r="O3354" s="1183"/>
      <c r="P3354" s="1201"/>
      <c r="Q3354" s="1201"/>
      <c r="R3354" s="1201"/>
      <c r="S3354" s="1201"/>
      <c r="T3354" s="1201"/>
    </row>
    <row r="3355" spans="12:20">
      <c r="L3355" s="1179"/>
      <c r="M3355" s="1183"/>
      <c r="N3355" s="1183"/>
      <c r="O3355" s="1183"/>
      <c r="P3355" s="1201"/>
      <c r="Q3355" s="1201"/>
      <c r="R3355" s="1201"/>
      <c r="S3355" s="1201"/>
      <c r="T3355" s="1201"/>
    </row>
    <row r="3356" spans="12:20">
      <c r="L3356" s="1179"/>
      <c r="M3356" s="1183"/>
      <c r="N3356" s="1183"/>
      <c r="O3356" s="1183"/>
      <c r="P3356" s="1201"/>
      <c r="Q3356" s="1201"/>
      <c r="R3356" s="1201"/>
      <c r="S3356" s="1201"/>
      <c r="T3356" s="1201"/>
    </row>
    <row r="3357" spans="12:20">
      <c r="L3357" s="1179"/>
      <c r="M3357" s="1183"/>
      <c r="N3357" s="1183"/>
      <c r="O3357" s="1183"/>
      <c r="P3357" s="1201"/>
      <c r="Q3357" s="1201"/>
      <c r="R3357" s="1201"/>
      <c r="S3357" s="1201"/>
      <c r="T3357" s="1201"/>
    </row>
    <row r="3358" spans="12:20">
      <c r="L3358" s="1179"/>
      <c r="M3358" s="1183"/>
      <c r="N3358" s="1183"/>
      <c r="O3358" s="1183"/>
      <c r="P3358" s="1201"/>
      <c r="Q3358" s="1201"/>
      <c r="R3358" s="1201"/>
      <c r="S3358" s="1201"/>
      <c r="T3358" s="1201"/>
    </row>
    <row r="3359" spans="12:20">
      <c r="L3359" s="1179"/>
      <c r="M3359" s="1183"/>
      <c r="N3359" s="1183"/>
      <c r="O3359" s="1183"/>
      <c r="P3359" s="1201"/>
      <c r="Q3359" s="1201"/>
      <c r="R3359" s="1201"/>
      <c r="S3359" s="1201"/>
      <c r="T3359" s="1201"/>
    </row>
    <row r="3360" spans="12:20">
      <c r="L3360" s="1179"/>
      <c r="M3360" s="1183"/>
      <c r="N3360" s="1183"/>
      <c r="O3360" s="1183"/>
      <c r="P3360" s="1201"/>
      <c r="Q3360" s="1201"/>
      <c r="R3360" s="1201"/>
      <c r="S3360" s="1201"/>
      <c r="T3360" s="1201"/>
    </row>
    <row r="3361" spans="12:20">
      <c r="L3361" s="1179"/>
      <c r="M3361" s="1183"/>
      <c r="N3361" s="1183"/>
      <c r="O3361" s="1183"/>
      <c r="P3361" s="1201"/>
      <c r="Q3361" s="1201"/>
      <c r="R3361" s="1201"/>
      <c r="S3361" s="1201"/>
      <c r="T3361" s="1201"/>
    </row>
    <row r="3362" spans="12:20">
      <c r="L3362" s="1179"/>
      <c r="M3362" s="1183"/>
      <c r="N3362" s="1183"/>
      <c r="O3362" s="1183"/>
      <c r="P3362" s="1201"/>
      <c r="Q3362" s="1201"/>
      <c r="R3362" s="1201"/>
      <c r="S3362" s="1201"/>
      <c r="T3362" s="1201"/>
    </row>
    <row r="3363" spans="12:20">
      <c r="L3363" s="1179"/>
      <c r="M3363" s="1183"/>
      <c r="N3363" s="1183"/>
      <c r="O3363" s="1183"/>
      <c r="P3363" s="1201"/>
      <c r="Q3363" s="1201"/>
      <c r="R3363" s="1201"/>
      <c r="S3363" s="1201"/>
      <c r="T3363" s="1201"/>
    </row>
    <row r="3364" spans="12:20">
      <c r="L3364" s="1179"/>
      <c r="M3364" s="1183"/>
      <c r="N3364" s="1183"/>
      <c r="O3364" s="1183"/>
      <c r="P3364" s="1201"/>
      <c r="Q3364" s="1201"/>
      <c r="R3364" s="1201"/>
      <c r="S3364" s="1201"/>
      <c r="T3364" s="1201"/>
    </row>
    <row r="3365" spans="12:20">
      <c r="L3365" s="1179"/>
      <c r="M3365" s="1183"/>
      <c r="N3365" s="1183"/>
      <c r="O3365" s="1183"/>
      <c r="P3365" s="1201"/>
      <c r="Q3365" s="1201"/>
      <c r="R3365" s="1201"/>
      <c r="S3365" s="1201"/>
      <c r="T3365" s="1201"/>
    </row>
    <row r="3366" spans="12:20">
      <c r="L3366" s="1179"/>
      <c r="M3366" s="1183"/>
      <c r="N3366" s="1183"/>
      <c r="O3366" s="1183"/>
      <c r="P3366" s="1201"/>
      <c r="Q3366" s="1201"/>
      <c r="R3366" s="1201"/>
      <c r="S3366" s="1201"/>
      <c r="T3366" s="1201"/>
    </row>
    <row r="3367" spans="12:20">
      <c r="L3367" s="1179"/>
      <c r="M3367" s="1183"/>
      <c r="N3367" s="1183"/>
      <c r="O3367" s="1183"/>
      <c r="P3367" s="1201"/>
      <c r="Q3367" s="1201"/>
      <c r="R3367" s="1201"/>
      <c r="S3367" s="1201"/>
      <c r="T3367" s="1201"/>
    </row>
    <row r="3368" spans="12:20">
      <c r="L3368" s="1179"/>
      <c r="M3368" s="1183"/>
      <c r="N3368" s="1183"/>
      <c r="O3368" s="1183"/>
      <c r="P3368" s="1201"/>
      <c r="Q3368" s="1201"/>
      <c r="R3368" s="1201"/>
      <c r="S3368" s="1201"/>
      <c r="T3368" s="1201"/>
    </row>
    <row r="3369" spans="12:20">
      <c r="L3369" s="1179"/>
      <c r="M3369" s="1183"/>
      <c r="N3369" s="1183"/>
      <c r="O3369" s="1183"/>
      <c r="P3369" s="1201"/>
      <c r="Q3369" s="1201"/>
      <c r="R3369" s="1201"/>
      <c r="S3369" s="1201"/>
      <c r="T3369" s="1201"/>
    </row>
    <row r="3370" spans="12:20">
      <c r="L3370" s="1179"/>
      <c r="M3370" s="1183"/>
      <c r="N3370" s="1183"/>
      <c r="O3370" s="1183"/>
      <c r="P3370" s="1201"/>
      <c r="Q3370" s="1201"/>
      <c r="R3370" s="1201"/>
      <c r="S3370" s="1201"/>
      <c r="T3370" s="1201"/>
    </row>
    <row r="3371" spans="12:20">
      <c r="L3371" s="1179"/>
      <c r="M3371" s="1183"/>
      <c r="N3371" s="1183"/>
      <c r="O3371" s="1183"/>
      <c r="P3371" s="1201"/>
      <c r="Q3371" s="1201"/>
      <c r="R3371" s="1201"/>
      <c r="S3371" s="1201"/>
      <c r="T3371" s="1201"/>
    </row>
    <row r="3372" spans="12:20">
      <c r="L3372" s="1179"/>
      <c r="M3372" s="1183"/>
      <c r="N3372" s="1183"/>
      <c r="O3372" s="1183"/>
      <c r="P3372" s="1201"/>
      <c r="Q3372" s="1201"/>
      <c r="R3372" s="1201"/>
      <c r="S3372" s="1201"/>
      <c r="T3372" s="1201"/>
    </row>
    <row r="3373" spans="12:20">
      <c r="L3373" s="1179"/>
      <c r="M3373" s="1183"/>
      <c r="N3373" s="1183"/>
      <c r="O3373" s="1183"/>
      <c r="P3373" s="1201"/>
      <c r="Q3373" s="1201"/>
      <c r="R3373" s="1201"/>
      <c r="S3373" s="1201"/>
      <c r="T3373" s="1201"/>
    </row>
    <row r="3374" spans="12:20">
      <c r="L3374" s="1179"/>
      <c r="M3374" s="1183"/>
      <c r="N3374" s="1183"/>
      <c r="O3374" s="1183"/>
      <c r="P3374" s="1201"/>
      <c r="Q3374" s="1201"/>
      <c r="R3374" s="1201"/>
      <c r="S3374" s="1201"/>
      <c r="T3374" s="1201"/>
    </row>
    <row r="3375" spans="12:20">
      <c r="L3375" s="1179"/>
      <c r="M3375" s="1183"/>
      <c r="N3375" s="1183"/>
      <c r="O3375" s="1183"/>
      <c r="P3375" s="1201"/>
      <c r="Q3375" s="1201"/>
      <c r="R3375" s="1201"/>
      <c r="S3375" s="1201"/>
      <c r="T3375" s="1201"/>
    </row>
    <row r="3376" spans="12:20">
      <c r="L3376" s="1179"/>
      <c r="M3376" s="1183"/>
      <c r="N3376" s="1183"/>
      <c r="O3376" s="1183"/>
      <c r="P3376" s="1201"/>
      <c r="Q3376" s="1201"/>
      <c r="R3376" s="1201"/>
      <c r="S3376" s="1201"/>
      <c r="T3376" s="1201"/>
    </row>
    <row r="3377" spans="12:20">
      <c r="L3377" s="1179"/>
      <c r="M3377" s="1183"/>
      <c r="N3377" s="1183"/>
      <c r="O3377" s="1183"/>
      <c r="P3377" s="1201"/>
      <c r="Q3377" s="1201"/>
      <c r="R3377" s="1201"/>
      <c r="S3377" s="1201"/>
      <c r="T3377" s="1201"/>
    </row>
    <row r="3378" spans="12:20">
      <c r="L3378" s="1179"/>
      <c r="M3378" s="1183"/>
      <c r="N3378" s="1183"/>
      <c r="O3378" s="1183"/>
      <c r="P3378" s="1201"/>
      <c r="Q3378" s="1201"/>
      <c r="R3378" s="1201"/>
      <c r="S3378" s="1201"/>
      <c r="T3378" s="1201"/>
    </row>
    <row r="3379" spans="12:20">
      <c r="L3379" s="1179"/>
      <c r="M3379" s="1183"/>
      <c r="N3379" s="1183"/>
      <c r="O3379" s="1183"/>
      <c r="P3379" s="1201"/>
      <c r="Q3379" s="1201"/>
      <c r="R3379" s="1201"/>
      <c r="S3379" s="1201"/>
      <c r="T3379" s="1201"/>
    </row>
    <row r="3380" spans="12:20">
      <c r="L3380" s="1179"/>
      <c r="M3380" s="1183"/>
      <c r="N3380" s="1183"/>
      <c r="O3380" s="1183"/>
      <c r="P3380" s="1201"/>
      <c r="Q3380" s="1201"/>
      <c r="R3380" s="1201"/>
      <c r="S3380" s="1201"/>
      <c r="T3380" s="1201"/>
    </row>
    <row r="3381" spans="12:20">
      <c r="L3381" s="1179"/>
      <c r="M3381" s="1183"/>
      <c r="N3381" s="1183"/>
      <c r="O3381" s="1183"/>
      <c r="P3381" s="1201"/>
      <c r="Q3381" s="1201"/>
      <c r="R3381" s="1201"/>
      <c r="S3381" s="1201"/>
      <c r="T3381" s="1201"/>
    </row>
    <row r="3382" spans="12:20">
      <c r="L3382" s="1179"/>
      <c r="M3382" s="1183"/>
      <c r="N3382" s="1183"/>
      <c r="O3382" s="1183"/>
      <c r="P3382" s="1201"/>
      <c r="Q3382" s="1201"/>
      <c r="R3382" s="1201"/>
      <c r="S3382" s="1201"/>
      <c r="T3382" s="1201"/>
    </row>
    <row r="3383" spans="12:20">
      <c r="L3383" s="1179"/>
      <c r="M3383" s="1183"/>
      <c r="N3383" s="1183"/>
      <c r="O3383" s="1183"/>
      <c r="P3383" s="1201"/>
      <c r="Q3383" s="1201"/>
      <c r="R3383" s="1201"/>
      <c r="S3383" s="1201"/>
      <c r="T3383" s="1201"/>
    </row>
    <row r="3384" spans="12:20">
      <c r="L3384" s="1179"/>
      <c r="M3384" s="1183"/>
      <c r="N3384" s="1183"/>
      <c r="O3384" s="1183"/>
      <c r="P3384" s="1201"/>
      <c r="Q3384" s="1201"/>
      <c r="R3384" s="1201"/>
      <c r="S3384" s="1201"/>
      <c r="T3384" s="1201"/>
    </row>
    <row r="3385" spans="12:20">
      <c r="L3385" s="1179"/>
      <c r="M3385" s="1183"/>
      <c r="N3385" s="1183"/>
      <c r="O3385" s="1183"/>
      <c r="P3385" s="1201"/>
      <c r="Q3385" s="1201"/>
      <c r="R3385" s="1201"/>
      <c r="S3385" s="1201"/>
      <c r="T3385" s="1201"/>
    </row>
    <row r="3386" spans="12:20">
      <c r="L3386" s="1179"/>
      <c r="M3386" s="1183"/>
      <c r="N3386" s="1183"/>
      <c r="O3386" s="1183"/>
      <c r="P3386" s="1201"/>
      <c r="Q3386" s="1201"/>
      <c r="R3386" s="1201"/>
      <c r="S3386" s="1201"/>
      <c r="T3386" s="1201"/>
    </row>
    <row r="3387" spans="12:20">
      <c r="L3387" s="1179"/>
      <c r="M3387" s="1183"/>
      <c r="N3387" s="1183"/>
      <c r="O3387" s="1183"/>
      <c r="P3387" s="1201"/>
      <c r="Q3387" s="1201"/>
      <c r="R3387" s="1201"/>
      <c r="S3387" s="1201"/>
      <c r="T3387" s="1201"/>
    </row>
    <row r="3388" spans="12:20">
      <c r="L3388" s="1179"/>
      <c r="M3388" s="1183"/>
      <c r="N3388" s="1183"/>
      <c r="O3388" s="1183"/>
      <c r="P3388" s="1201"/>
      <c r="Q3388" s="1201"/>
      <c r="R3388" s="1201"/>
      <c r="S3388" s="1201"/>
      <c r="T3388" s="1201"/>
    </row>
    <row r="3389" spans="12:20">
      <c r="L3389" s="1179"/>
      <c r="M3389" s="1183"/>
      <c r="N3389" s="1183"/>
      <c r="O3389" s="1183"/>
      <c r="P3389" s="1201"/>
      <c r="Q3389" s="1201"/>
      <c r="R3389" s="1201"/>
      <c r="S3389" s="1201"/>
      <c r="T3389" s="1201"/>
    </row>
    <row r="3390" spans="12:20">
      <c r="L3390" s="1179"/>
      <c r="M3390" s="1183"/>
      <c r="N3390" s="1183"/>
      <c r="O3390" s="1183"/>
      <c r="P3390" s="1201"/>
      <c r="Q3390" s="1201"/>
      <c r="R3390" s="1201"/>
      <c r="S3390" s="1201"/>
      <c r="T3390" s="1201"/>
    </row>
    <row r="3391" spans="12:20">
      <c r="L3391" s="1179"/>
      <c r="M3391" s="1183"/>
      <c r="N3391" s="1183"/>
      <c r="O3391" s="1183"/>
      <c r="P3391" s="1201"/>
      <c r="Q3391" s="1201"/>
      <c r="R3391" s="1201"/>
      <c r="S3391" s="1201"/>
      <c r="T3391" s="1201"/>
    </row>
    <row r="3392" spans="12:20">
      <c r="L3392" s="1179"/>
      <c r="M3392" s="1183"/>
      <c r="N3392" s="1183"/>
      <c r="O3392" s="1183"/>
      <c r="P3392" s="1201"/>
      <c r="Q3392" s="1201"/>
      <c r="R3392" s="1201"/>
      <c r="S3392" s="1201"/>
      <c r="T3392" s="1201"/>
    </row>
    <row r="3393" spans="12:20">
      <c r="L3393" s="1179"/>
      <c r="M3393" s="1183"/>
      <c r="N3393" s="1183"/>
      <c r="O3393" s="1183"/>
      <c r="P3393" s="1201"/>
      <c r="Q3393" s="1201"/>
      <c r="R3393" s="1201"/>
      <c r="S3393" s="1201"/>
      <c r="T3393" s="1201"/>
    </row>
    <row r="3394" spans="12:20">
      <c r="L3394" s="1179"/>
      <c r="M3394" s="1183"/>
      <c r="N3394" s="1183"/>
      <c r="O3394" s="1183"/>
      <c r="P3394" s="1201"/>
      <c r="Q3394" s="1201"/>
      <c r="R3394" s="1201"/>
      <c r="S3394" s="1201"/>
      <c r="T3394" s="1201"/>
    </row>
    <row r="3395" spans="12:20">
      <c r="L3395" s="1179"/>
      <c r="M3395" s="1183"/>
      <c r="N3395" s="1183"/>
      <c r="O3395" s="1183"/>
      <c r="P3395" s="1201"/>
      <c r="Q3395" s="1201"/>
      <c r="R3395" s="1201"/>
      <c r="S3395" s="1201"/>
      <c r="T3395" s="1201"/>
    </row>
    <row r="3396" spans="12:20">
      <c r="L3396" s="1179"/>
      <c r="M3396" s="1183"/>
      <c r="N3396" s="1183"/>
      <c r="O3396" s="1183"/>
      <c r="P3396" s="1201"/>
      <c r="Q3396" s="1201"/>
      <c r="R3396" s="1201"/>
      <c r="S3396" s="1201"/>
      <c r="T3396" s="1201"/>
    </row>
    <row r="3397" spans="12:20">
      <c r="L3397" s="1179"/>
      <c r="M3397" s="1183"/>
      <c r="N3397" s="1183"/>
      <c r="O3397" s="1183"/>
      <c r="P3397" s="1201"/>
      <c r="Q3397" s="1201"/>
      <c r="R3397" s="1201"/>
      <c r="S3397" s="1201"/>
      <c r="T3397" s="1201"/>
    </row>
    <row r="3398" spans="12:20">
      <c r="L3398" s="1179"/>
      <c r="M3398" s="1183"/>
      <c r="N3398" s="1183"/>
      <c r="O3398" s="1183"/>
      <c r="P3398" s="1201"/>
      <c r="Q3398" s="1201"/>
      <c r="R3398" s="1201"/>
      <c r="S3398" s="1201"/>
      <c r="T3398" s="1201"/>
    </row>
    <row r="3399" spans="12:20">
      <c r="L3399" s="1179"/>
      <c r="M3399" s="1183"/>
      <c r="N3399" s="1183"/>
      <c r="O3399" s="1183"/>
      <c r="P3399" s="1201"/>
      <c r="Q3399" s="1201"/>
      <c r="R3399" s="1201"/>
      <c r="S3399" s="1201"/>
      <c r="T3399" s="1201"/>
    </row>
    <row r="3400" spans="12:20">
      <c r="L3400" s="1179"/>
      <c r="M3400" s="1183"/>
      <c r="N3400" s="1183"/>
      <c r="O3400" s="1183"/>
      <c r="P3400" s="1201"/>
      <c r="Q3400" s="1201"/>
      <c r="R3400" s="1201"/>
      <c r="S3400" s="1201"/>
      <c r="T3400" s="1201"/>
    </row>
    <row r="3401" spans="12:20">
      <c r="L3401" s="1179"/>
      <c r="M3401" s="1183"/>
      <c r="N3401" s="1183"/>
      <c r="O3401" s="1183"/>
      <c r="P3401" s="1201"/>
      <c r="Q3401" s="1201"/>
      <c r="R3401" s="1201"/>
      <c r="S3401" s="1201"/>
      <c r="T3401" s="1201"/>
    </row>
    <row r="3402" spans="12:20">
      <c r="L3402" s="1179"/>
      <c r="M3402" s="1183"/>
      <c r="N3402" s="1183"/>
      <c r="O3402" s="1183"/>
      <c r="P3402" s="1201"/>
      <c r="Q3402" s="1201"/>
      <c r="R3402" s="1201"/>
      <c r="S3402" s="1201"/>
      <c r="T3402" s="1201"/>
    </row>
    <row r="3403" spans="12:20">
      <c r="L3403" s="1179"/>
      <c r="M3403" s="1183"/>
      <c r="N3403" s="1183"/>
      <c r="O3403" s="1183"/>
      <c r="P3403" s="1201"/>
      <c r="Q3403" s="1201"/>
      <c r="R3403" s="1201"/>
      <c r="S3403" s="1201"/>
      <c r="T3403" s="1201"/>
    </row>
    <row r="3404" spans="12:20">
      <c r="L3404" s="1179"/>
      <c r="M3404" s="1183"/>
      <c r="N3404" s="1183"/>
      <c r="O3404" s="1183"/>
      <c r="P3404" s="1201"/>
      <c r="Q3404" s="1201"/>
      <c r="R3404" s="1201"/>
      <c r="S3404" s="1201"/>
      <c r="T3404" s="1201"/>
    </row>
    <row r="3405" spans="12:20">
      <c r="L3405" s="1179"/>
      <c r="M3405" s="1183"/>
      <c r="N3405" s="1183"/>
      <c r="O3405" s="1183"/>
      <c r="P3405" s="1201"/>
      <c r="Q3405" s="1201"/>
      <c r="R3405" s="1201"/>
      <c r="S3405" s="1201"/>
      <c r="T3405" s="1201"/>
    </row>
    <row r="3406" spans="12:20">
      <c r="L3406" s="1179"/>
      <c r="M3406" s="1183"/>
      <c r="N3406" s="1183"/>
      <c r="O3406" s="1183"/>
      <c r="P3406" s="1201"/>
      <c r="Q3406" s="1201"/>
      <c r="R3406" s="1201"/>
      <c r="S3406" s="1201"/>
      <c r="T3406" s="1201"/>
    </row>
    <row r="3407" spans="12:20">
      <c r="L3407" s="1179"/>
      <c r="M3407" s="1183"/>
      <c r="N3407" s="1183"/>
      <c r="O3407" s="1183"/>
      <c r="P3407" s="1201"/>
      <c r="Q3407" s="1201"/>
      <c r="R3407" s="1201"/>
      <c r="S3407" s="1201"/>
      <c r="T3407" s="1201"/>
    </row>
    <row r="3408" spans="12:20">
      <c r="L3408" s="1179"/>
      <c r="M3408" s="1183"/>
      <c r="N3408" s="1183"/>
      <c r="O3408" s="1183"/>
      <c r="P3408" s="1201"/>
      <c r="Q3408" s="1201"/>
      <c r="R3408" s="1201"/>
      <c r="S3408" s="1201"/>
      <c r="T3408" s="1201"/>
    </row>
    <row r="3409" spans="12:20">
      <c r="L3409" s="1179"/>
      <c r="M3409" s="1183"/>
      <c r="N3409" s="1183"/>
      <c r="O3409" s="1183"/>
      <c r="P3409" s="1201"/>
      <c r="Q3409" s="1201"/>
      <c r="R3409" s="1201"/>
      <c r="S3409" s="1201"/>
      <c r="T3409" s="1201"/>
    </row>
    <row r="3410" spans="12:20">
      <c r="L3410" s="1179"/>
      <c r="M3410" s="1183"/>
      <c r="N3410" s="1183"/>
      <c r="O3410" s="1183"/>
      <c r="P3410" s="1201"/>
      <c r="Q3410" s="1201"/>
      <c r="R3410" s="1201"/>
      <c r="S3410" s="1201"/>
      <c r="T3410" s="1201"/>
    </row>
    <row r="3411" spans="12:20">
      <c r="L3411" s="1179"/>
      <c r="M3411" s="1183"/>
      <c r="N3411" s="1183"/>
      <c r="O3411" s="1183"/>
      <c r="P3411" s="1201"/>
      <c r="Q3411" s="1201"/>
      <c r="R3411" s="1201"/>
      <c r="S3411" s="1201"/>
      <c r="T3411" s="1201"/>
    </row>
    <row r="3412" spans="12:20">
      <c r="L3412" s="1179"/>
      <c r="M3412" s="1183"/>
      <c r="N3412" s="1183"/>
      <c r="O3412" s="1183"/>
      <c r="P3412" s="1201"/>
      <c r="Q3412" s="1201"/>
      <c r="R3412" s="1201"/>
      <c r="S3412" s="1201"/>
      <c r="T3412" s="1201"/>
    </row>
    <row r="3413" spans="12:20">
      <c r="L3413" s="1179"/>
      <c r="M3413" s="1183"/>
      <c r="N3413" s="1183"/>
      <c r="O3413" s="1183"/>
      <c r="P3413" s="1201"/>
      <c r="Q3413" s="1201"/>
      <c r="R3413" s="1201"/>
      <c r="S3413" s="1201"/>
      <c r="T3413" s="1201"/>
    </row>
    <row r="3414" spans="12:20">
      <c r="L3414" s="1179"/>
      <c r="M3414" s="1183"/>
      <c r="N3414" s="1183"/>
      <c r="O3414" s="1183"/>
      <c r="P3414" s="1201"/>
      <c r="Q3414" s="1201"/>
      <c r="R3414" s="1201"/>
      <c r="S3414" s="1201"/>
      <c r="T3414" s="1201"/>
    </row>
    <row r="3415" spans="12:20">
      <c r="L3415" s="1179"/>
      <c r="M3415" s="1183"/>
      <c r="N3415" s="1183"/>
      <c r="O3415" s="1183"/>
      <c r="P3415" s="1201"/>
      <c r="Q3415" s="1201"/>
      <c r="R3415" s="1201"/>
      <c r="S3415" s="1201"/>
      <c r="T3415" s="1201"/>
    </row>
    <row r="3416" spans="12:20">
      <c r="L3416" s="1179"/>
      <c r="M3416" s="1183"/>
      <c r="N3416" s="1183"/>
      <c r="O3416" s="1183"/>
      <c r="P3416" s="1201"/>
      <c r="Q3416" s="1201"/>
      <c r="R3416" s="1201"/>
      <c r="S3416" s="1201"/>
      <c r="T3416" s="1201"/>
    </row>
    <row r="3417" spans="12:20">
      <c r="L3417" s="1179"/>
      <c r="M3417" s="1183"/>
      <c r="N3417" s="1183"/>
      <c r="O3417" s="1183"/>
      <c r="P3417" s="1201"/>
      <c r="Q3417" s="1201"/>
      <c r="R3417" s="1201"/>
      <c r="S3417" s="1201"/>
      <c r="T3417" s="1201"/>
    </row>
    <row r="3418" spans="12:20">
      <c r="L3418" s="1179"/>
      <c r="M3418" s="1183"/>
      <c r="N3418" s="1183"/>
      <c r="O3418" s="1183"/>
      <c r="P3418" s="1201"/>
      <c r="Q3418" s="1201"/>
      <c r="R3418" s="1201"/>
      <c r="S3418" s="1201"/>
      <c r="T3418" s="1201"/>
    </row>
    <row r="3419" spans="12:20">
      <c r="L3419" s="1179"/>
      <c r="M3419" s="1183"/>
      <c r="N3419" s="1183"/>
      <c r="O3419" s="1183"/>
      <c r="P3419" s="1201"/>
      <c r="Q3419" s="1201"/>
      <c r="R3419" s="1201"/>
      <c r="S3419" s="1201"/>
      <c r="T3419" s="1201"/>
    </row>
    <row r="3420" spans="12:20">
      <c r="L3420" s="1179"/>
      <c r="M3420" s="1183"/>
      <c r="N3420" s="1183"/>
      <c r="O3420" s="1183"/>
      <c r="P3420" s="1201"/>
      <c r="Q3420" s="1201"/>
      <c r="R3420" s="1201"/>
      <c r="S3420" s="1201"/>
      <c r="T3420" s="1201"/>
    </row>
    <row r="3421" spans="12:20">
      <c r="L3421" s="1179"/>
      <c r="M3421" s="1183"/>
      <c r="N3421" s="1183"/>
      <c r="O3421" s="1183"/>
      <c r="P3421" s="1201"/>
      <c r="Q3421" s="1201"/>
      <c r="R3421" s="1201"/>
      <c r="S3421" s="1201"/>
      <c r="T3421" s="1201"/>
    </row>
    <row r="3422" spans="12:20">
      <c r="L3422" s="1179"/>
      <c r="M3422" s="1183"/>
      <c r="N3422" s="1183"/>
      <c r="O3422" s="1183"/>
      <c r="P3422" s="1201"/>
      <c r="Q3422" s="1201"/>
      <c r="R3422" s="1201"/>
      <c r="S3422" s="1201"/>
      <c r="T3422" s="1201"/>
    </row>
    <row r="3423" spans="12:20">
      <c r="L3423" s="1179"/>
      <c r="M3423" s="1183"/>
      <c r="N3423" s="1183"/>
      <c r="O3423" s="1183"/>
      <c r="P3423" s="1201"/>
      <c r="Q3423" s="1201"/>
      <c r="R3423" s="1201"/>
      <c r="S3423" s="1201"/>
      <c r="T3423" s="1201"/>
    </row>
    <row r="3424" spans="12:20">
      <c r="L3424" s="1179"/>
      <c r="M3424" s="1183"/>
      <c r="N3424" s="1183"/>
      <c r="O3424" s="1183"/>
      <c r="P3424" s="1201"/>
      <c r="Q3424" s="1201"/>
      <c r="R3424" s="1201"/>
      <c r="S3424" s="1201"/>
      <c r="T3424" s="1201"/>
    </row>
    <row r="3425" spans="12:20">
      <c r="L3425" s="1179"/>
      <c r="M3425" s="1183"/>
      <c r="N3425" s="1183"/>
      <c r="O3425" s="1183"/>
      <c r="P3425" s="1201"/>
      <c r="Q3425" s="1201"/>
      <c r="R3425" s="1201"/>
      <c r="S3425" s="1201"/>
      <c r="T3425" s="1201"/>
    </row>
    <row r="3426" spans="12:20">
      <c r="L3426" s="1179"/>
      <c r="M3426" s="1183"/>
      <c r="N3426" s="1183"/>
      <c r="O3426" s="1183"/>
      <c r="P3426" s="1201"/>
      <c r="Q3426" s="1201"/>
      <c r="R3426" s="1201"/>
      <c r="S3426" s="1201"/>
      <c r="T3426" s="1201"/>
    </row>
    <row r="3427" spans="12:20">
      <c r="L3427" s="1179"/>
      <c r="M3427" s="1183"/>
      <c r="N3427" s="1183"/>
      <c r="O3427" s="1183"/>
      <c r="P3427" s="1201"/>
      <c r="Q3427" s="1201"/>
      <c r="R3427" s="1201"/>
      <c r="S3427" s="1201"/>
      <c r="T3427" s="1201"/>
    </row>
    <row r="3428" spans="12:20">
      <c r="L3428" s="1179"/>
      <c r="M3428" s="1183"/>
      <c r="N3428" s="1183"/>
      <c r="O3428" s="1183"/>
      <c r="P3428" s="1201"/>
      <c r="Q3428" s="1201"/>
      <c r="R3428" s="1201"/>
      <c r="S3428" s="1201"/>
      <c r="T3428" s="1201"/>
    </row>
    <row r="3429" spans="12:20">
      <c r="L3429" s="1179"/>
      <c r="M3429" s="1183"/>
      <c r="N3429" s="1183"/>
      <c r="O3429" s="1183"/>
      <c r="P3429" s="1201"/>
      <c r="Q3429" s="1201"/>
      <c r="R3429" s="1201"/>
      <c r="S3429" s="1201"/>
      <c r="T3429" s="1201"/>
    </row>
    <row r="3430" spans="12:20">
      <c r="L3430" s="1179"/>
      <c r="M3430" s="1183"/>
      <c r="N3430" s="1183"/>
      <c r="O3430" s="1183"/>
      <c r="P3430" s="1201"/>
      <c r="Q3430" s="1201"/>
      <c r="R3430" s="1201"/>
      <c r="S3430" s="1201"/>
      <c r="T3430" s="1201"/>
    </row>
    <row r="3431" spans="12:20">
      <c r="L3431" s="1179"/>
      <c r="M3431" s="1183"/>
      <c r="N3431" s="1183"/>
      <c r="O3431" s="1183"/>
      <c r="P3431" s="1201"/>
      <c r="Q3431" s="1201"/>
      <c r="R3431" s="1201"/>
      <c r="S3431" s="1201"/>
      <c r="T3431" s="1201"/>
    </row>
    <row r="3432" spans="12:20">
      <c r="L3432" s="1179"/>
      <c r="M3432" s="1183"/>
      <c r="N3432" s="1183"/>
      <c r="O3432" s="1183"/>
      <c r="P3432" s="1201"/>
      <c r="Q3432" s="1201"/>
      <c r="R3432" s="1201"/>
      <c r="S3432" s="1201"/>
      <c r="T3432" s="1201"/>
    </row>
    <row r="3433" spans="12:20">
      <c r="L3433" s="1179"/>
      <c r="M3433" s="1183"/>
      <c r="N3433" s="1183"/>
      <c r="O3433" s="1183"/>
      <c r="P3433" s="1201"/>
      <c r="Q3433" s="1201"/>
      <c r="R3433" s="1201"/>
      <c r="S3433" s="1201"/>
      <c r="T3433" s="1201"/>
    </row>
    <row r="3434" spans="12:20">
      <c r="L3434" s="1179"/>
      <c r="M3434" s="1183"/>
      <c r="N3434" s="1183"/>
      <c r="O3434" s="1183"/>
      <c r="P3434" s="1201"/>
      <c r="Q3434" s="1201"/>
      <c r="R3434" s="1201"/>
      <c r="S3434" s="1201"/>
      <c r="T3434" s="1201"/>
    </row>
    <row r="3435" spans="12:20">
      <c r="L3435" s="1179"/>
      <c r="M3435" s="1183"/>
      <c r="N3435" s="1183"/>
      <c r="O3435" s="1183"/>
      <c r="P3435" s="1201"/>
      <c r="Q3435" s="1201"/>
      <c r="R3435" s="1201"/>
      <c r="S3435" s="1201"/>
      <c r="T3435" s="1201"/>
    </row>
    <row r="3436" spans="12:20">
      <c r="L3436" s="1179"/>
      <c r="M3436" s="1183"/>
      <c r="N3436" s="1183"/>
      <c r="O3436" s="1183"/>
      <c r="P3436" s="1201"/>
      <c r="Q3436" s="1201"/>
      <c r="R3436" s="1201"/>
      <c r="S3436" s="1201"/>
      <c r="T3436" s="1201"/>
    </row>
    <row r="3437" spans="12:20">
      <c r="L3437" s="1179"/>
      <c r="M3437" s="1183"/>
      <c r="N3437" s="1183"/>
      <c r="O3437" s="1183"/>
      <c r="P3437" s="1201"/>
      <c r="Q3437" s="1201"/>
      <c r="R3437" s="1201"/>
      <c r="S3437" s="1201"/>
      <c r="T3437" s="1201"/>
    </row>
    <row r="3438" spans="12:20">
      <c r="L3438" s="1179"/>
      <c r="M3438" s="1183"/>
      <c r="N3438" s="1183"/>
      <c r="O3438" s="1183"/>
      <c r="P3438" s="1201"/>
      <c r="Q3438" s="1201"/>
      <c r="R3438" s="1201"/>
      <c r="S3438" s="1201"/>
      <c r="T3438" s="1201"/>
    </row>
    <row r="3439" spans="12:20">
      <c r="L3439" s="1179"/>
      <c r="M3439" s="1183"/>
      <c r="N3439" s="1183"/>
      <c r="O3439" s="1183"/>
      <c r="P3439" s="1201"/>
      <c r="Q3439" s="1201"/>
      <c r="R3439" s="1201"/>
      <c r="S3439" s="1201"/>
      <c r="T3439" s="1201"/>
    </row>
    <row r="3440" spans="12:20">
      <c r="L3440" s="1179"/>
      <c r="M3440" s="1183"/>
      <c r="N3440" s="1183"/>
      <c r="O3440" s="1183"/>
      <c r="P3440" s="1201"/>
      <c r="Q3440" s="1201"/>
      <c r="R3440" s="1201"/>
      <c r="S3440" s="1201"/>
      <c r="T3440" s="1201"/>
    </row>
    <row r="3441" spans="12:20">
      <c r="L3441" s="1179"/>
      <c r="M3441" s="1183"/>
      <c r="N3441" s="1183"/>
      <c r="O3441" s="1183"/>
      <c r="P3441" s="1201"/>
      <c r="Q3441" s="1201"/>
      <c r="R3441" s="1201"/>
      <c r="S3441" s="1201"/>
      <c r="T3441" s="1201"/>
    </row>
    <row r="3442" spans="12:20">
      <c r="L3442" s="1179"/>
      <c r="M3442" s="1183"/>
      <c r="N3442" s="1183"/>
      <c r="O3442" s="1183"/>
      <c r="P3442" s="1201"/>
      <c r="Q3442" s="1201"/>
      <c r="R3442" s="1201"/>
      <c r="S3442" s="1201"/>
      <c r="T3442" s="1201"/>
    </row>
    <row r="3443" spans="12:20">
      <c r="L3443" s="1179"/>
      <c r="M3443" s="1183"/>
      <c r="N3443" s="1183"/>
      <c r="O3443" s="1183"/>
      <c r="P3443" s="1201"/>
      <c r="Q3443" s="1201"/>
      <c r="R3443" s="1201"/>
      <c r="S3443" s="1201"/>
      <c r="T3443" s="1201"/>
    </row>
    <row r="3444" spans="12:20">
      <c r="L3444" s="1179"/>
      <c r="M3444" s="1183"/>
      <c r="N3444" s="1183"/>
      <c r="O3444" s="1183"/>
      <c r="P3444" s="1201"/>
      <c r="Q3444" s="1201"/>
      <c r="R3444" s="1201"/>
      <c r="S3444" s="1201"/>
      <c r="T3444" s="1201"/>
    </row>
    <row r="3445" spans="12:20">
      <c r="L3445" s="1179"/>
      <c r="M3445" s="1183"/>
      <c r="N3445" s="1183"/>
      <c r="O3445" s="1183"/>
      <c r="P3445" s="1201"/>
      <c r="Q3445" s="1201"/>
      <c r="R3445" s="1201"/>
      <c r="S3445" s="1201"/>
      <c r="T3445" s="1201"/>
    </row>
    <row r="3446" spans="12:20">
      <c r="L3446" s="1179"/>
      <c r="M3446" s="1183"/>
      <c r="N3446" s="1183"/>
      <c r="O3446" s="1183"/>
      <c r="P3446" s="1201"/>
      <c r="Q3446" s="1201"/>
      <c r="R3446" s="1201"/>
      <c r="S3446" s="1201"/>
      <c r="T3446" s="1201"/>
    </row>
    <row r="3447" spans="12:20">
      <c r="L3447" s="1179"/>
      <c r="M3447" s="1183"/>
      <c r="N3447" s="1183"/>
      <c r="O3447" s="1183"/>
      <c r="P3447" s="1201"/>
      <c r="Q3447" s="1201"/>
      <c r="R3447" s="1201"/>
      <c r="S3447" s="1201"/>
      <c r="T3447" s="1201"/>
    </row>
    <row r="3448" spans="12:20">
      <c r="L3448" s="1179"/>
      <c r="M3448" s="1183"/>
      <c r="N3448" s="1183"/>
      <c r="O3448" s="1183"/>
      <c r="P3448" s="1201"/>
      <c r="Q3448" s="1201"/>
      <c r="R3448" s="1201"/>
      <c r="S3448" s="1201"/>
      <c r="T3448" s="1201"/>
    </row>
    <row r="3449" spans="12:20">
      <c r="L3449" s="1179"/>
      <c r="M3449" s="1183"/>
      <c r="N3449" s="1183"/>
      <c r="O3449" s="1183"/>
      <c r="P3449" s="1201"/>
      <c r="Q3449" s="1201"/>
      <c r="R3449" s="1201"/>
      <c r="S3449" s="1201"/>
      <c r="T3449" s="1201"/>
    </row>
    <row r="3450" spans="12:20">
      <c r="L3450" s="1179"/>
      <c r="M3450" s="1183"/>
      <c r="N3450" s="1183"/>
      <c r="O3450" s="1183"/>
      <c r="P3450" s="1201"/>
      <c r="Q3450" s="1201"/>
      <c r="R3450" s="1201"/>
      <c r="S3450" s="1201"/>
      <c r="T3450" s="1201"/>
    </row>
    <row r="3451" spans="12:20">
      <c r="L3451" s="1179"/>
      <c r="M3451" s="1183"/>
      <c r="N3451" s="1183"/>
      <c r="O3451" s="1183"/>
      <c r="P3451" s="1201"/>
      <c r="Q3451" s="1201"/>
      <c r="R3451" s="1201"/>
      <c r="S3451" s="1201"/>
      <c r="T3451" s="1201"/>
    </row>
    <row r="3452" spans="12:20">
      <c r="L3452" s="1179"/>
      <c r="M3452" s="1183"/>
      <c r="N3452" s="1183"/>
      <c r="O3452" s="1183"/>
      <c r="P3452" s="1201"/>
      <c r="Q3452" s="1201"/>
      <c r="R3452" s="1201"/>
      <c r="S3452" s="1201"/>
      <c r="T3452" s="1201"/>
    </row>
    <row r="3453" spans="12:20">
      <c r="L3453" s="1179"/>
      <c r="M3453" s="1183"/>
      <c r="N3453" s="1183"/>
      <c r="O3453" s="1183"/>
      <c r="P3453" s="1201"/>
      <c r="Q3453" s="1201"/>
      <c r="R3453" s="1201"/>
      <c r="S3453" s="1201"/>
      <c r="T3453" s="1201"/>
    </row>
    <row r="3454" spans="12:20">
      <c r="L3454" s="1179"/>
      <c r="M3454" s="1183"/>
      <c r="N3454" s="1183"/>
      <c r="O3454" s="1183"/>
      <c r="P3454" s="1201"/>
      <c r="Q3454" s="1201"/>
      <c r="R3454" s="1201"/>
      <c r="S3454" s="1201"/>
      <c r="T3454" s="1201"/>
    </row>
    <row r="3455" spans="12:20">
      <c r="L3455" s="1179"/>
      <c r="M3455" s="1183"/>
      <c r="N3455" s="1183"/>
      <c r="O3455" s="1183"/>
      <c r="P3455" s="1201"/>
      <c r="Q3455" s="1201"/>
      <c r="R3455" s="1201"/>
      <c r="S3455" s="1201"/>
      <c r="T3455" s="1201"/>
    </row>
    <row r="3456" spans="12:20">
      <c r="L3456" s="1179"/>
      <c r="M3456" s="1183"/>
      <c r="N3456" s="1183"/>
      <c r="O3456" s="1183"/>
      <c r="P3456" s="1201"/>
      <c r="Q3456" s="1201"/>
      <c r="R3456" s="1201"/>
      <c r="S3456" s="1201"/>
      <c r="T3456" s="1201"/>
    </row>
    <row r="3457" spans="12:20">
      <c r="L3457" s="1179"/>
      <c r="M3457" s="1183"/>
      <c r="N3457" s="1183"/>
      <c r="O3457" s="1183"/>
      <c r="P3457" s="1201"/>
      <c r="Q3457" s="1201"/>
      <c r="R3457" s="1201"/>
      <c r="S3457" s="1201"/>
      <c r="T3457" s="1201"/>
    </row>
    <row r="3458" spans="12:20">
      <c r="L3458" s="1179"/>
      <c r="M3458" s="1183"/>
      <c r="N3458" s="1183"/>
      <c r="O3458" s="1183"/>
      <c r="P3458" s="1201"/>
      <c r="Q3458" s="1201"/>
      <c r="R3458" s="1201"/>
      <c r="S3458" s="1201"/>
      <c r="T3458" s="1201"/>
    </row>
    <row r="3459" spans="12:20">
      <c r="L3459" s="1179"/>
      <c r="M3459" s="1183"/>
      <c r="N3459" s="1183"/>
      <c r="O3459" s="1183"/>
      <c r="P3459" s="1201"/>
      <c r="Q3459" s="1201"/>
      <c r="R3459" s="1201"/>
      <c r="S3459" s="1201"/>
      <c r="T3459" s="1201"/>
    </row>
    <row r="3460" spans="12:20">
      <c r="L3460" s="1179"/>
      <c r="M3460" s="1183"/>
      <c r="N3460" s="1183"/>
      <c r="O3460" s="1183"/>
      <c r="P3460" s="1201"/>
      <c r="Q3460" s="1201"/>
      <c r="R3460" s="1201"/>
      <c r="S3460" s="1201"/>
      <c r="T3460" s="1201"/>
    </row>
    <row r="3461" spans="12:20">
      <c r="L3461" s="1179"/>
      <c r="M3461" s="1183"/>
      <c r="N3461" s="1183"/>
      <c r="O3461" s="1183"/>
      <c r="P3461" s="1201"/>
      <c r="Q3461" s="1201"/>
      <c r="R3461" s="1201"/>
      <c r="S3461" s="1201"/>
      <c r="T3461" s="1201"/>
    </row>
    <row r="3462" spans="12:20">
      <c r="L3462" s="1179"/>
      <c r="M3462" s="1183"/>
      <c r="N3462" s="1183"/>
      <c r="O3462" s="1183"/>
      <c r="P3462" s="1201"/>
      <c r="Q3462" s="1201"/>
      <c r="R3462" s="1201"/>
      <c r="S3462" s="1201"/>
      <c r="T3462" s="1201"/>
    </row>
    <row r="3463" spans="12:20">
      <c r="L3463" s="1179"/>
      <c r="M3463" s="1183"/>
      <c r="N3463" s="1183"/>
      <c r="O3463" s="1183"/>
      <c r="P3463" s="1201"/>
      <c r="Q3463" s="1201"/>
      <c r="R3463" s="1201"/>
      <c r="S3463" s="1201"/>
      <c r="T3463" s="1201"/>
    </row>
    <row r="3464" spans="12:20">
      <c r="L3464" s="1179"/>
      <c r="M3464" s="1183"/>
      <c r="N3464" s="1183"/>
      <c r="O3464" s="1183"/>
      <c r="P3464" s="1201"/>
      <c r="Q3464" s="1201"/>
      <c r="R3464" s="1201"/>
      <c r="S3464" s="1201"/>
      <c r="T3464" s="1201"/>
    </row>
    <row r="3465" spans="12:20">
      <c r="L3465" s="1179"/>
      <c r="M3465" s="1183"/>
      <c r="N3465" s="1183"/>
      <c r="O3465" s="1183"/>
      <c r="P3465" s="1201"/>
      <c r="Q3465" s="1201"/>
      <c r="R3465" s="1201"/>
      <c r="S3465" s="1201"/>
      <c r="T3465" s="1201"/>
    </row>
    <row r="3466" spans="12:20">
      <c r="L3466" s="1179"/>
      <c r="M3466" s="1183"/>
      <c r="N3466" s="1183"/>
      <c r="O3466" s="1183"/>
      <c r="P3466" s="1201"/>
      <c r="Q3466" s="1201"/>
      <c r="R3466" s="1201"/>
      <c r="S3466" s="1201"/>
      <c r="T3466" s="1201"/>
    </row>
    <row r="3467" spans="12:20">
      <c r="L3467" s="1179"/>
      <c r="M3467" s="1183"/>
      <c r="N3467" s="1183"/>
      <c r="O3467" s="1183"/>
      <c r="P3467" s="1201"/>
      <c r="Q3467" s="1201"/>
      <c r="R3467" s="1201"/>
      <c r="S3467" s="1201"/>
      <c r="T3467" s="1201"/>
    </row>
    <row r="3468" spans="12:20">
      <c r="L3468" s="1179"/>
      <c r="M3468" s="1183"/>
      <c r="N3468" s="1183"/>
      <c r="O3468" s="1183"/>
      <c r="P3468" s="1201"/>
      <c r="Q3468" s="1201"/>
      <c r="R3468" s="1201"/>
      <c r="S3468" s="1201"/>
      <c r="T3468" s="1201"/>
    </row>
    <row r="3469" spans="12:20">
      <c r="L3469" s="1179"/>
      <c r="M3469" s="1183"/>
      <c r="N3469" s="1183"/>
      <c r="O3469" s="1183"/>
      <c r="P3469" s="1201"/>
      <c r="Q3469" s="1201"/>
      <c r="R3469" s="1201"/>
      <c r="S3469" s="1201"/>
      <c r="T3469" s="1201"/>
    </row>
    <row r="3470" spans="12:20">
      <c r="L3470" s="1179"/>
      <c r="M3470" s="1183"/>
      <c r="N3470" s="1183"/>
      <c r="O3470" s="1183"/>
      <c r="P3470" s="1201"/>
      <c r="Q3470" s="1201"/>
      <c r="R3470" s="1201"/>
      <c r="S3470" s="1201"/>
      <c r="T3470" s="1201"/>
    </row>
    <row r="3471" spans="12:20">
      <c r="L3471" s="1179"/>
      <c r="M3471" s="1183"/>
      <c r="N3471" s="1183"/>
      <c r="O3471" s="1183"/>
      <c r="P3471" s="1201"/>
      <c r="Q3471" s="1201"/>
      <c r="R3471" s="1201"/>
      <c r="S3471" s="1201"/>
      <c r="T3471" s="1201"/>
    </row>
    <row r="3472" spans="12:20">
      <c r="L3472" s="1179"/>
      <c r="M3472" s="1183"/>
      <c r="N3472" s="1183"/>
      <c r="O3472" s="1183"/>
      <c r="P3472" s="1201"/>
      <c r="Q3472" s="1201"/>
      <c r="R3472" s="1201"/>
      <c r="S3472" s="1201"/>
      <c r="T3472" s="1201"/>
    </row>
    <row r="3473" spans="12:20">
      <c r="L3473" s="1179"/>
      <c r="M3473" s="1183"/>
      <c r="N3473" s="1183"/>
      <c r="O3473" s="1183"/>
      <c r="P3473" s="1201"/>
      <c r="Q3473" s="1201"/>
      <c r="R3473" s="1201"/>
      <c r="S3473" s="1201"/>
      <c r="T3473" s="1201"/>
    </row>
    <row r="3474" spans="12:20">
      <c r="L3474" s="1179"/>
      <c r="M3474" s="1183"/>
      <c r="N3474" s="1183"/>
      <c r="O3474" s="1183"/>
      <c r="P3474" s="1201"/>
      <c r="Q3474" s="1201"/>
      <c r="R3474" s="1201"/>
      <c r="S3474" s="1201"/>
      <c r="T3474" s="1201"/>
    </row>
    <row r="3475" spans="12:20">
      <c r="L3475" s="1179"/>
      <c r="M3475" s="1183"/>
      <c r="N3475" s="1183"/>
      <c r="O3475" s="1183"/>
      <c r="P3475" s="1201"/>
      <c r="Q3475" s="1201"/>
      <c r="R3475" s="1201"/>
      <c r="S3475" s="1201"/>
      <c r="T3475" s="1201"/>
    </row>
    <row r="3476" spans="12:20">
      <c r="L3476" s="1179"/>
      <c r="M3476" s="1183"/>
      <c r="N3476" s="1183"/>
      <c r="O3476" s="1183"/>
      <c r="P3476" s="1201"/>
      <c r="Q3476" s="1201"/>
      <c r="R3476" s="1201"/>
      <c r="S3476" s="1201"/>
      <c r="T3476" s="1201"/>
    </row>
    <row r="3477" spans="12:20">
      <c r="L3477" s="1179"/>
      <c r="M3477" s="1183"/>
      <c r="N3477" s="1183"/>
      <c r="O3477" s="1183"/>
      <c r="P3477" s="1201"/>
      <c r="Q3477" s="1201"/>
      <c r="R3477" s="1201"/>
      <c r="S3477" s="1201"/>
      <c r="T3477" s="1201"/>
    </row>
    <row r="3478" spans="12:20">
      <c r="L3478" s="1179"/>
      <c r="M3478" s="1183"/>
      <c r="N3478" s="1183"/>
      <c r="O3478" s="1183"/>
      <c r="P3478" s="1201"/>
      <c r="Q3478" s="1201"/>
      <c r="R3478" s="1201"/>
      <c r="S3478" s="1201"/>
      <c r="T3478" s="1201"/>
    </row>
    <row r="3479" spans="12:20">
      <c r="L3479" s="1179"/>
      <c r="M3479" s="1183"/>
      <c r="N3479" s="1183"/>
      <c r="O3479" s="1183"/>
      <c r="P3479" s="1201"/>
      <c r="Q3479" s="1201"/>
      <c r="R3479" s="1201"/>
      <c r="S3479" s="1201"/>
      <c r="T3479" s="1201"/>
    </row>
    <row r="3480" spans="12:20">
      <c r="L3480" s="1179"/>
      <c r="M3480" s="1183"/>
      <c r="N3480" s="1183"/>
      <c r="O3480" s="1183"/>
      <c r="P3480" s="1201"/>
      <c r="Q3480" s="1201"/>
      <c r="R3480" s="1201"/>
      <c r="S3480" s="1201"/>
      <c r="T3480" s="1201"/>
    </row>
    <row r="3481" spans="12:20">
      <c r="L3481" s="1179"/>
      <c r="M3481" s="1183"/>
      <c r="N3481" s="1183"/>
      <c r="O3481" s="1183"/>
      <c r="P3481" s="1201"/>
      <c r="Q3481" s="1201"/>
      <c r="R3481" s="1201"/>
      <c r="S3481" s="1201"/>
      <c r="T3481" s="1201"/>
    </row>
    <row r="3482" spans="12:20">
      <c r="L3482" s="1179"/>
      <c r="M3482" s="1183"/>
      <c r="N3482" s="1183"/>
      <c r="O3482" s="1183"/>
      <c r="P3482" s="1201"/>
      <c r="Q3482" s="1201"/>
      <c r="R3482" s="1201"/>
      <c r="S3482" s="1201"/>
      <c r="T3482" s="1201"/>
    </row>
    <row r="3483" spans="12:20">
      <c r="L3483" s="1179"/>
      <c r="M3483" s="1183"/>
      <c r="N3483" s="1183"/>
      <c r="O3483" s="1183"/>
      <c r="P3483" s="1201"/>
      <c r="Q3483" s="1201"/>
      <c r="R3483" s="1201"/>
      <c r="S3483" s="1201"/>
      <c r="T3483" s="1201"/>
    </row>
    <row r="3484" spans="12:20">
      <c r="L3484" s="1179"/>
      <c r="M3484" s="1183"/>
      <c r="N3484" s="1183"/>
      <c r="O3484" s="1183"/>
      <c r="P3484" s="1201"/>
      <c r="Q3484" s="1201"/>
      <c r="R3484" s="1201"/>
      <c r="S3484" s="1201"/>
      <c r="T3484" s="1201"/>
    </row>
    <row r="3485" spans="12:20">
      <c r="L3485" s="1179"/>
      <c r="M3485" s="1183"/>
      <c r="N3485" s="1183"/>
      <c r="O3485" s="1183"/>
      <c r="P3485" s="1201"/>
      <c r="Q3485" s="1201"/>
      <c r="R3485" s="1201"/>
      <c r="S3485" s="1201"/>
      <c r="T3485" s="1201"/>
    </row>
    <row r="3486" spans="12:20">
      <c r="L3486" s="1179"/>
      <c r="M3486" s="1183"/>
      <c r="N3486" s="1183"/>
      <c r="O3486" s="1183"/>
      <c r="P3486" s="1201"/>
      <c r="Q3486" s="1201"/>
      <c r="R3486" s="1201"/>
      <c r="S3486" s="1201"/>
      <c r="T3486" s="1201"/>
    </row>
    <row r="3487" spans="12:20">
      <c r="L3487" s="1179"/>
      <c r="M3487" s="1183"/>
      <c r="N3487" s="1183"/>
      <c r="O3487" s="1183"/>
      <c r="P3487" s="1201"/>
      <c r="Q3487" s="1201"/>
      <c r="R3487" s="1201"/>
      <c r="S3487" s="1201"/>
      <c r="T3487" s="1201"/>
    </row>
    <row r="3488" spans="12:20">
      <c r="L3488" s="1179"/>
      <c r="M3488" s="1183"/>
      <c r="N3488" s="1183"/>
      <c r="O3488" s="1183"/>
      <c r="P3488" s="1201"/>
      <c r="Q3488" s="1201"/>
      <c r="R3488" s="1201"/>
      <c r="S3488" s="1201"/>
      <c r="T3488" s="1201"/>
    </row>
    <row r="3489" spans="12:20">
      <c r="L3489" s="1179"/>
      <c r="M3489" s="1183"/>
      <c r="N3489" s="1183"/>
      <c r="O3489" s="1183"/>
      <c r="P3489" s="1201"/>
      <c r="Q3489" s="1201"/>
      <c r="R3489" s="1201"/>
      <c r="S3489" s="1201"/>
      <c r="T3489" s="1201"/>
    </row>
    <row r="3490" spans="12:20">
      <c r="L3490" s="1179"/>
      <c r="M3490" s="1183"/>
      <c r="N3490" s="1183"/>
      <c r="O3490" s="1183"/>
      <c r="P3490" s="1201"/>
      <c r="Q3490" s="1201"/>
      <c r="R3490" s="1201"/>
      <c r="S3490" s="1201"/>
      <c r="T3490" s="1201"/>
    </row>
    <row r="3491" spans="12:20">
      <c r="L3491" s="1179"/>
      <c r="M3491" s="1183"/>
      <c r="N3491" s="1183"/>
      <c r="O3491" s="1183"/>
      <c r="P3491" s="1201"/>
      <c r="Q3491" s="1201"/>
      <c r="R3491" s="1201"/>
      <c r="S3491" s="1201"/>
      <c r="T3491" s="1201"/>
    </row>
    <row r="3492" spans="12:20">
      <c r="L3492" s="1179"/>
      <c r="M3492" s="1183"/>
      <c r="N3492" s="1183"/>
      <c r="O3492" s="1183"/>
      <c r="P3492" s="1201"/>
      <c r="Q3492" s="1201"/>
      <c r="R3492" s="1201"/>
      <c r="S3492" s="1201"/>
      <c r="T3492" s="1201"/>
    </row>
    <row r="3493" spans="12:20">
      <c r="L3493" s="1179"/>
      <c r="M3493" s="1183"/>
      <c r="N3493" s="1183"/>
      <c r="O3493" s="1183"/>
      <c r="P3493" s="1201"/>
      <c r="Q3493" s="1201"/>
      <c r="R3493" s="1201"/>
      <c r="S3493" s="1201"/>
      <c r="T3493" s="1201"/>
    </row>
    <row r="3494" spans="12:20">
      <c r="L3494" s="1179"/>
      <c r="M3494" s="1183"/>
      <c r="N3494" s="1183"/>
      <c r="O3494" s="1183"/>
      <c r="P3494" s="1201"/>
      <c r="Q3494" s="1201"/>
      <c r="R3494" s="1201"/>
      <c r="S3494" s="1201"/>
      <c r="T3494" s="1201"/>
    </row>
    <row r="3495" spans="12:20">
      <c r="L3495" s="1179"/>
      <c r="M3495" s="1183"/>
      <c r="N3495" s="1183"/>
      <c r="O3495" s="1183"/>
      <c r="P3495" s="1201"/>
      <c r="Q3495" s="1201"/>
      <c r="R3495" s="1201"/>
      <c r="S3495" s="1201"/>
      <c r="T3495" s="1201"/>
    </row>
    <row r="3496" spans="12:20">
      <c r="L3496" s="1179"/>
      <c r="M3496" s="1183"/>
      <c r="N3496" s="1183"/>
      <c r="O3496" s="1183"/>
      <c r="P3496" s="1201"/>
      <c r="Q3496" s="1201"/>
      <c r="R3496" s="1201"/>
      <c r="S3496" s="1201"/>
      <c r="T3496" s="1201"/>
    </row>
    <row r="3497" spans="12:20">
      <c r="L3497" s="1179"/>
      <c r="M3497" s="1183"/>
      <c r="N3497" s="1183"/>
      <c r="O3497" s="1183"/>
      <c r="P3497" s="1201"/>
      <c r="Q3497" s="1201"/>
      <c r="R3497" s="1201"/>
      <c r="S3497" s="1201"/>
      <c r="T3497" s="1201"/>
    </row>
    <row r="3498" spans="12:20">
      <c r="L3498" s="1179"/>
      <c r="M3498" s="1183"/>
      <c r="N3498" s="1183"/>
      <c r="O3498" s="1183"/>
      <c r="P3498" s="1201"/>
      <c r="Q3498" s="1201"/>
      <c r="R3498" s="1201"/>
      <c r="S3498" s="1201"/>
      <c r="T3498" s="1201"/>
    </row>
    <row r="3499" spans="12:20">
      <c r="L3499" s="1179"/>
      <c r="M3499" s="1183"/>
      <c r="N3499" s="1183"/>
      <c r="O3499" s="1183"/>
      <c r="P3499" s="1201"/>
      <c r="Q3499" s="1201"/>
      <c r="R3499" s="1201"/>
      <c r="S3499" s="1201"/>
      <c r="T3499" s="1201"/>
    </row>
    <row r="3500" spans="12:20">
      <c r="L3500" s="1179"/>
      <c r="M3500" s="1183"/>
      <c r="N3500" s="1183"/>
      <c r="O3500" s="1183"/>
      <c r="P3500" s="1201"/>
      <c r="Q3500" s="1201"/>
      <c r="R3500" s="1201"/>
      <c r="S3500" s="1201"/>
      <c r="T3500" s="1201"/>
    </row>
    <row r="3501" spans="12:20">
      <c r="L3501" s="1179"/>
      <c r="M3501" s="1183"/>
      <c r="N3501" s="1183"/>
      <c r="O3501" s="1183"/>
      <c r="P3501" s="1201"/>
      <c r="Q3501" s="1201"/>
      <c r="R3501" s="1201"/>
      <c r="S3501" s="1201"/>
      <c r="T3501" s="1201"/>
    </row>
    <row r="3502" spans="12:20">
      <c r="L3502" s="1179"/>
      <c r="M3502" s="1183"/>
      <c r="N3502" s="1183"/>
      <c r="O3502" s="1183"/>
      <c r="P3502" s="1201"/>
      <c r="Q3502" s="1201"/>
      <c r="R3502" s="1201"/>
      <c r="S3502" s="1201"/>
      <c r="T3502" s="1201"/>
    </row>
    <row r="3503" spans="12:20">
      <c r="L3503" s="1179"/>
      <c r="M3503" s="1183"/>
      <c r="N3503" s="1183"/>
      <c r="O3503" s="1183"/>
      <c r="P3503" s="1201"/>
      <c r="Q3503" s="1201"/>
      <c r="R3503" s="1201"/>
      <c r="S3503" s="1201"/>
      <c r="T3503" s="1201"/>
    </row>
    <row r="3504" spans="12:20">
      <c r="L3504" s="1179"/>
      <c r="M3504" s="1183"/>
      <c r="N3504" s="1183"/>
      <c r="O3504" s="1183"/>
      <c r="P3504" s="1201"/>
      <c r="Q3504" s="1201"/>
      <c r="R3504" s="1201"/>
      <c r="S3504" s="1201"/>
      <c r="T3504" s="1201"/>
    </row>
    <row r="3505" spans="12:20">
      <c r="L3505" s="1179"/>
      <c r="M3505" s="1183"/>
      <c r="N3505" s="1183"/>
      <c r="O3505" s="1183"/>
      <c r="P3505" s="1201"/>
      <c r="Q3505" s="1201"/>
      <c r="R3505" s="1201"/>
      <c r="S3505" s="1201"/>
      <c r="T3505" s="1201"/>
    </row>
    <row r="3506" spans="12:20">
      <c r="L3506" s="1179"/>
      <c r="M3506" s="1183"/>
      <c r="N3506" s="1183"/>
      <c r="O3506" s="1183"/>
      <c r="P3506" s="1201"/>
      <c r="Q3506" s="1201"/>
      <c r="R3506" s="1201"/>
      <c r="S3506" s="1201"/>
      <c r="T3506" s="1201"/>
    </row>
    <row r="3507" spans="12:20">
      <c r="L3507" s="1179"/>
      <c r="M3507" s="1183"/>
      <c r="N3507" s="1183"/>
      <c r="O3507" s="1183"/>
      <c r="P3507" s="1201"/>
      <c r="Q3507" s="1201"/>
      <c r="R3507" s="1201"/>
      <c r="S3507" s="1201"/>
      <c r="T3507" s="1201"/>
    </row>
    <row r="3508" spans="12:20">
      <c r="L3508" s="1179"/>
      <c r="M3508" s="1183"/>
      <c r="N3508" s="1183"/>
      <c r="O3508" s="1183"/>
      <c r="P3508" s="1201"/>
      <c r="Q3508" s="1201"/>
      <c r="R3508" s="1201"/>
      <c r="S3508" s="1201"/>
      <c r="T3508" s="1201"/>
    </row>
    <row r="3509" spans="12:20">
      <c r="L3509" s="1179"/>
      <c r="M3509" s="1183"/>
      <c r="N3509" s="1183"/>
      <c r="O3509" s="1183"/>
      <c r="P3509" s="1201"/>
      <c r="Q3509" s="1201"/>
      <c r="R3509" s="1201"/>
      <c r="S3509" s="1201"/>
      <c r="T3509" s="1201"/>
    </row>
    <row r="3510" spans="12:20">
      <c r="L3510" s="1179"/>
      <c r="M3510" s="1183"/>
      <c r="N3510" s="1183"/>
      <c r="O3510" s="1183"/>
      <c r="P3510" s="1201"/>
      <c r="Q3510" s="1201"/>
      <c r="R3510" s="1201"/>
      <c r="S3510" s="1201"/>
      <c r="T3510" s="1201"/>
    </row>
    <row r="3511" spans="12:20">
      <c r="L3511" s="1179"/>
      <c r="M3511" s="1183"/>
      <c r="N3511" s="1183"/>
      <c r="O3511" s="1183"/>
      <c r="P3511" s="1201"/>
      <c r="Q3511" s="1201"/>
      <c r="R3511" s="1201"/>
      <c r="S3511" s="1201"/>
      <c r="T3511" s="1201"/>
    </row>
    <row r="3512" spans="12:20">
      <c r="L3512" s="1179"/>
      <c r="M3512" s="1183"/>
      <c r="N3512" s="1183"/>
      <c r="O3512" s="1183"/>
      <c r="P3512" s="1201"/>
      <c r="Q3512" s="1201"/>
      <c r="R3512" s="1201"/>
      <c r="S3512" s="1201"/>
      <c r="T3512" s="1201"/>
    </row>
    <row r="3513" spans="12:20">
      <c r="L3513" s="1179"/>
      <c r="M3513" s="1183"/>
      <c r="N3513" s="1183"/>
      <c r="O3513" s="1183"/>
      <c r="P3513" s="1201"/>
      <c r="Q3513" s="1201"/>
      <c r="R3513" s="1201"/>
      <c r="S3513" s="1201"/>
      <c r="T3513" s="1201"/>
    </row>
    <row r="3514" spans="12:20">
      <c r="L3514" s="1179"/>
      <c r="M3514" s="1183"/>
      <c r="N3514" s="1183"/>
      <c r="O3514" s="1183"/>
      <c r="P3514" s="1201"/>
      <c r="Q3514" s="1201"/>
      <c r="R3514" s="1201"/>
      <c r="S3514" s="1201"/>
      <c r="T3514" s="1201"/>
    </row>
    <row r="3515" spans="12:20">
      <c r="L3515" s="1179"/>
      <c r="M3515" s="1183"/>
      <c r="N3515" s="1183"/>
      <c r="O3515" s="1183"/>
      <c r="P3515" s="1201"/>
      <c r="Q3515" s="1201"/>
      <c r="R3515" s="1201"/>
      <c r="S3515" s="1201"/>
      <c r="T3515" s="1201"/>
    </row>
    <row r="3516" spans="12:20">
      <c r="L3516" s="1179"/>
      <c r="M3516" s="1183"/>
      <c r="N3516" s="1183"/>
      <c r="O3516" s="1183"/>
      <c r="P3516" s="1201"/>
      <c r="Q3516" s="1201"/>
      <c r="R3516" s="1201"/>
      <c r="S3516" s="1201"/>
      <c r="T3516" s="1201"/>
    </row>
    <row r="3517" spans="12:20">
      <c r="L3517" s="1179"/>
      <c r="M3517" s="1183"/>
      <c r="N3517" s="1183"/>
      <c r="O3517" s="1183"/>
      <c r="P3517" s="1201"/>
      <c r="Q3517" s="1201"/>
      <c r="R3517" s="1201"/>
      <c r="S3517" s="1201"/>
      <c r="T3517" s="1201"/>
    </row>
    <row r="3518" spans="12:20">
      <c r="L3518" s="1179"/>
      <c r="M3518" s="1183"/>
      <c r="N3518" s="1183"/>
      <c r="O3518" s="1183"/>
      <c r="P3518" s="1201"/>
      <c r="Q3518" s="1201"/>
      <c r="R3518" s="1201"/>
      <c r="S3518" s="1201"/>
      <c r="T3518" s="1201"/>
    </row>
    <row r="3519" spans="12:20">
      <c r="L3519" s="1179"/>
      <c r="M3519" s="1183"/>
      <c r="N3519" s="1183"/>
      <c r="O3519" s="1183"/>
      <c r="P3519" s="1201"/>
      <c r="Q3519" s="1201"/>
      <c r="R3519" s="1201"/>
      <c r="S3519" s="1201"/>
      <c r="T3519" s="1201"/>
    </row>
    <row r="3520" spans="12:20">
      <c r="L3520" s="1179"/>
      <c r="M3520" s="1183"/>
      <c r="N3520" s="1183"/>
      <c r="O3520" s="1183"/>
      <c r="P3520" s="1201"/>
      <c r="Q3520" s="1201"/>
      <c r="R3520" s="1201"/>
      <c r="S3520" s="1201"/>
      <c r="T3520" s="1201"/>
    </row>
    <row r="3521" spans="12:20">
      <c r="L3521" s="1179"/>
      <c r="M3521" s="1183"/>
      <c r="N3521" s="1183"/>
      <c r="O3521" s="1183"/>
      <c r="P3521" s="1201"/>
      <c r="Q3521" s="1201"/>
      <c r="R3521" s="1201"/>
      <c r="S3521" s="1201"/>
      <c r="T3521" s="1201"/>
    </row>
    <row r="3522" spans="12:20">
      <c r="L3522" s="1179"/>
      <c r="M3522" s="1183"/>
      <c r="N3522" s="1183"/>
      <c r="O3522" s="1183"/>
      <c r="P3522" s="1201"/>
      <c r="Q3522" s="1201"/>
      <c r="R3522" s="1201"/>
      <c r="S3522" s="1201"/>
      <c r="T3522" s="1201"/>
    </row>
    <row r="3523" spans="12:20">
      <c r="L3523" s="1179"/>
      <c r="M3523" s="1183"/>
      <c r="N3523" s="1183"/>
      <c r="O3523" s="1183"/>
      <c r="P3523" s="1201"/>
      <c r="Q3523" s="1201"/>
      <c r="R3523" s="1201"/>
      <c r="S3523" s="1201"/>
      <c r="T3523" s="1201"/>
    </row>
    <row r="3524" spans="12:20">
      <c r="L3524" s="1179"/>
      <c r="M3524" s="1183"/>
      <c r="N3524" s="1183"/>
      <c r="O3524" s="1183"/>
      <c r="P3524" s="1201"/>
      <c r="Q3524" s="1201"/>
      <c r="R3524" s="1201"/>
      <c r="S3524" s="1201"/>
      <c r="T3524" s="1201"/>
    </row>
    <row r="3525" spans="12:20">
      <c r="L3525" s="1179"/>
      <c r="M3525" s="1183"/>
      <c r="N3525" s="1183"/>
      <c r="O3525" s="1183"/>
      <c r="P3525" s="1201"/>
      <c r="Q3525" s="1201"/>
      <c r="R3525" s="1201"/>
      <c r="S3525" s="1201"/>
      <c r="T3525" s="1201"/>
    </row>
    <row r="3526" spans="12:20">
      <c r="L3526" s="1179"/>
      <c r="M3526" s="1183"/>
      <c r="N3526" s="1183"/>
      <c r="O3526" s="1183"/>
      <c r="P3526" s="1201"/>
      <c r="Q3526" s="1201"/>
      <c r="R3526" s="1201"/>
      <c r="S3526" s="1201"/>
      <c r="T3526" s="1201"/>
    </row>
    <row r="3527" spans="12:20">
      <c r="L3527" s="1179"/>
      <c r="M3527" s="1183"/>
      <c r="N3527" s="1183"/>
      <c r="O3527" s="1183"/>
      <c r="P3527" s="1201"/>
      <c r="Q3527" s="1201"/>
      <c r="R3527" s="1201"/>
      <c r="S3527" s="1201"/>
      <c r="T3527" s="1201"/>
    </row>
    <row r="3528" spans="12:20">
      <c r="L3528" s="1179"/>
      <c r="M3528" s="1183"/>
      <c r="N3528" s="1183"/>
      <c r="O3528" s="1183"/>
      <c r="P3528" s="1201"/>
      <c r="Q3528" s="1201"/>
      <c r="R3528" s="1201"/>
      <c r="S3528" s="1201"/>
      <c r="T3528" s="1201"/>
    </row>
    <row r="3529" spans="12:20">
      <c r="L3529" s="1179"/>
      <c r="M3529" s="1183"/>
      <c r="N3529" s="1183"/>
      <c r="O3529" s="1183"/>
      <c r="P3529" s="1201"/>
      <c r="Q3529" s="1201"/>
      <c r="R3529" s="1201"/>
      <c r="S3529" s="1201"/>
      <c r="T3529" s="1201"/>
    </row>
    <row r="3530" spans="12:20">
      <c r="L3530" s="1179"/>
      <c r="M3530" s="1183"/>
      <c r="N3530" s="1183"/>
      <c r="O3530" s="1183"/>
      <c r="P3530" s="1201"/>
      <c r="Q3530" s="1201"/>
      <c r="R3530" s="1201"/>
      <c r="S3530" s="1201"/>
      <c r="T3530" s="1201"/>
    </row>
    <row r="3531" spans="12:20">
      <c r="L3531" s="1179"/>
      <c r="M3531" s="1183"/>
      <c r="N3531" s="1183"/>
      <c r="O3531" s="1183"/>
      <c r="P3531" s="1201"/>
      <c r="Q3531" s="1201"/>
      <c r="R3531" s="1201"/>
      <c r="S3531" s="1201"/>
      <c r="T3531" s="1201"/>
    </row>
    <row r="3532" spans="12:20">
      <c r="L3532" s="1179"/>
      <c r="M3532" s="1183"/>
      <c r="N3532" s="1183"/>
      <c r="O3532" s="1183"/>
      <c r="P3532" s="1201"/>
      <c r="Q3532" s="1201"/>
      <c r="R3532" s="1201"/>
      <c r="S3532" s="1201"/>
      <c r="T3532" s="1201"/>
    </row>
    <row r="3533" spans="12:20">
      <c r="L3533" s="1179"/>
      <c r="M3533" s="1183"/>
      <c r="N3533" s="1183"/>
      <c r="O3533" s="1183"/>
      <c r="P3533" s="1201"/>
      <c r="Q3533" s="1201"/>
      <c r="R3533" s="1201"/>
      <c r="S3533" s="1201"/>
      <c r="T3533" s="1201"/>
    </row>
    <row r="3534" spans="12:20">
      <c r="L3534" s="1179"/>
      <c r="M3534" s="1183"/>
      <c r="N3534" s="1183"/>
      <c r="O3534" s="1183"/>
      <c r="P3534" s="1201"/>
      <c r="Q3534" s="1201"/>
      <c r="R3534" s="1201"/>
      <c r="S3534" s="1201"/>
      <c r="T3534" s="1201"/>
    </row>
    <row r="3535" spans="12:20">
      <c r="L3535" s="1179"/>
      <c r="M3535" s="1183"/>
      <c r="N3535" s="1183"/>
      <c r="O3535" s="1183"/>
      <c r="P3535" s="1201"/>
      <c r="Q3535" s="1201"/>
      <c r="R3535" s="1201"/>
      <c r="S3535" s="1201"/>
      <c r="T3535" s="1201"/>
    </row>
    <row r="3536" spans="12:20">
      <c r="L3536" s="1179"/>
      <c r="M3536" s="1183"/>
      <c r="N3536" s="1183"/>
      <c r="O3536" s="1183"/>
      <c r="P3536" s="1201"/>
      <c r="Q3536" s="1201"/>
      <c r="R3536" s="1201"/>
      <c r="S3536" s="1201"/>
      <c r="T3536" s="1201"/>
    </row>
    <row r="3537" spans="12:20">
      <c r="L3537" s="1179"/>
      <c r="M3537" s="1183"/>
      <c r="N3537" s="1183"/>
      <c r="O3537" s="1183"/>
      <c r="P3537" s="1201"/>
      <c r="Q3537" s="1201"/>
      <c r="R3537" s="1201"/>
      <c r="S3537" s="1201"/>
      <c r="T3537" s="1201"/>
    </row>
    <row r="3538" spans="12:20">
      <c r="L3538" s="1179"/>
      <c r="M3538" s="1183"/>
      <c r="N3538" s="1183"/>
      <c r="O3538" s="1183"/>
      <c r="P3538" s="1201"/>
      <c r="Q3538" s="1201"/>
      <c r="R3538" s="1201"/>
      <c r="S3538" s="1201"/>
      <c r="T3538" s="1201"/>
    </row>
    <row r="3539" spans="12:20">
      <c r="L3539" s="1179"/>
      <c r="M3539" s="1183"/>
      <c r="N3539" s="1183"/>
      <c r="O3539" s="1183"/>
      <c r="P3539" s="1201"/>
      <c r="Q3539" s="1201"/>
      <c r="R3539" s="1201"/>
      <c r="S3539" s="1201"/>
      <c r="T3539" s="1201"/>
    </row>
    <row r="3540" spans="12:20">
      <c r="L3540" s="1179"/>
      <c r="M3540" s="1183"/>
      <c r="N3540" s="1183"/>
      <c r="O3540" s="1183"/>
      <c r="P3540" s="1201"/>
      <c r="Q3540" s="1201"/>
      <c r="R3540" s="1201"/>
      <c r="S3540" s="1201"/>
      <c r="T3540" s="1201"/>
    </row>
    <row r="3541" spans="12:20">
      <c r="L3541" s="1179"/>
      <c r="M3541" s="1183"/>
      <c r="N3541" s="1183"/>
      <c r="O3541" s="1183"/>
      <c r="P3541" s="1201"/>
      <c r="Q3541" s="1201"/>
      <c r="R3541" s="1201"/>
      <c r="S3541" s="1201"/>
      <c r="T3541" s="1201"/>
    </row>
    <row r="3542" spans="12:20">
      <c r="L3542" s="1179"/>
      <c r="M3542" s="1183"/>
      <c r="N3542" s="1183"/>
      <c r="O3542" s="1183"/>
      <c r="P3542" s="1201"/>
      <c r="Q3542" s="1201"/>
      <c r="R3542" s="1201"/>
      <c r="S3542" s="1201"/>
      <c r="T3542" s="1201"/>
    </row>
    <row r="3543" spans="12:20">
      <c r="L3543" s="1179"/>
      <c r="M3543" s="1183"/>
      <c r="N3543" s="1183"/>
      <c r="O3543" s="1183"/>
      <c r="P3543" s="1201"/>
      <c r="Q3543" s="1201"/>
      <c r="R3543" s="1201"/>
      <c r="S3543" s="1201"/>
      <c r="T3543" s="1201"/>
    </row>
    <row r="3544" spans="12:20">
      <c r="L3544" s="1179"/>
      <c r="M3544" s="1183"/>
      <c r="N3544" s="1183"/>
      <c r="O3544" s="1183"/>
      <c r="P3544" s="1201"/>
      <c r="Q3544" s="1201"/>
      <c r="R3544" s="1201"/>
      <c r="S3544" s="1201"/>
      <c r="T3544" s="1201"/>
    </row>
    <row r="3545" spans="12:20">
      <c r="L3545" s="1179"/>
      <c r="M3545" s="1183"/>
      <c r="N3545" s="1183"/>
      <c r="O3545" s="1183"/>
      <c r="P3545" s="1201"/>
      <c r="Q3545" s="1201"/>
      <c r="R3545" s="1201"/>
      <c r="S3545" s="1201"/>
      <c r="T3545" s="1201"/>
    </row>
    <row r="3546" spans="12:20">
      <c r="L3546" s="1179"/>
      <c r="M3546" s="1183"/>
      <c r="N3546" s="1183"/>
      <c r="O3546" s="1183"/>
      <c r="P3546" s="1201"/>
      <c r="Q3546" s="1201"/>
      <c r="R3546" s="1201"/>
      <c r="S3546" s="1201"/>
      <c r="T3546" s="1201"/>
    </row>
    <row r="3547" spans="12:20">
      <c r="L3547" s="1179"/>
      <c r="M3547" s="1183"/>
      <c r="N3547" s="1183"/>
      <c r="O3547" s="1183"/>
      <c r="P3547" s="1201"/>
      <c r="Q3547" s="1201"/>
      <c r="R3547" s="1201"/>
      <c r="S3547" s="1201"/>
      <c r="T3547" s="1201"/>
    </row>
    <row r="3548" spans="12:20">
      <c r="L3548" s="1179"/>
      <c r="M3548" s="1183"/>
      <c r="N3548" s="1183"/>
      <c r="O3548" s="1183"/>
      <c r="P3548" s="1201"/>
      <c r="Q3548" s="1201"/>
      <c r="R3548" s="1201"/>
      <c r="S3548" s="1201"/>
      <c r="T3548" s="1201"/>
    </row>
    <row r="3549" spans="12:20">
      <c r="L3549" s="1179"/>
      <c r="M3549" s="1183"/>
      <c r="N3549" s="1183"/>
      <c r="O3549" s="1183"/>
      <c r="P3549" s="1201"/>
      <c r="Q3549" s="1201"/>
      <c r="R3549" s="1201"/>
      <c r="S3549" s="1201"/>
      <c r="T3549" s="1201"/>
    </row>
    <row r="3550" spans="12:20">
      <c r="L3550" s="1179"/>
      <c r="M3550" s="1183"/>
      <c r="N3550" s="1183"/>
      <c r="O3550" s="1183"/>
      <c r="P3550" s="1201"/>
      <c r="Q3550" s="1201"/>
      <c r="R3550" s="1201"/>
      <c r="S3550" s="1201"/>
      <c r="T3550" s="1201"/>
    </row>
    <row r="3551" spans="12:20">
      <c r="L3551" s="1179"/>
      <c r="M3551" s="1183"/>
      <c r="N3551" s="1183"/>
      <c r="O3551" s="1183"/>
      <c r="P3551" s="1201"/>
      <c r="Q3551" s="1201"/>
      <c r="R3551" s="1201"/>
      <c r="S3551" s="1201"/>
      <c r="T3551" s="1201"/>
    </row>
    <row r="3552" spans="12:20">
      <c r="L3552" s="1179"/>
      <c r="M3552" s="1183"/>
      <c r="N3552" s="1183"/>
      <c r="O3552" s="1183"/>
      <c r="P3552" s="1201"/>
      <c r="Q3552" s="1201"/>
      <c r="R3552" s="1201"/>
      <c r="S3552" s="1201"/>
      <c r="T3552" s="1201"/>
    </row>
    <row r="3553" spans="12:20">
      <c r="L3553" s="1179"/>
      <c r="M3553" s="1183"/>
      <c r="N3553" s="1183"/>
      <c r="O3553" s="1183"/>
      <c r="P3553" s="1201"/>
      <c r="Q3553" s="1201"/>
      <c r="R3553" s="1201"/>
      <c r="S3553" s="1201"/>
      <c r="T3553" s="1201"/>
    </row>
    <row r="3554" spans="12:20">
      <c r="L3554" s="1179"/>
      <c r="M3554" s="1183"/>
      <c r="N3554" s="1183"/>
      <c r="O3554" s="1183"/>
      <c r="P3554" s="1201"/>
      <c r="Q3554" s="1201"/>
      <c r="R3554" s="1201"/>
      <c r="S3554" s="1201"/>
      <c r="T3554" s="1201"/>
    </row>
    <row r="3555" spans="12:20">
      <c r="L3555" s="1179"/>
      <c r="M3555" s="1183"/>
      <c r="N3555" s="1183"/>
      <c r="O3555" s="1183"/>
      <c r="P3555" s="1201"/>
      <c r="Q3555" s="1201"/>
      <c r="R3555" s="1201"/>
      <c r="S3555" s="1201"/>
      <c r="T3555" s="1201"/>
    </row>
    <row r="3556" spans="12:20">
      <c r="L3556" s="1179"/>
      <c r="M3556" s="1183"/>
      <c r="N3556" s="1183"/>
      <c r="O3556" s="1183"/>
      <c r="P3556" s="1201"/>
      <c r="Q3556" s="1201"/>
      <c r="R3556" s="1201"/>
      <c r="S3556" s="1201"/>
      <c r="T3556" s="1201"/>
    </row>
    <row r="3557" spans="12:20">
      <c r="L3557" s="1179"/>
      <c r="M3557" s="1183"/>
      <c r="N3557" s="1183"/>
      <c r="O3557" s="1183"/>
      <c r="P3557" s="1201"/>
      <c r="Q3557" s="1201"/>
      <c r="R3557" s="1201"/>
      <c r="S3557" s="1201"/>
      <c r="T3557" s="1201"/>
    </row>
    <row r="3558" spans="12:20">
      <c r="L3558" s="1179"/>
      <c r="M3558" s="1183"/>
      <c r="N3558" s="1183"/>
      <c r="O3558" s="1183"/>
      <c r="P3558" s="1201"/>
      <c r="Q3558" s="1201"/>
      <c r="R3558" s="1201"/>
      <c r="S3558" s="1201"/>
      <c r="T3558" s="1201"/>
    </row>
    <row r="3559" spans="12:20">
      <c r="L3559" s="1179"/>
      <c r="M3559" s="1183"/>
      <c r="N3559" s="1183"/>
      <c r="O3559" s="1183"/>
      <c r="P3559" s="1201"/>
      <c r="Q3559" s="1201"/>
      <c r="R3559" s="1201"/>
      <c r="S3559" s="1201"/>
      <c r="T3559" s="1201"/>
    </row>
    <row r="3560" spans="12:20">
      <c r="L3560" s="1179"/>
      <c r="M3560" s="1183"/>
      <c r="N3560" s="1183"/>
      <c r="O3560" s="1183"/>
      <c r="P3560" s="1201"/>
      <c r="Q3560" s="1201"/>
      <c r="R3560" s="1201"/>
      <c r="S3560" s="1201"/>
      <c r="T3560" s="1201"/>
    </row>
    <row r="3561" spans="12:20">
      <c r="L3561" s="1179"/>
      <c r="M3561" s="1183"/>
      <c r="N3561" s="1183"/>
      <c r="O3561" s="1183"/>
      <c r="P3561" s="1201"/>
      <c r="Q3561" s="1201"/>
      <c r="R3561" s="1201"/>
      <c r="S3561" s="1201"/>
      <c r="T3561" s="1201"/>
    </row>
    <row r="3562" spans="12:20">
      <c r="L3562" s="1179"/>
      <c r="M3562" s="1183"/>
      <c r="N3562" s="1183"/>
      <c r="O3562" s="1183"/>
      <c r="P3562" s="1201"/>
      <c r="Q3562" s="1201"/>
      <c r="R3562" s="1201"/>
      <c r="S3562" s="1201"/>
      <c r="T3562" s="1201"/>
    </row>
    <row r="3563" spans="12:20">
      <c r="L3563" s="1179"/>
      <c r="M3563" s="1183"/>
      <c r="N3563" s="1183"/>
      <c r="O3563" s="1183"/>
      <c r="P3563" s="1201"/>
      <c r="Q3563" s="1201"/>
      <c r="R3563" s="1201"/>
      <c r="S3563" s="1201"/>
      <c r="T3563" s="1201"/>
    </row>
    <row r="3564" spans="12:20">
      <c r="L3564" s="1179"/>
      <c r="M3564" s="1183"/>
      <c r="N3564" s="1183"/>
      <c r="O3564" s="1183"/>
      <c r="P3564" s="1201"/>
      <c r="Q3564" s="1201"/>
      <c r="R3564" s="1201"/>
      <c r="S3564" s="1201"/>
      <c r="T3564" s="1201"/>
    </row>
    <row r="3565" spans="12:20">
      <c r="L3565" s="1179"/>
      <c r="M3565" s="1183"/>
      <c r="N3565" s="1183"/>
      <c r="O3565" s="1183"/>
      <c r="P3565" s="1201"/>
      <c r="Q3565" s="1201"/>
      <c r="R3565" s="1201"/>
      <c r="S3565" s="1201"/>
      <c r="T3565" s="1201"/>
    </row>
    <row r="3566" spans="12:20">
      <c r="L3566" s="1179"/>
      <c r="M3566" s="1183"/>
      <c r="N3566" s="1183"/>
      <c r="O3566" s="1183"/>
      <c r="P3566" s="1201"/>
      <c r="Q3566" s="1201"/>
      <c r="R3566" s="1201"/>
      <c r="S3566" s="1201"/>
      <c r="T3566" s="1201"/>
    </row>
    <row r="3567" spans="12:20">
      <c r="L3567" s="1179"/>
      <c r="M3567" s="1183"/>
      <c r="N3567" s="1183"/>
      <c r="O3567" s="1183"/>
      <c r="P3567" s="1201"/>
      <c r="Q3567" s="1201"/>
      <c r="R3567" s="1201"/>
      <c r="S3567" s="1201"/>
      <c r="T3567" s="1201"/>
    </row>
    <row r="3568" spans="12:20">
      <c r="L3568" s="1179"/>
      <c r="M3568" s="1183"/>
      <c r="N3568" s="1183"/>
      <c r="O3568" s="1183"/>
      <c r="P3568" s="1201"/>
      <c r="Q3568" s="1201"/>
      <c r="R3568" s="1201"/>
      <c r="S3568" s="1201"/>
      <c r="T3568" s="1201"/>
    </row>
    <row r="3569" spans="12:20">
      <c r="L3569" s="1179"/>
      <c r="M3569" s="1183"/>
      <c r="N3569" s="1183"/>
      <c r="O3569" s="1183"/>
      <c r="P3569" s="1201"/>
      <c r="Q3569" s="1201"/>
      <c r="R3569" s="1201"/>
      <c r="S3569" s="1201"/>
      <c r="T3569" s="1201"/>
    </row>
    <row r="3570" spans="12:20">
      <c r="L3570" s="1179"/>
      <c r="M3570" s="1183"/>
      <c r="N3570" s="1183"/>
      <c r="O3570" s="1183"/>
      <c r="P3570" s="1201"/>
      <c r="Q3570" s="1201"/>
      <c r="R3570" s="1201"/>
      <c r="S3570" s="1201"/>
      <c r="T3570" s="1201"/>
    </row>
    <row r="3571" spans="12:20">
      <c r="L3571" s="1179"/>
      <c r="M3571" s="1183"/>
      <c r="N3571" s="1183"/>
      <c r="O3571" s="1183"/>
      <c r="P3571" s="1201"/>
      <c r="Q3571" s="1201"/>
      <c r="R3571" s="1201"/>
      <c r="S3571" s="1201"/>
      <c r="T3571" s="1201"/>
    </row>
    <row r="3572" spans="12:20">
      <c r="L3572" s="1179"/>
      <c r="M3572" s="1183"/>
      <c r="N3572" s="1183"/>
      <c r="O3572" s="1183"/>
      <c r="P3572" s="1201"/>
      <c r="Q3572" s="1201"/>
      <c r="R3572" s="1201"/>
      <c r="S3572" s="1201"/>
      <c r="T3572" s="1201"/>
    </row>
    <row r="3573" spans="12:20">
      <c r="L3573" s="1179"/>
      <c r="M3573" s="1183"/>
      <c r="N3573" s="1183"/>
      <c r="O3573" s="1183"/>
      <c r="P3573" s="1201"/>
      <c r="Q3573" s="1201"/>
      <c r="R3573" s="1201"/>
      <c r="S3573" s="1201"/>
      <c r="T3573" s="1201"/>
    </row>
    <row r="3574" spans="12:20">
      <c r="L3574" s="1179"/>
      <c r="M3574" s="1183"/>
      <c r="N3574" s="1183"/>
      <c r="O3574" s="1183"/>
      <c r="P3574" s="1201"/>
      <c r="Q3574" s="1201"/>
      <c r="R3574" s="1201"/>
      <c r="S3574" s="1201"/>
      <c r="T3574" s="1201"/>
    </row>
    <row r="3575" spans="12:20">
      <c r="L3575" s="1179"/>
      <c r="M3575" s="1183"/>
      <c r="N3575" s="1183"/>
      <c r="O3575" s="1183"/>
      <c r="P3575" s="1201"/>
      <c r="Q3575" s="1201"/>
      <c r="R3575" s="1201"/>
      <c r="S3575" s="1201"/>
      <c r="T3575" s="1201"/>
    </row>
    <row r="3576" spans="12:20">
      <c r="L3576" s="1179"/>
      <c r="M3576" s="1183"/>
      <c r="N3576" s="1183"/>
      <c r="O3576" s="1183"/>
      <c r="P3576" s="1201"/>
      <c r="Q3576" s="1201"/>
      <c r="R3576" s="1201"/>
      <c r="S3576" s="1201"/>
      <c r="T3576" s="1201"/>
    </row>
    <row r="3577" spans="12:20">
      <c r="L3577" s="1179"/>
      <c r="M3577" s="1183"/>
      <c r="N3577" s="1183"/>
      <c r="O3577" s="1183"/>
      <c r="P3577" s="1201"/>
      <c r="Q3577" s="1201"/>
      <c r="R3577" s="1201"/>
      <c r="S3577" s="1201"/>
      <c r="T3577" s="1201"/>
    </row>
    <row r="3578" spans="12:20">
      <c r="L3578" s="1179"/>
      <c r="M3578" s="1183"/>
      <c r="N3578" s="1183"/>
      <c r="O3578" s="1183"/>
      <c r="P3578" s="1201"/>
      <c r="Q3578" s="1201"/>
      <c r="R3578" s="1201"/>
      <c r="S3578" s="1201"/>
      <c r="T3578" s="1201"/>
    </row>
    <row r="3579" spans="12:20">
      <c r="L3579" s="1179"/>
      <c r="M3579" s="1183"/>
      <c r="N3579" s="1183"/>
      <c r="O3579" s="1183"/>
      <c r="P3579" s="1201"/>
      <c r="Q3579" s="1201"/>
      <c r="R3579" s="1201"/>
      <c r="S3579" s="1201"/>
      <c r="T3579" s="1201"/>
    </row>
    <row r="3580" spans="12:20">
      <c r="L3580" s="1179"/>
      <c r="M3580" s="1183"/>
      <c r="N3580" s="1183"/>
      <c r="O3580" s="1183"/>
      <c r="P3580" s="1201"/>
      <c r="Q3580" s="1201"/>
      <c r="R3580" s="1201"/>
      <c r="S3580" s="1201"/>
      <c r="T3580" s="1201"/>
    </row>
    <row r="3581" spans="12:20">
      <c r="L3581" s="1179"/>
      <c r="M3581" s="1183"/>
      <c r="N3581" s="1183"/>
      <c r="O3581" s="1183"/>
      <c r="P3581" s="1201"/>
      <c r="Q3581" s="1201"/>
      <c r="R3581" s="1201"/>
      <c r="S3581" s="1201"/>
      <c r="T3581" s="1201"/>
    </row>
    <row r="3582" spans="12:20">
      <c r="L3582" s="1179"/>
      <c r="M3582" s="1183"/>
      <c r="N3582" s="1183"/>
      <c r="O3582" s="1183"/>
      <c r="P3582" s="1201"/>
      <c r="Q3582" s="1201"/>
      <c r="R3582" s="1201"/>
      <c r="S3582" s="1201"/>
      <c r="T3582" s="1201"/>
    </row>
    <row r="3583" spans="12:20">
      <c r="L3583" s="1179"/>
      <c r="M3583" s="1183"/>
      <c r="N3583" s="1183"/>
      <c r="O3583" s="1183"/>
      <c r="P3583" s="1201"/>
      <c r="Q3583" s="1201"/>
      <c r="R3583" s="1201"/>
      <c r="S3583" s="1201"/>
      <c r="T3583" s="1201"/>
    </row>
    <row r="3584" spans="12:20">
      <c r="L3584" s="1179"/>
      <c r="M3584" s="1183"/>
      <c r="N3584" s="1183"/>
      <c r="O3584" s="1183"/>
      <c r="P3584" s="1201"/>
      <c r="Q3584" s="1201"/>
      <c r="R3584" s="1201"/>
      <c r="S3584" s="1201"/>
      <c r="T3584" s="1201"/>
    </row>
    <row r="3585" spans="12:20">
      <c r="L3585" s="1179"/>
      <c r="M3585" s="1183"/>
      <c r="N3585" s="1183"/>
      <c r="O3585" s="1183"/>
      <c r="P3585" s="1201"/>
      <c r="Q3585" s="1201"/>
      <c r="R3585" s="1201"/>
      <c r="S3585" s="1201"/>
      <c r="T3585" s="1201"/>
    </row>
    <row r="3586" spans="12:20">
      <c r="L3586" s="1179"/>
      <c r="M3586" s="1183"/>
      <c r="N3586" s="1183"/>
      <c r="O3586" s="1183"/>
      <c r="P3586" s="1201"/>
      <c r="Q3586" s="1201"/>
      <c r="R3586" s="1201"/>
      <c r="S3586" s="1201"/>
      <c r="T3586" s="1201"/>
    </row>
    <row r="3587" spans="12:20">
      <c r="L3587" s="1179"/>
      <c r="M3587" s="1183"/>
      <c r="N3587" s="1183"/>
      <c r="O3587" s="1183"/>
      <c r="P3587" s="1201"/>
      <c r="Q3587" s="1201"/>
      <c r="R3587" s="1201"/>
      <c r="S3587" s="1201"/>
      <c r="T3587" s="1201"/>
    </row>
    <row r="3588" spans="12:20">
      <c r="L3588" s="1179"/>
      <c r="M3588" s="1183"/>
      <c r="N3588" s="1183"/>
      <c r="O3588" s="1183"/>
      <c r="P3588" s="1201"/>
      <c r="Q3588" s="1201"/>
      <c r="R3588" s="1201"/>
      <c r="S3588" s="1201"/>
      <c r="T3588" s="1201"/>
    </row>
    <row r="3589" spans="12:20">
      <c r="L3589" s="1179"/>
      <c r="M3589" s="1183"/>
      <c r="N3589" s="1183"/>
      <c r="O3589" s="1183"/>
      <c r="P3589" s="1201"/>
      <c r="Q3589" s="1201"/>
      <c r="R3589" s="1201"/>
      <c r="S3589" s="1201"/>
      <c r="T3589" s="1201"/>
    </row>
    <row r="3590" spans="12:20">
      <c r="L3590" s="1179"/>
      <c r="M3590" s="1183"/>
      <c r="N3590" s="1183"/>
      <c r="O3590" s="1183"/>
      <c r="P3590" s="1201"/>
      <c r="Q3590" s="1201"/>
      <c r="R3590" s="1201"/>
      <c r="S3590" s="1201"/>
      <c r="T3590" s="1201"/>
    </row>
    <row r="3591" spans="12:20">
      <c r="L3591" s="1179"/>
      <c r="M3591" s="1183"/>
      <c r="N3591" s="1183"/>
      <c r="O3591" s="1183"/>
      <c r="P3591" s="1201"/>
      <c r="Q3591" s="1201"/>
      <c r="R3591" s="1201"/>
      <c r="S3591" s="1201"/>
      <c r="T3591" s="1201"/>
    </row>
    <row r="3592" spans="12:20">
      <c r="L3592" s="1179"/>
      <c r="M3592" s="1183"/>
      <c r="N3592" s="1183"/>
      <c r="O3592" s="1183"/>
      <c r="P3592" s="1201"/>
      <c r="Q3592" s="1201"/>
      <c r="R3592" s="1201"/>
      <c r="S3592" s="1201"/>
      <c r="T3592" s="1201"/>
    </row>
    <row r="3593" spans="12:20">
      <c r="L3593" s="1179"/>
      <c r="M3593" s="1183"/>
      <c r="N3593" s="1183"/>
      <c r="O3593" s="1183"/>
      <c r="P3593" s="1201"/>
      <c r="Q3593" s="1201"/>
      <c r="R3593" s="1201"/>
      <c r="S3593" s="1201"/>
      <c r="T3593" s="1201"/>
    </row>
    <row r="3594" spans="12:20">
      <c r="L3594" s="1179"/>
      <c r="M3594" s="1183"/>
      <c r="N3594" s="1183"/>
      <c r="O3594" s="1183"/>
      <c r="P3594" s="1201"/>
      <c r="Q3594" s="1201"/>
      <c r="R3594" s="1201"/>
      <c r="S3594" s="1201"/>
      <c r="T3594" s="1201"/>
    </row>
    <row r="3595" spans="12:20">
      <c r="L3595" s="1179"/>
      <c r="M3595" s="1183"/>
      <c r="N3595" s="1183"/>
      <c r="O3595" s="1183"/>
      <c r="P3595" s="1201"/>
      <c r="Q3595" s="1201"/>
      <c r="R3595" s="1201"/>
      <c r="S3595" s="1201"/>
      <c r="T3595" s="1201"/>
    </row>
    <row r="3596" spans="12:20">
      <c r="L3596" s="1179"/>
      <c r="M3596" s="1183"/>
      <c r="N3596" s="1183"/>
      <c r="O3596" s="1183"/>
      <c r="P3596" s="1201"/>
      <c r="Q3596" s="1201"/>
      <c r="R3596" s="1201"/>
      <c r="S3596" s="1201"/>
      <c r="T3596" s="1201"/>
    </row>
    <row r="3597" spans="12:20">
      <c r="L3597" s="1179"/>
      <c r="M3597" s="1183"/>
      <c r="N3597" s="1183"/>
      <c r="O3597" s="1183"/>
      <c r="P3597" s="1201"/>
      <c r="Q3597" s="1201"/>
      <c r="R3597" s="1201"/>
      <c r="S3597" s="1201"/>
      <c r="T3597" s="1201"/>
    </row>
    <row r="3598" spans="12:20">
      <c r="L3598" s="1179"/>
      <c r="M3598" s="1183"/>
      <c r="N3598" s="1183"/>
      <c r="O3598" s="1183"/>
      <c r="P3598" s="1201"/>
      <c r="Q3598" s="1201"/>
      <c r="R3598" s="1201"/>
      <c r="S3598" s="1201"/>
      <c r="T3598" s="1201"/>
    </row>
    <row r="3599" spans="12:20">
      <c r="L3599" s="1179"/>
      <c r="M3599" s="1183"/>
      <c r="N3599" s="1183"/>
      <c r="O3599" s="1183"/>
      <c r="P3599" s="1201"/>
      <c r="Q3599" s="1201"/>
      <c r="R3599" s="1201"/>
      <c r="S3599" s="1201"/>
      <c r="T3599" s="1201"/>
    </row>
    <row r="3600" spans="12:20">
      <c r="L3600" s="1179"/>
      <c r="M3600" s="1183"/>
      <c r="N3600" s="1183"/>
      <c r="O3600" s="1183"/>
      <c r="P3600" s="1201"/>
      <c r="Q3600" s="1201"/>
      <c r="R3600" s="1201"/>
      <c r="S3600" s="1201"/>
      <c r="T3600" s="1201"/>
    </row>
    <row r="3601" spans="12:20">
      <c r="L3601" s="1179"/>
      <c r="M3601" s="1183"/>
      <c r="N3601" s="1183"/>
      <c r="O3601" s="1183"/>
      <c r="P3601" s="1201"/>
      <c r="Q3601" s="1201"/>
      <c r="R3601" s="1201"/>
      <c r="S3601" s="1201"/>
      <c r="T3601" s="1201"/>
    </row>
    <row r="3602" spans="12:20">
      <c r="L3602" s="1179"/>
      <c r="M3602" s="1183"/>
      <c r="N3602" s="1183"/>
      <c r="O3602" s="1183"/>
      <c r="P3602" s="1201"/>
      <c r="Q3602" s="1201"/>
      <c r="R3602" s="1201"/>
      <c r="S3602" s="1201"/>
      <c r="T3602" s="1201"/>
    </row>
    <row r="3603" spans="12:20">
      <c r="L3603" s="1179"/>
      <c r="M3603" s="1183"/>
      <c r="N3603" s="1183"/>
      <c r="O3603" s="1183"/>
      <c r="P3603" s="1201"/>
      <c r="Q3603" s="1201"/>
      <c r="R3603" s="1201"/>
      <c r="S3603" s="1201"/>
      <c r="T3603" s="1201"/>
    </row>
    <row r="3604" spans="12:20">
      <c r="L3604" s="1179"/>
      <c r="M3604" s="1183"/>
      <c r="N3604" s="1183"/>
      <c r="O3604" s="1183"/>
      <c r="P3604" s="1201"/>
      <c r="Q3604" s="1201"/>
      <c r="R3604" s="1201"/>
      <c r="S3604" s="1201"/>
      <c r="T3604" s="1201"/>
    </row>
    <row r="3605" spans="12:20">
      <c r="L3605" s="1179"/>
      <c r="M3605" s="1183"/>
      <c r="N3605" s="1183"/>
      <c r="O3605" s="1183"/>
      <c r="P3605" s="1201"/>
      <c r="Q3605" s="1201"/>
      <c r="R3605" s="1201"/>
      <c r="S3605" s="1201"/>
      <c r="T3605" s="1201"/>
    </row>
    <row r="3606" spans="12:20">
      <c r="L3606" s="1179"/>
      <c r="M3606" s="1183"/>
      <c r="N3606" s="1183"/>
      <c r="O3606" s="1183"/>
      <c r="P3606" s="1201"/>
      <c r="Q3606" s="1201"/>
      <c r="R3606" s="1201"/>
      <c r="S3606" s="1201"/>
      <c r="T3606" s="1201"/>
    </row>
    <row r="3607" spans="12:20">
      <c r="L3607" s="1179"/>
      <c r="M3607" s="1183"/>
      <c r="N3607" s="1183"/>
      <c r="O3607" s="1183"/>
      <c r="P3607" s="1201"/>
      <c r="Q3607" s="1201"/>
      <c r="R3607" s="1201"/>
      <c r="S3607" s="1201"/>
      <c r="T3607" s="1201"/>
    </row>
    <row r="3608" spans="12:20">
      <c r="L3608" s="1179"/>
      <c r="M3608" s="1183"/>
      <c r="N3608" s="1183"/>
      <c r="O3608" s="1183"/>
      <c r="P3608" s="1201"/>
      <c r="Q3608" s="1201"/>
      <c r="R3608" s="1201"/>
      <c r="S3608" s="1201"/>
      <c r="T3608" s="1201"/>
    </row>
    <row r="3609" spans="12:20">
      <c r="L3609" s="1179"/>
      <c r="M3609" s="1183"/>
      <c r="N3609" s="1183"/>
      <c r="O3609" s="1183"/>
      <c r="P3609" s="1201"/>
      <c r="Q3609" s="1201"/>
      <c r="R3609" s="1201"/>
      <c r="S3609" s="1201"/>
      <c r="T3609" s="1201"/>
    </row>
    <row r="3610" spans="12:20">
      <c r="L3610" s="1179"/>
      <c r="M3610" s="1183"/>
      <c r="N3610" s="1183"/>
      <c r="O3610" s="1183"/>
      <c r="P3610" s="1201"/>
      <c r="Q3610" s="1201"/>
      <c r="R3610" s="1201"/>
      <c r="S3610" s="1201"/>
      <c r="T3610" s="1201"/>
    </row>
    <row r="3611" spans="12:20">
      <c r="L3611" s="1179"/>
      <c r="M3611" s="1183"/>
      <c r="N3611" s="1183"/>
      <c r="O3611" s="1183"/>
      <c r="P3611" s="1201"/>
      <c r="Q3611" s="1201"/>
      <c r="R3611" s="1201"/>
      <c r="S3611" s="1201"/>
      <c r="T3611" s="1201"/>
    </row>
    <row r="3612" spans="12:20">
      <c r="L3612" s="1179"/>
      <c r="M3612" s="1183"/>
      <c r="N3612" s="1183"/>
      <c r="O3612" s="1183"/>
      <c r="P3612" s="1201"/>
      <c r="Q3612" s="1201"/>
      <c r="R3612" s="1201"/>
      <c r="S3612" s="1201"/>
      <c r="T3612" s="1201"/>
    </row>
    <row r="3613" spans="12:20">
      <c r="L3613" s="1179"/>
      <c r="M3613" s="1183"/>
      <c r="N3613" s="1183"/>
      <c r="O3613" s="1183"/>
      <c r="P3613" s="1201"/>
      <c r="Q3613" s="1201"/>
      <c r="R3613" s="1201"/>
      <c r="S3613" s="1201"/>
      <c r="T3613" s="1201"/>
    </row>
    <row r="3614" spans="12:20">
      <c r="L3614" s="1179"/>
      <c r="M3614" s="1183"/>
      <c r="N3614" s="1183"/>
      <c r="O3614" s="1183"/>
      <c r="P3614" s="1201"/>
      <c r="Q3614" s="1201"/>
      <c r="R3614" s="1201"/>
      <c r="S3614" s="1201"/>
      <c r="T3614" s="1201"/>
    </row>
    <row r="3615" spans="12:20">
      <c r="L3615" s="1179"/>
      <c r="M3615" s="1183"/>
      <c r="N3615" s="1183"/>
      <c r="O3615" s="1183"/>
      <c r="P3615" s="1201"/>
      <c r="Q3615" s="1201"/>
      <c r="R3615" s="1201"/>
      <c r="S3615" s="1201"/>
      <c r="T3615" s="1201"/>
    </row>
    <row r="3616" spans="12:20">
      <c r="L3616" s="1179"/>
      <c r="M3616" s="1183"/>
      <c r="N3616" s="1183"/>
      <c r="O3616" s="1183"/>
      <c r="P3616" s="1201"/>
      <c r="Q3616" s="1201"/>
      <c r="R3616" s="1201"/>
      <c r="S3616" s="1201"/>
      <c r="T3616" s="1201"/>
    </row>
    <row r="3617" spans="12:20">
      <c r="L3617" s="1179"/>
      <c r="M3617" s="1183"/>
      <c r="N3617" s="1183"/>
      <c r="O3617" s="1183"/>
      <c r="P3617" s="1201"/>
      <c r="Q3617" s="1201"/>
      <c r="R3617" s="1201"/>
      <c r="S3617" s="1201"/>
      <c r="T3617" s="1201"/>
    </row>
    <row r="3618" spans="12:20">
      <c r="L3618" s="1179"/>
      <c r="M3618" s="1183"/>
      <c r="N3618" s="1183"/>
      <c r="O3618" s="1183"/>
      <c r="P3618" s="1201"/>
      <c r="Q3618" s="1201"/>
      <c r="R3618" s="1201"/>
      <c r="S3618" s="1201"/>
      <c r="T3618" s="1201"/>
    </row>
    <row r="3619" spans="12:20">
      <c r="L3619" s="1179"/>
      <c r="M3619" s="1183"/>
      <c r="N3619" s="1183"/>
      <c r="O3619" s="1183"/>
      <c r="P3619" s="1201"/>
      <c r="Q3619" s="1201"/>
      <c r="R3619" s="1201"/>
      <c r="S3619" s="1201"/>
      <c r="T3619" s="1201"/>
    </row>
    <row r="3620" spans="12:20">
      <c r="L3620" s="1179"/>
      <c r="M3620" s="1183"/>
      <c r="N3620" s="1183"/>
      <c r="O3620" s="1183"/>
      <c r="P3620" s="1201"/>
      <c r="Q3620" s="1201"/>
      <c r="R3620" s="1201"/>
      <c r="S3620" s="1201"/>
      <c r="T3620" s="1201"/>
    </row>
    <row r="3621" spans="12:20">
      <c r="L3621" s="1179"/>
      <c r="M3621" s="1183"/>
      <c r="N3621" s="1183"/>
      <c r="O3621" s="1183"/>
      <c r="P3621" s="1201"/>
      <c r="Q3621" s="1201"/>
      <c r="R3621" s="1201"/>
      <c r="S3621" s="1201"/>
      <c r="T3621" s="1201"/>
    </row>
    <row r="3622" spans="12:20">
      <c r="L3622" s="1179"/>
      <c r="M3622" s="1183"/>
      <c r="N3622" s="1183"/>
      <c r="O3622" s="1183"/>
      <c r="P3622" s="1201"/>
      <c r="Q3622" s="1201"/>
      <c r="R3622" s="1201"/>
      <c r="S3622" s="1201"/>
      <c r="T3622" s="1201"/>
    </row>
    <row r="3623" spans="12:20">
      <c r="L3623" s="1179"/>
      <c r="M3623" s="1183"/>
      <c r="N3623" s="1183"/>
      <c r="O3623" s="1183"/>
      <c r="P3623" s="1201"/>
      <c r="Q3623" s="1201"/>
      <c r="R3623" s="1201"/>
      <c r="S3623" s="1201"/>
      <c r="T3623" s="1201"/>
    </row>
    <row r="3624" spans="12:20">
      <c r="L3624" s="1179"/>
      <c r="M3624" s="1183"/>
      <c r="N3624" s="1183"/>
      <c r="O3624" s="1183"/>
      <c r="P3624" s="1201"/>
      <c r="Q3624" s="1201"/>
      <c r="R3624" s="1201"/>
      <c r="S3624" s="1201"/>
      <c r="T3624" s="1201"/>
    </row>
    <row r="3625" spans="12:20">
      <c r="L3625" s="1179"/>
      <c r="M3625" s="1183"/>
      <c r="N3625" s="1183"/>
      <c r="O3625" s="1183"/>
      <c r="P3625" s="1201"/>
      <c r="Q3625" s="1201"/>
      <c r="R3625" s="1201"/>
      <c r="S3625" s="1201"/>
      <c r="T3625" s="1201"/>
    </row>
    <row r="3626" spans="12:20">
      <c r="L3626" s="1179"/>
      <c r="M3626" s="1183"/>
      <c r="N3626" s="1183"/>
      <c r="O3626" s="1183"/>
      <c r="P3626" s="1201"/>
      <c r="Q3626" s="1201"/>
      <c r="R3626" s="1201"/>
      <c r="S3626" s="1201"/>
      <c r="T3626" s="1201"/>
    </row>
    <row r="3627" spans="12:20">
      <c r="L3627" s="1179"/>
      <c r="M3627" s="1183"/>
      <c r="N3627" s="1183"/>
      <c r="O3627" s="1183"/>
      <c r="P3627" s="1201"/>
      <c r="Q3627" s="1201"/>
      <c r="R3627" s="1201"/>
      <c r="S3627" s="1201"/>
      <c r="T3627" s="1201"/>
    </row>
    <row r="3628" spans="12:20">
      <c r="L3628" s="1179"/>
      <c r="M3628" s="1183"/>
      <c r="N3628" s="1183"/>
      <c r="O3628" s="1183"/>
      <c r="P3628" s="1201"/>
      <c r="Q3628" s="1201"/>
      <c r="R3628" s="1201"/>
      <c r="S3628" s="1201"/>
      <c r="T3628" s="1201"/>
    </row>
    <row r="3629" spans="12:20">
      <c r="L3629" s="1179"/>
      <c r="M3629" s="1183"/>
      <c r="N3629" s="1183"/>
      <c r="O3629" s="1183"/>
      <c r="P3629" s="1201"/>
      <c r="Q3629" s="1201"/>
      <c r="R3629" s="1201"/>
      <c r="S3629" s="1201"/>
      <c r="T3629" s="1201"/>
    </row>
    <row r="3630" spans="12:20">
      <c r="L3630" s="1179"/>
      <c r="M3630" s="1183"/>
      <c r="N3630" s="1183"/>
      <c r="O3630" s="1183"/>
      <c r="P3630" s="1201"/>
      <c r="Q3630" s="1201"/>
      <c r="R3630" s="1201"/>
      <c r="S3630" s="1201"/>
      <c r="T3630" s="1201"/>
    </row>
    <row r="3631" spans="12:20">
      <c r="L3631" s="1179"/>
      <c r="M3631" s="1183"/>
      <c r="N3631" s="1183"/>
      <c r="O3631" s="1183"/>
      <c r="P3631" s="1201"/>
      <c r="Q3631" s="1201"/>
      <c r="R3631" s="1201"/>
      <c r="S3631" s="1201"/>
      <c r="T3631" s="1201"/>
    </row>
    <row r="3632" spans="12:20">
      <c r="L3632" s="1179"/>
      <c r="M3632" s="1183"/>
      <c r="N3632" s="1183"/>
      <c r="O3632" s="1183"/>
      <c r="P3632" s="1201"/>
      <c r="Q3632" s="1201"/>
      <c r="R3632" s="1201"/>
      <c r="S3632" s="1201"/>
      <c r="T3632" s="1201"/>
    </row>
    <row r="3633" spans="12:20">
      <c r="L3633" s="1179"/>
      <c r="M3633" s="1183"/>
      <c r="N3633" s="1183"/>
      <c r="O3633" s="1183"/>
      <c r="P3633" s="1201"/>
      <c r="Q3633" s="1201"/>
      <c r="R3633" s="1201"/>
      <c r="S3633" s="1201"/>
      <c r="T3633" s="1201"/>
    </row>
    <row r="3634" spans="12:20">
      <c r="L3634" s="1179"/>
      <c r="M3634" s="1183"/>
      <c r="N3634" s="1183"/>
      <c r="O3634" s="1183"/>
      <c r="P3634" s="1201"/>
      <c r="Q3634" s="1201"/>
      <c r="R3634" s="1201"/>
      <c r="S3634" s="1201"/>
      <c r="T3634" s="1201"/>
    </row>
    <row r="3635" spans="12:20">
      <c r="L3635" s="1179"/>
      <c r="M3635" s="1183"/>
      <c r="N3635" s="1183"/>
      <c r="O3635" s="1183"/>
      <c r="P3635" s="1201"/>
      <c r="Q3635" s="1201"/>
      <c r="R3635" s="1201"/>
      <c r="S3635" s="1201"/>
      <c r="T3635" s="1201"/>
    </row>
    <row r="3636" spans="12:20">
      <c r="L3636" s="1179"/>
      <c r="M3636" s="1183"/>
      <c r="N3636" s="1183"/>
      <c r="O3636" s="1183"/>
      <c r="P3636" s="1201"/>
      <c r="Q3636" s="1201"/>
      <c r="R3636" s="1201"/>
      <c r="S3636" s="1201"/>
      <c r="T3636" s="1201"/>
    </row>
    <row r="3637" spans="12:20">
      <c r="L3637" s="1179"/>
      <c r="M3637" s="1183"/>
      <c r="N3637" s="1183"/>
      <c r="O3637" s="1183"/>
      <c r="P3637" s="1201"/>
      <c r="Q3637" s="1201"/>
      <c r="R3637" s="1201"/>
      <c r="S3637" s="1201"/>
      <c r="T3637" s="1201"/>
    </row>
    <row r="3638" spans="12:20">
      <c r="L3638" s="1179"/>
      <c r="M3638" s="1183"/>
      <c r="N3638" s="1183"/>
      <c r="O3638" s="1183"/>
      <c r="P3638" s="1201"/>
      <c r="Q3638" s="1201"/>
      <c r="R3638" s="1201"/>
      <c r="S3638" s="1201"/>
      <c r="T3638" s="1201"/>
    </row>
    <row r="3639" spans="12:20">
      <c r="L3639" s="1179"/>
      <c r="M3639" s="1183"/>
      <c r="N3639" s="1183"/>
      <c r="O3639" s="1183"/>
      <c r="P3639" s="1201"/>
      <c r="Q3639" s="1201"/>
      <c r="R3639" s="1201"/>
      <c r="S3639" s="1201"/>
      <c r="T3639" s="1201"/>
    </row>
    <row r="3640" spans="12:20">
      <c r="L3640" s="1179"/>
      <c r="M3640" s="1183"/>
      <c r="N3640" s="1183"/>
      <c r="O3640" s="1183"/>
      <c r="P3640" s="1201"/>
      <c r="Q3640" s="1201"/>
      <c r="R3640" s="1201"/>
      <c r="S3640" s="1201"/>
      <c r="T3640" s="1201"/>
    </row>
    <row r="3641" spans="12:20">
      <c r="L3641" s="1179"/>
      <c r="M3641" s="1183"/>
      <c r="N3641" s="1183"/>
      <c r="O3641" s="1183"/>
      <c r="P3641" s="1201"/>
      <c r="Q3641" s="1201"/>
      <c r="R3641" s="1201"/>
      <c r="S3641" s="1201"/>
      <c r="T3641" s="1201"/>
    </row>
    <row r="3642" spans="12:20">
      <c r="L3642" s="1179"/>
      <c r="M3642" s="1183"/>
      <c r="N3642" s="1183"/>
      <c r="O3642" s="1183"/>
      <c r="P3642" s="1201"/>
      <c r="Q3642" s="1201"/>
      <c r="R3642" s="1201"/>
      <c r="S3642" s="1201"/>
      <c r="T3642" s="1201"/>
    </row>
    <row r="3643" spans="12:20">
      <c r="L3643" s="1179"/>
      <c r="M3643" s="1183"/>
      <c r="N3643" s="1183"/>
      <c r="O3643" s="1183"/>
      <c r="P3643" s="1201"/>
      <c r="Q3643" s="1201"/>
      <c r="R3643" s="1201"/>
      <c r="S3643" s="1201"/>
      <c r="T3643" s="1201"/>
    </row>
    <row r="3644" spans="12:20">
      <c r="L3644" s="1179"/>
      <c r="M3644" s="1183"/>
      <c r="N3644" s="1183"/>
      <c r="O3644" s="1183"/>
      <c r="P3644" s="1201"/>
      <c r="Q3644" s="1201"/>
      <c r="R3644" s="1201"/>
      <c r="S3644" s="1201"/>
      <c r="T3644" s="1201"/>
    </row>
    <row r="3645" spans="12:20">
      <c r="L3645" s="1179"/>
      <c r="M3645" s="1183"/>
      <c r="N3645" s="1183"/>
      <c r="O3645" s="1183"/>
      <c r="P3645" s="1201"/>
      <c r="Q3645" s="1201"/>
      <c r="R3645" s="1201"/>
      <c r="S3645" s="1201"/>
      <c r="T3645" s="1201"/>
    </row>
    <row r="3646" spans="12:20">
      <c r="L3646" s="1179"/>
      <c r="M3646" s="1183"/>
      <c r="N3646" s="1183"/>
      <c r="O3646" s="1183"/>
      <c r="P3646" s="1201"/>
      <c r="Q3646" s="1201"/>
      <c r="R3646" s="1201"/>
      <c r="S3646" s="1201"/>
      <c r="T3646" s="1201"/>
    </row>
    <row r="3647" spans="12:20">
      <c r="L3647" s="1179"/>
      <c r="M3647" s="1183"/>
      <c r="N3647" s="1183"/>
      <c r="O3647" s="1183"/>
      <c r="P3647" s="1201"/>
      <c r="Q3647" s="1201"/>
      <c r="R3647" s="1201"/>
      <c r="S3647" s="1201"/>
      <c r="T3647" s="1201"/>
    </row>
    <row r="3648" spans="12:20">
      <c r="L3648" s="1179"/>
      <c r="M3648" s="1183"/>
      <c r="N3648" s="1183"/>
      <c r="O3648" s="1183"/>
      <c r="P3648" s="1201"/>
      <c r="Q3648" s="1201"/>
      <c r="R3648" s="1201"/>
      <c r="S3648" s="1201"/>
      <c r="T3648" s="1201"/>
    </row>
    <row r="3649" spans="12:20">
      <c r="L3649" s="1179"/>
      <c r="M3649" s="1183"/>
      <c r="N3649" s="1183"/>
      <c r="O3649" s="1183"/>
      <c r="P3649" s="1201"/>
      <c r="Q3649" s="1201"/>
      <c r="R3649" s="1201"/>
      <c r="S3649" s="1201"/>
      <c r="T3649" s="1201"/>
    </row>
    <row r="3650" spans="12:20">
      <c r="L3650" s="1179"/>
      <c r="M3650" s="1183"/>
      <c r="N3650" s="1183"/>
      <c r="O3650" s="1183"/>
      <c r="P3650" s="1201"/>
      <c r="Q3650" s="1201"/>
      <c r="R3650" s="1201"/>
      <c r="S3650" s="1201"/>
      <c r="T3650" s="1201"/>
    </row>
    <row r="3651" spans="12:20">
      <c r="L3651" s="1179"/>
      <c r="M3651" s="1183"/>
      <c r="N3651" s="1183"/>
      <c r="O3651" s="1183"/>
      <c r="P3651" s="1201"/>
      <c r="Q3651" s="1201"/>
      <c r="R3651" s="1201"/>
      <c r="S3651" s="1201"/>
      <c r="T3651" s="1201"/>
    </row>
    <row r="3652" spans="12:20">
      <c r="L3652" s="1179"/>
      <c r="M3652" s="1183"/>
      <c r="N3652" s="1183"/>
      <c r="O3652" s="1183"/>
      <c r="P3652" s="1201"/>
      <c r="Q3652" s="1201"/>
      <c r="R3652" s="1201"/>
      <c r="S3652" s="1201"/>
      <c r="T3652" s="1201"/>
    </row>
    <row r="3653" spans="12:20">
      <c r="L3653" s="1179"/>
      <c r="M3653" s="1183"/>
      <c r="N3653" s="1183"/>
      <c r="O3653" s="1183"/>
      <c r="P3653" s="1201"/>
      <c r="Q3653" s="1201"/>
      <c r="R3653" s="1201"/>
      <c r="S3653" s="1201"/>
      <c r="T3653" s="1201"/>
    </row>
    <row r="3654" spans="12:20">
      <c r="L3654" s="1179"/>
      <c r="M3654" s="1183"/>
      <c r="N3654" s="1183"/>
      <c r="O3654" s="1183"/>
      <c r="P3654" s="1201"/>
      <c r="Q3654" s="1201"/>
      <c r="R3654" s="1201"/>
      <c r="S3654" s="1201"/>
      <c r="T3654" s="1201"/>
    </row>
    <row r="3655" spans="12:20">
      <c r="L3655" s="1179"/>
      <c r="M3655" s="1183"/>
      <c r="N3655" s="1183"/>
      <c r="O3655" s="1183"/>
      <c r="P3655" s="1201"/>
      <c r="Q3655" s="1201"/>
      <c r="R3655" s="1201"/>
      <c r="S3655" s="1201"/>
      <c r="T3655" s="1201"/>
    </row>
    <row r="3656" spans="12:20">
      <c r="L3656" s="1179"/>
      <c r="M3656" s="1183"/>
      <c r="N3656" s="1183"/>
      <c r="O3656" s="1183"/>
      <c r="P3656" s="1201"/>
      <c r="Q3656" s="1201"/>
      <c r="R3656" s="1201"/>
      <c r="S3656" s="1201"/>
      <c r="T3656" s="1201"/>
    </row>
    <row r="3657" spans="12:20">
      <c r="L3657" s="1179"/>
      <c r="M3657" s="1183"/>
      <c r="N3657" s="1183"/>
      <c r="O3657" s="1183"/>
      <c r="P3657" s="1201"/>
      <c r="Q3657" s="1201"/>
      <c r="R3657" s="1201"/>
      <c r="S3657" s="1201"/>
      <c r="T3657" s="1201"/>
    </row>
    <row r="3658" spans="12:20">
      <c r="L3658" s="1179"/>
      <c r="M3658" s="1183"/>
      <c r="N3658" s="1183"/>
      <c r="O3658" s="1183"/>
      <c r="P3658" s="1201"/>
      <c r="Q3658" s="1201"/>
      <c r="R3658" s="1201"/>
      <c r="S3658" s="1201"/>
      <c r="T3658" s="1201"/>
    </row>
    <row r="3659" spans="12:20">
      <c r="L3659" s="1179"/>
      <c r="M3659" s="1183"/>
      <c r="N3659" s="1183"/>
      <c r="O3659" s="1183"/>
      <c r="P3659" s="1201"/>
      <c r="Q3659" s="1201"/>
      <c r="R3659" s="1201"/>
      <c r="S3659" s="1201"/>
      <c r="T3659" s="1201"/>
    </row>
    <row r="3660" spans="12:20">
      <c r="L3660" s="1179"/>
      <c r="M3660" s="1183"/>
      <c r="N3660" s="1183"/>
      <c r="O3660" s="1183"/>
      <c r="P3660" s="1201"/>
      <c r="Q3660" s="1201"/>
      <c r="R3660" s="1201"/>
      <c r="S3660" s="1201"/>
      <c r="T3660" s="1201"/>
    </row>
    <row r="3661" spans="12:20">
      <c r="L3661" s="1179"/>
      <c r="M3661" s="1183"/>
      <c r="N3661" s="1183"/>
      <c r="O3661" s="1183"/>
      <c r="P3661" s="1201"/>
      <c r="Q3661" s="1201"/>
      <c r="R3661" s="1201"/>
      <c r="S3661" s="1201"/>
      <c r="T3661" s="1201"/>
    </row>
    <row r="3662" spans="12:20">
      <c r="L3662" s="1179"/>
      <c r="M3662" s="1183"/>
      <c r="N3662" s="1183"/>
      <c r="O3662" s="1183"/>
      <c r="P3662" s="1201"/>
      <c r="Q3662" s="1201"/>
      <c r="R3662" s="1201"/>
      <c r="S3662" s="1201"/>
      <c r="T3662" s="1201"/>
    </row>
    <row r="3663" spans="12:20">
      <c r="L3663" s="1179"/>
      <c r="M3663" s="1183"/>
      <c r="N3663" s="1183"/>
      <c r="O3663" s="1183"/>
      <c r="P3663" s="1201"/>
      <c r="Q3663" s="1201"/>
      <c r="R3663" s="1201"/>
      <c r="S3663" s="1201"/>
      <c r="T3663" s="1201"/>
    </row>
    <row r="3664" spans="12:20">
      <c r="L3664" s="1179"/>
      <c r="M3664" s="1183"/>
      <c r="N3664" s="1183"/>
      <c r="O3664" s="1183"/>
      <c r="P3664" s="1201"/>
      <c r="Q3664" s="1201"/>
      <c r="R3664" s="1201"/>
      <c r="S3664" s="1201"/>
      <c r="T3664" s="1201"/>
    </row>
    <row r="3665" spans="12:20">
      <c r="L3665" s="1179"/>
      <c r="M3665" s="1183"/>
      <c r="N3665" s="1183"/>
      <c r="O3665" s="1183"/>
      <c r="P3665" s="1201"/>
      <c r="Q3665" s="1201"/>
      <c r="R3665" s="1201"/>
      <c r="S3665" s="1201"/>
      <c r="T3665" s="1201"/>
    </row>
    <row r="3666" spans="12:20">
      <c r="L3666" s="1179"/>
      <c r="M3666" s="1183"/>
      <c r="N3666" s="1183"/>
      <c r="O3666" s="1183"/>
      <c r="P3666" s="1201"/>
      <c r="Q3666" s="1201"/>
      <c r="R3666" s="1201"/>
      <c r="S3666" s="1201"/>
      <c r="T3666" s="1201"/>
    </row>
    <row r="3667" spans="12:20">
      <c r="L3667" s="1179"/>
      <c r="M3667" s="1183"/>
      <c r="N3667" s="1183"/>
      <c r="O3667" s="1183"/>
      <c r="P3667" s="1201"/>
      <c r="Q3667" s="1201"/>
      <c r="R3667" s="1201"/>
      <c r="S3667" s="1201"/>
      <c r="T3667" s="1201"/>
    </row>
    <row r="3668" spans="12:20">
      <c r="L3668" s="1179"/>
      <c r="M3668" s="1183"/>
      <c r="N3668" s="1183"/>
      <c r="O3668" s="1183"/>
      <c r="P3668" s="1201"/>
      <c r="Q3668" s="1201"/>
      <c r="R3668" s="1201"/>
      <c r="S3668" s="1201"/>
      <c r="T3668" s="1201"/>
    </row>
    <row r="3669" spans="12:20">
      <c r="L3669" s="1179"/>
      <c r="M3669" s="1183"/>
      <c r="N3669" s="1183"/>
      <c r="O3669" s="1183"/>
      <c r="P3669" s="1201"/>
      <c r="Q3669" s="1201"/>
      <c r="R3669" s="1201"/>
      <c r="S3669" s="1201"/>
      <c r="T3669" s="1201"/>
    </row>
    <row r="3670" spans="12:20">
      <c r="L3670" s="1179"/>
      <c r="M3670" s="1183"/>
      <c r="N3670" s="1183"/>
      <c r="O3670" s="1183"/>
      <c r="P3670" s="1201"/>
      <c r="Q3670" s="1201"/>
      <c r="R3670" s="1201"/>
      <c r="S3670" s="1201"/>
      <c r="T3670" s="1201"/>
    </row>
    <row r="3671" spans="12:20">
      <c r="L3671" s="1179"/>
      <c r="M3671" s="1183"/>
      <c r="N3671" s="1183"/>
      <c r="O3671" s="1183"/>
      <c r="P3671" s="1201"/>
      <c r="Q3671" s="1201"/>
      <c r="R3671" s="1201"/>
      <c r="S3671" s="1201"/>
      <c r="T3671" s="1201"/>
    </row>
    <row r="3672" spans="12:20">
      <c r="L3672" s="1179"/>
      <c r="M3672" s="1183"/>
      <c r="N3672" s="1183"/>
      <c r="O3672" s="1183"/>
      <c r="P3672" s="1201"/>
      <c r="Q3672" s="1201"/>
      <c r="R3672" s="1201"/>
      <c r="S3672" s="1201"/>
      <c r="T3672" s="1201"/>
    </row>
    <row r="3673" spans="12:20">
      <c r="L3673" s="1179"/>
      <c r="M3673" s="1183"/>
      <c r="N3673" s="1183"/>
      <c r="O3673" s="1183"/>
      <c r="P3673" s="1201"/>
      <c r="Q3673" s="1201"/>
      <c r="R3673" s="1201"/>
      <c r="S3673" s="1201"/>
      <c r="T3673" s="1201"/>
    </row>
    <row r="3674" spans="12:20">
      <c r="L3674" s="1179"/>
      <c r="M3674" s="1183"/>
      <c r="N3674" s="1183"/>
      <c r="O3674" s="1183"/>
      <c r="P3674" s="1201"/>
      <c r="Q3674" s="1201"/>
      <c r="R3674" s="1201"/>
      <c r="S3674" s="1201"/>
      <c r="T3674" s="1201"/>
    </row>
    <row r="3675" spans="12:20">
      <c r="L3675" s="1179"/>
      <c r="M3675" s="1183"/>
      <c r="N3675" s="1183"/>
      <c r="O3675" s="1183"/>
      <c r="P3675" s="1201"/>
      <c r="Q3675" s="1201"/>
      <c r="R3675" s="1201"/>
      <c r="S3675" s="1201"/>
      <c r="T3675" s="1201"/>
    </row>
    <row r="3676" spans="12:20">
      <c r="L3676" s="1179"/>
      <c r="M3676" s="1183"/>
      <c r="N3676" s="1183"/>
      <c r="O3676" s="1183"/>
      <c r="P3676" s="1201"/>
      <c r="Q3676" s="1201"/>
      <c r="R3676" s="1201"/>
      <c r="S3676" s="1201"/>
      <c r="T3676" s="1201"/>
    </row>
    <row r="3677" spans="12:20">
      <c r="L3677" s="1179"/>
      <c r="M3677" s="1183"/>
      <c r="N3677" s="1183"/>
      <c r="O3677" s="1183"/>
      <c r="P3677" s="1201"/>
      <c r="Q3677" s="1201"/>
      <c r="R3677" s="1201"/>
      <c r="S3677" s="1201"/>
      <c r="T3677" s="1201"/>
    </row>
    <row r="3678" spans="12:20">
      <c r="L3678" s="1179"/>
      <c r="M3678" s="1183"/>
      <c r="N3678" s="1183"/>
      <c r="O3678" s="1183"/>
      <c r="P3678" s="1201"/>
      <c r="Q3678" s="1201"/>
      <c r="R3678" s="1201"/>
      <c r="S3678" s="1201"/>
      <c r="T3678" s="1201"/>
    </row>
    <row r="3679" spans="12:20">
      <c r="L3679" s="1179"/>
      <c r="M3679" s="1183"/>
      <c r="N3679" s="1183"/>
      <c r="O3679" s="1183"/>
      <c r="P3679" s="1201"/>
      <c r="Q3679" s="1201"/>
      <c r="R3679" s="1201"/>
      <c r="S3679" s="1201"/>
      <c r="T3679" s="1201"/>
    </row>
    <row r="3680" spans="12:20">
      <c r="L3680" s="1179"/>
      <c r="M3680" s="1183"/>
      <c r="N3680" s="1183"/>
      <c r="O3680" s="1183"/>
      <c r="P3680" s="1201"/>
      <c r="Q3680" s="1201"/>
      <c r="R3680" s="1201"/>
      <c r="S3680" s="1201"/>
      <c r="T3680" s="1201"/>
    </row>
    <row r="3681" spans="12:20">
      <c r="L3681" s="1179"/>
      <c r="M3681" s="1183"/>
      <c r="N3681" s="1183"/>
      <c r="O3681" s="1183"/>
      <c r="P3681" s="1201"/>
      <c r="Q3681" s="1201"/>
      <c r="R3681" s="1201"/>
      <c r="S3681" s="1201"/>
      <c r="T3681" s="1201"/>
    </row>
    <row r="3682" spans="12:20">
      <c r="L3682" s="1179"/>
      <c r="M3682" s="1183"/>
      <c r="N3682" s="1183"/>
      <c r="O3682" s="1183"/>
      <c r="P3682" s="1201"/>
      <c r="Q3682" s="1201"/>
      <c r="R3682" s="1201"/>
      <c r="S3682" s="1201"/>
      <c r="T3682" s="1201"/>
    </row>
    <row r="3683" spans="12:20">
      <c r="L3683" s="1179"/>
      <c r="M3683" s="1183"/>
      <c r="N3683" s="1183"/>
      <c r="O3683" s="1183"/>
      <c r="P3683" s="1201"/>
      <c r="Q3683" s="1201"/>
      <c r="R3683" s="1201"/>
      <c r="S3683" s="1201"/>
      <c r="T3683" s="1201"/>
    </row>
    <row r="3684" spans="12:20">
      <c r="L3684" s="1179"/>
      <c r="M3684" s="1183"/>
      <c r="N3684" s="1183"/>
      <c r="O3684" s="1183"/>
      <c r="P3684" s="1201"/>
      <c r="Q3684" s="1201"/>
      <c r="R3684" s="1201"/>
      <c r="S3684" s="1201"/>
      <c r="T3684" s="1201"/>
    </row>
    <row r="3685" spans="12:20">
      <c r="L3685" s="1179"/>
      <c r="M3685" s="1183"/>
      <c r="N3685" s="1183"/>
      <c r="O3685" s="1183"/>
      <c r="P3685" s="1201"/>
      <c r="Q3685" s="1201"/>
      <c r="R3685" s="1201"/>
      <c r="S3685" s="1201"/>
      <c r="T3685" s="1201"/>
    </row>
    <row r="3686" spans="12:20">
      <c r="L3686" s="1179"/>
      <c r="M3686" s="1183"/>
      <c r="N3686" s="1183"/>
      <c r="O3686" s="1183"/>
      <c r="P3686" s="1201"/>
      <c r="Q3686" s="1201"/>
      <c r="R3686" s="1201"/>
      <c r="S3686" s="1201"/>
      <c r="T3686" s="1201"/>
    </row>
    <row r="3687" spans="12:20">
      <c r="L3687" s="1179"/>
      <c r="M3687" s="1183"/>
      <c r="N3687" s="1183"/>
      <c r="O3687" s="1183"/>
      <c r="P3687" s="1201"/>
      <c r="Q3687" s="1201"/>
      <c r="R3687" s="1201"/>
      <c r="S3687" s="1201"/>
      <c r="T3687" s="1201"/>
    </row>
    <row r="3688" spans="12:20">
      <c r="L3688" s="1179"/>
      <c r="M3688" s="1183"/>
      <c r="N3688" s="1183"/>
      <c r="O3688" s="1183"/>
      <c r="P3688" s="1201"/>
      <c r="Q3688" s="1201"/>
      <c r="R3688" s="1201"/>
      <c r="S3688" s="1201"/>
      <c r="T3688" s="1201"/>
    </row>
    <row r="3689" spans="12:20">
      <c r="L3689" s="1179"/>
      <c r="M3689" s="1183"/>
      <c r="N3689" s="1183"/>
      <c r="O3689" s="1183"/>
      <c r="P3689" s="1201"/>
      <c r="Q3689" s="1201"/>
      <c r="R3689" s="1201"/>
      <c r="S3689" s="1201"/>
      <c r="T3689" s="1201"/>
    </row>
    <row r="3690" spans="12:20">
      <c r="L3690" s="1179"/>
      <c r="M3690" s="1183"/>
      <c r="N3690" s="1183"/>
      <c r="O3690" s="1183"/>
      <c r="P3690" s="1201"/>
      <c r="Q3690" s="1201"/>
      <c r="R3690" s="1201"/>
      <c r="S3690" s="1201"/>
      <c r="T3690" s="1201"/>
    </row>
    <row r="3691" spans="12:20">
      <c r="L3691" s="1179"/>
      <c r="M3691" s="1183"/>
      <c r="N3691" s="1183"/>
      <c r="O3691" s="1183"/>
      <c r="P3691" s="1201"/>
      <c r="Q3691" s="1201"/>
      <c r="R3691" s="1201"/>
      <c r="S3691" s="1201"/>
      <c r="T3691" s="1201"/>
    </row>
    <row r="3692" spans="12:20">
      <c r="L3692" s="1179"/>
      <c r="M3692" s="1183"/>
      <c r="N3692" s="1183"/>
      <c r="O3692" s="1183"/>
      <c r="P3692" s="1201"/>
      <c r="Q3692" s="1201"/>
      <c r="R3692" s="1201"/>
      <c r="S3692" s="1201"/>
      <c r="T3692" s="1201"/>
    </row>
    <row r="3693" spans="12:20">
      <c r="L3693" s="1179"/>
      <c r="M3693" s="1183"/>
      <c r="N3693" s="1183"/>
      <c r="O3693" s="1183"/>
      <c r="P3693" s="1201"/>
      <c r="Q3693" s="1201"/>
      <c r="R3693" s="1201"/>
      <c r="S3693" s="1201"/>
      <c r="T3693" s="1201"/>
    </row>
    <row r="3694" spans="12:20">
      <c r="L3694" s="1179"/>
      <c r="M3694" s="1183"/>
      <c r="N3694" s="1183"/>
      <c r="O3694" s="1183"/>
      <c r="P3694" s="1201"/>
      <c r="Q3694" s="1201"/>
      <c r="R3694" s="1201"/>
      <c r="S3694" s="1201"/>
      <c r="T3694" s="1201"/>
    </row>
    <row r="3695" spans="12:20">
      <c r="L3695" s="1179"/>
      <c r="M3695" s="1183"/>
      <c r="N3695" s="1183"/>
      <c r="O3695" s="1183"/>
      <c r="P3695" s="1201"/>
      <c r="Q3695" s="1201"/>
      <c r="R3695" s="1201"/>
      <c r="S3695" s="1201"/>
      <c r="T3695" s="1201"/>
    </row>
    <row r="3696" spans="12:20">
      <c r="L3696" s="1179"/>
      <c r="M3696" s="1183"/>
      <c r="N3696" s="1183"/>
      <c r="O3696" s="1183"/>
      <c r="P3696" s="1201"/>
      <c r="Q3696" s="1201"/>
      <c r="R3696" s="1201"/>
      <c r="S3696" s="1201"/>
      <c r="T3696" s="1201"/>
    </row>
    <row r="3697" spans="12:20">
      <c r="L3697" s="1179"/>
      <c r="M3697" s="1183"/>
      <c r="N3697" s="1183"/>
      <c r="O3697" s="1183"/>
      <c r="P3697" s="1201"/>
      <c r="Q3697" s="1201"/>
      <c r="R3697" s="1201"/>
      <c r="S3697" s="1201"/>
      <c r="T3697" s="1201"/>
    </row>
    <row r="3698" spans="12:20">
      <c r="L3698" s="1179"/>
      <c r="M3698" s="1183"/>
      <c r="N3698" s="1183"/>
      <c r="O3698" s="1183"/>
      <c r="P3698" s="1201"/>
      <c r="Q3698" s="1201"/>
      <c r="R3698" s="1201"/>
      <c r="S3698" s="1201"/>
      <c r="T3698" s="1201"/>
    </row>
    <row r="3699" spans="12:20">
      <c r="L3699" s="1179"/>
      <c r="M3699" s="1183"/>
      <c r="N3699" s="1183"/>
      <c r="O3699" s="1183"/>
      <c r="P3699" s="1201"/>
      <c r="Q3699" s="1201"/>
      <c r="R3699" s="1201"/>
      <c r="S3699" s="1201"/>
      <c r="T3699" s="1201"/>
    </row>
    <row r="3700" spans="12:20">
      <c r="L3700" s="1179"/>
      <c r="M3700" s="1183"/>
      <c r="N3700" s="1183"/>
      <c r="O3700" s="1183"/>
      <c r="P3700" s="1201"/>
      <c r="Q3700" s="1201"/>
      <c r="R3700" s="1201"/>
      <c r="S3700" s="1201"/>
      <c r="T3700" s="1201"/>
    </row>
    <row r="3701" spans="12:20">
      <c r="L3701" s="1179"/>
      <c r="M3701" s="1183"/>
      <c r="N3701" s="1183"/>
      <c r="O3701" s="1183"/>
      <c r="P3701" s="1201"/>
      <c r="Q3701" s="1201"/>
      <c r="R3701" s="1201"/>
      <c r="S3701" s="1201"/>
      <c r="T3701" s="1201"/>
    </row>
    <row r="3702" spans="12:20">
      <c r="L3702" s="1179"/>
      <c r="M3702" s="1183"/>
      <c r="N3702" s="1183"/>
      <c r="O3702" s="1183"/>
      <c r="P3702" s="1201"/>
      <c r="Q3702" s="1201"/>
      <c r="R3702" s="1201"/>
      <c r="S3702" s="1201"/>
      <c r="T3702" s="1201"/>
    </row>
    <row r="3703" spans="12:20">
      <c r="L3703" s="1179"/>
      <c r="M3703" s="1183"/>
      <c r="N3703" s="1183"/>
      <c r="O3703" s="1183"/>
      <c r="P3703" s="1201"/>
      <c r="Q3703" s="1201"/>
      <c r="R3703" s="1201"/>
      <c r="S3703" s="1201"/>
      <c r="T3703" s="1201"/>
    </row>
    <row r="3704" spans="12:20">
      <c r="L3704" s="1179"/>
      <c r="M3704" s="1183"/>
      <c r="N3704" s="1183"/>
      <c r="O3704" s="1183"/>
      <c r="P3704" s="1201"/>
      <c r="Q3704" s="1201"/>
      <c r="R3704" s="1201"/>
      <c r="S3704" s="1201"/>
      <c r="T3704" s="1201"/>
    </row>
    <row r="3705" spans="12:20">
      <c r="L3705" s="1179"/>
      <c r="M3705" s="1183"/>
      <c r="N3705" s="1183"/>
      <c r="O3705" s="1183"/>
      <c r="P3705" s="1201"/>
      <c r="Q3705" s="1201"/>
      <c r="R3705" s="1201"/>
      <c r="S3705" s="1201"/>
      <c r="T3705" s="1201"/>
    </row>
    <row r="3706" spans="12:20">
      <c r="L3706" s="1179"/>
      <c r="M3706" s="1183"/>
      <c r="N3706" s="1183"/>
      <c r="O3706" s="1183"/>
      <c r="P3706" s="1201"/>
      <c r="Q3706" s="1201"/>
      <c r="R3706" s="1201"/>
      <c r="S3706" s="1201"/>
      <c r="T3706" s="1201"/>
    </row>
    <row r="3707" spans="12:20">
      <c r="L3707" s="1179"/>
      <c r="M3707" s="1183"/>
      <c r="N3707" s="1183"/>
      <c r="O3707" s="1183"/>
      <c r="P3707" s="1201"/>
      <c r="Q3707" s="1201"/>
      <c r="R3707" s="1201"/>
      <c r="S3707" s="1201"/>
      <c r="T3707" s="1201"/>
    </row>
    <row r="3708" spans="12:20">
      <c r="L3708" s="1179"/>
      <c r="M3708" s="1183"/>
      <c r="N3708" s="1183"/>
      <c r="O3708" s="1183"/>
      <c r="P3708" s="1201"/>
      <c r="Q3708" s="1201"/>
      <c r="R3708" s="1201"/>
      <c r="S3708" s="1201"/>
      <c r="T3708" s="1201"/>
    </row>
    <row r="3709" spans="12:20">
      <c r="L3709" s="1179"/>
      <c r="M3709" s="1183"/>
      <c r="N3709" s="1183"/>
      <c r="O3709" s="1183"/>
      <c r="P3709" s="1201"/>
      <c r="Q3709" s="1201"/>
      <c r="R3709" s="1201"/>
      <c r="S3709" s="1201"/>
      <c r="T3709" s="1201"/>
    </row>
    <row r="3710" spans="12:20">
      <c r="L3710" s="1179"/>
      <c r="M3710" s="1183"/>
      <c r="N3710" s="1183"/>
      <c r="O3710" s="1183"/>
      <c r="P3710" s="1201"/>
      <c r="Q3710" s="1201"/>
      <c r="R3710" s="1201"/>
      <c r="S3710" s="1201"/>
      <c r="T3710" s="1201"/>
    </row>
    <row r="3711" spans="12:20">
      <c r="L3711" s="1179"/>
      <c r="M3711" s="1183"/>
      <c r="N3711" s="1183"/>
      <c r="O3711" s="1183"/>
      <c r="P3711" s="1201"/>
      <c r="Q3711" s="1201"/>
      <c r="R3711" s="1201"/>
      <c r="S3711" s="1201"/>
      <c r="T3711" s="1201"/>
    </row>
    <row r="3712" spans="12:20">
      <c r="L3712" s="1179"/>
      <c r="M3712" s="1183"/>
      <c r="N3712" s="1183"/>
      <c r="O3712" s="1183"/>
      <c r="P3712" s="1201"/>
      <c r="Q3712" s="1201"/>
      <c r="R3712" s="1201"/>
      <c r="S3712" s="1201"/>
      <c r="T3712" s="1201"/>
    </row>
    <row r="3713" spans="12:20">
      <c r="L3713" s="1179"/>
      <c r="M3713" s="1183"/>
      <c r="N3713" s="1183"/>
      <c r="O3713" s="1183"/>
      <c r="P3713" s="1201"/>
      <c r="Q3713" s="1201"/>
      <c r="R3713" s="1201"/>
      <c r="S3713" s="1201"/>
      <c r="T3713" s="1201"/>
    </row>
    <row r="3714" spans="12:20">
      <c r="L3714" s="1179"/>
      <c r="M3714" s="1183"/>
      <c r="N3714" s="1183"/>
      <c r="O3714" s="1183"/>
      <c r="P3714" s="1201"/>
      <c r="Q3714" s="1201"/>
      <c r="R3714" s="1201"/>
      <c r="S3714" s="1201"/>
      <c r="T3714" s="1201"/>
    </row>
    <row r="3715" spans="12:20">
      <c r="L3715" s="1179"/>
      <c r="M3715" s="1183"/>
      <c r="N3715" s="1183"/>
      <c r="O3715" s="1183"/>
      <c r="P3715" s="1201"/>
      <c r="Q3715" s="1201"/>
      <c r="R3715" s="1201"/>
      <c r="S3715" s="1201"/>
      <c r="T3715" s="1201"/>
    </row>
    <row r="3716" spans="12:20">
      <c r="L3716" s="1179"/>
      <c r="M3716" s="1183"/>
      <c r="N3716" s="1183"/>
      <c r="O3716" s="1183"/>
      <c r="P3716" s="1201"/>
      <c r="Q3716" s="1201"/>
      <c r="R3716" s="1201"/>
      <c r="S3716" s="1201"/>
      <c r="T3716" s="1201"/>
    </row>
    <row r="3717" spans="12:20">
      <c r="L3717" s="1179"/>
      <c r="M3717" s="1183"/>
      <c r="N3717" s="1183"/>
      <c r="O3717" s="1183"/>
      <c r="P3717" s="1201"/>
      <c r="Q3717" s="1201"/>
      <c r="R3717" s="1201"/>
      <c r="S3717" s="1201"/>
      <c r="T3717" s="1201"/>
    </row>
    <row r="3718" spans="12:20">
      <c r="L3718" s="1179"/>
      <c r="M3718" s="1183"/>
      <c r="N3718" s="1183"/>
      <c r="O3718" s="1183"/>
      <c r="P3718" s="1201"/>
      <c r="Q3718" s="1201"/>
      <c r="R3718" s="1201"/>
      <c r="S3718" s="1201"/>
      <c r="T3718" s="1201"/>
    </row>
    <row r="3719" spans="12:20">
      <c r="L3719" s="1179"/>
      <c r="M3719" s="1183"/>
      <c r="N3719" s="1183"/>
      <c r="O3719" s="1183"/>
      <c r="P3719" s="1201"/>
      <c r="Q3719" s="1201"/>
      <c r="R3719" s="1201"/>
      <c r="S3719" s="1201"/>
      <c r="T3719" s="1201"/>
    </row>
    <row r="3720" spans="12:20">
      <c r="L3720" s="1179"/>
      <c r="M3720" s="1183"/>
      <c r="N3720" s="1183"/>
      <c r="O3720" s="1183"/>
      <c r="P3720" s="1201"/>
      <c r="Q3720" s="1201"/>
      <c r="R3720" s="1201"/>
      <c r="S3720" s="1201"/>
      <c r="T3720" s="1201"/>
    </row>
    <row r="3721" spans="12:20">
      <c r="L3721" s="1179"/>
      <c r="M3721" s="1183"/>
      <c r="N3721" s="1183"/>
      <c r="O3721" s="1183"/>
      <c r="P3721" s="1201"/>
      <c r="Q3721" s="1201"/>
      <c r="R3721" s="1201"/>
      <c r="S3721" s="1201"/>
      <c r="T3721" s="1201"/>
    </row>
    <row r="3722" spans="12:20">
      <c r="L3722" s="1179"/>
      <c r="M3722" s="1183"/>
      <c r="N3722" s="1183"/>
      <c r="O3722" s="1183"/>
      <c r="P3722" s="1201"/>
      <c r="Q3722" s="1201"/>
      <c r="R3722" s="1201"/>
      <c r="S3722" s="1201"/>
      <c r="T3722" s="1201"/>
    </row>
    <row r="3723" spans="12:20">
      <c r="L3723" s="1179"/>
      <c r="M3723" s="1183"/>
      <c r="N3723" s="1183"/>
      <c r="O3723" s="1183"/>
      <c r="P3723" s="1201"/>
      <c r="Q3723" s="1201"/>
      <c r="R3723" s="1201"/>
      <c r="S3723" s="1201"/>
      <c r="T3723" s="1201"/>
    </row>
    <row r="3724" spans="12:20">
      <c r="L3724" s="1179"/>
      <c r="M3724" s="1183"/>
      <c r="N3724" s="1183"/>
      <c r="O3724" s="1183"/>
      <c r="P3724" s="1201"/>
      <c r="Q3724" s="1201"/>
      <c r="R3724" s="1201"/>
      <c r="S3724" s="1201"/>
      <c r="T3724" s="1201"/>
    </row>
    <row r="3725" spans="12:20">
      <c r="L3725" s="1179"/>
      <c r="M3725" s="1183"/>
      <c r="N3725" s="1183"/>
      <c r="O3725" s="1183"/>
      <c r="P3725" s="1201"/>
      <c r="Q3725" s="1201"/>
      <c r="R3725" s="1201"/>
      <c r="S3725" s="1201"/>
      <c r="T3725" s="1201"/>
    </row>
    <row r="3726" spans="12:20">
      <c r="L3726" s="1179"/>
      <c r="M3726" s="1183"/>
      <c r="N3726" s="1183"/>
      <c r="O3726" s="1183"/>
      <c r="P3726" s="1201"/>
      <c r="Q3726" s="1201"/>
      <c r="R3726" s="1201"/>
      <c r="S3726" s="1201"/>
      <c r="T3726" s="1201"/>
    </row>
    <row r="3727" spans="12:20">
      <c r="L3727" s="1179"/>
      <c r="M3727" s="1183"/>
      <c r="N3727" s="1183"/>
      <c r="O3727" s="1183"/>
      <c r="P3727" s="1201"/>
      <c r="Q3727" s="1201"/>
      <c r="R3727" s="1201"/>
      <c r="S3727" s="1201"/>
      <c r="T3727" s="1201"/>
    </row>
    <row r="3728" spans="12:20">
      <c r="L3728" s="1179"/>
      <c r="M3728" s="1183"/>
      <c r="N3728" s="1183"/>
      <c r="O3728" s="1183"/>
      <c r="P3728" s="1201"/>
      <c r="Q3728" s="1201"/>
      <c r="R3728" s="1201"/>
      <c r="S3728" s="1201"/>
      <c r="T3728" s="1201"/>
    </row>
    <row r="3729" spans="12:20">
      <c r="L3729" s="1179"/>
      <c r="M3729" s="1183"/>
      <c r="N3729" s="1183"/>
      <c r="O3729" s="1183"/>
      <c r="P3729" s="1201"/>
      <c r="Q3729" s="1201"/>
      <c r="R3729" s="1201"/>
      <c r="S3729" s="1201"/>
      <c r="T3729" s="1201"/>
    </row>
    <row r="3730" spans="12:20">
      <c r="L3730" s="1179"/>
      <c r="M3730" s="1183"/>
      <c r="N3730" s="1183"/>
      <c r="O3730" s="1183"/>
      <c r="P3730" s="1201"/>
      <c r="Q3730" s="1201"/>
      <c r="R3730" s="1201"/>
      <c r="S3730" s="1201"/>
      <c r="T3730" s="1201"/>
    </row>
    <row r="3731" spans="12:20">
      <c r="L3731" s="1179"/>
      <c r="M3731" s="1183"/>
      <c r="N3731" s="1183"/>
      <c r="O3731" s="1183"/>
      <c r="P3731" s="1201"/>
      <c r="Q3731" s="1201"/>
      <c r="R3731" s="1201"/>
      <c r="S3731" s="1201"/>
      <c r="T3731" s="1201"/>
    </row>
    <row r="3732" spans="12:20">
      <c r="L3732" s="1179"/>
      <c r="M3732" s="1183"/>
      <c r="N3732" s="1183"/>
      <c r="O3732" s="1183"/>
      <c r="P3732" s="1201"/>
      <c r="Q3732" s="1201"/>
      <c r="R3732" s="1201"/>
      <c r="S3732" s="1201"/>
      <c r="T3732" s="1201"/>
    </row>
    <row r="3733" spans="12:20">
      <c r="L3733" s="1179"/>
      <c r="M3733" s="1183"/>
      <c r="N3733" s="1183"/>
      <c r="O3733" s="1183"/>
      <c r="P3733" s="1201"/>
      <c r="Q3733" s="1201"/>
      <c r="R3733" s="1201"/>
      <c r="S3733" s="1201"/>
      <c r="T3733" s="1201"/>
    </row>
    <row r="3734" spans="12:20">
      <c r="L3734" s="1179"/>
      <c r="M3734" s="1183"/>
      <c r="N3734" s="1183"/>
      <c r="O3734" s="1183"/>
      <c r="P3734" s="1201"/>
      <c r="Q3734" s="1201"/>
      <c r="R3734" s="1201"/>
      <c r="S3734" s="1201"/>
      <c r="T3734" s="1201"/>
    </row>
    <row r="3735" spans="12:20">
      <c r="L3735" s="1179"/>
      <c r="M3735" s="1183"/>
      <c r="N3735" s="1183"/>
      <c r="O3735" s="1183"/>
      <c r="P3735" s="1201"/>
      <c r="Q3735" s="1201"/>
      <c r="R3735" s="1201"/>
      <c r="S3735" s="1201"/>
      <c r="T3735" s="1201"/>
    </row>
    <row r="3736" spans="12:20">
      <c r="L3736" s="1179"/>
      <c r="M3736" s="1183"/>
      <c r="N3736" s="1183"/>
      <c r="O3736" s="1183"/>
      <c r="P3736" s="1201"/>
      <c r="Q3736" s="1201"/>
      <c r="R3736" s="1201"/>
      <c r="S3736" s="1201"/>
      <c r="T3736" s="1201"/>
    </row>
    <row r="3737" spans="12:20">
      <c r="L3737" s="1179"/>
      <c r="M3737" s="1183"/>
      <c r="N3737" s="1183"/>
      <c r="O3737" s="1183"/>
      <c r="P3737" s="1201"/>
      <c r="Q3737" s="1201"/>
      <c r="R3737" s="1201"/>
      <c r="S3737" s="1201"/>
      <c r="T3737" s="1201"/>
    </row>
    <row r="3738" spans="12:20">
      <c r="L3738" s="1179"/>
      <c r="M3738" s="1183"/>
      <c r="N3738" s="1183"/>
      <c r="O3738" s="1183"/>
      <c r="P3738" s="1201"/>
      <c r="Q3738" s="1201"/>
      <c r="R3738" s="1201"/>
      <c r="S3738" s="1201"/>
      <c r="T3738" s="1201"/>
    </row>
    <row r="3739" spans="12:20">
      <c r="L3739" s="1179"/>
      <c r="M3739" s="1183"/>
      <c r="N3739" s="1183"/>
      <c r="O3739" s="1183"/>
      <c r="P3739" s="1201"/>
      <c r="Q3739" s="1201"/>
      <c r="R3739" s="1201"/>
      <c r="S3739" s="1201"/>
      <c r="T3739" s="1201"/>
    </row>
    <row r="3740" spans="12:20">
      <c r="L3740" s="1179"/>
      <c r="M3740" s="1183"/>
      <c r="N3740" s="1183"/>
      <c r="O3740" s="1183"/>
      <c r="P3740" s="1201"/>
      <c r="Q3740" s="1201"/>
      <c r="R3740" s="1201"/>
      <c r="S3740" s="1201"/>
      <c r="T3740" s="1201"/>
    </row>
    <row r="3741" spans="12:20">
      <c r="L3741" s="1179"/>
      <c r="M3741" s="1183"/>
      <c r="N3741" s="1183"/>
      <c r="O3741" s="1183"/>
      <c r="P3741" s="1201"/>
      <c r="Q3741" s="1201"/>
      <c r="R3741" s="1201"/>
      <c r="S3741" s="1201"/>
      <c r="T3741" s="1201"/>
    </row>
    <row r="3742" spans="12:20">
      <c r="L3742" s="1179"/>
      <c r="M3742" s="1183"/>
      <c r="N3742" s="1183"/>
      <c r="O3742" s="1183"/>
      <c r="P3742" s="1201"/>
      <c r="Q3742" s="1201"/>
      <c r="R3742" s="1201"/>
      <c r="S3742" s="1201"/>
      <c r="T3742" s="1201"/>
    </row>
    <row r="3743" spans="12:20">
      <c r="L3743" s="1179"/>
      <c r="M3743" s="1183"/>
      <c r="N3743" s="1183"/>
      <c r="O3743" s="1183"/>
      <c r="P3743" s="1201"/>
      <c r="Q3743" s="1201"/>
      <c r="R3743" s="1201"/>
      <c r="S3743" s="1201"/>
      <c r="T3743" s="1201"/>
    </row>
    <row r="3744" spans="12:20">
      <c r="L3744" s="1179"/>
      <c r="M3744" s="1183"/>
      <c r="N3744" s="1183"/>
      <c r="O3744" s="1183"/>
      <c r="P3744" s="1201"/>
      <c r="Q3744" s="1201"/>
      <c r="R3744" s="1201"/>
      <c r="S3744" s="1201"/>
      <c r="T3744" s="1201"/>
    </row>
    <row r="3745" spans="12:20">
      <c r="L3745" s="1179"/>
      <c r="M3745" s="1183"/>
      <c r="N3745" s="1183"/>
      <c r="O3745" s="1183"/>
      <c r="P3745" s="1201"/>
      <c r="Q3745" s="1201"/>
      <c r="R3745" s="1201"/>
      <c r="S3745" s="1201"/>
      <c r="T3745" s="1201"/>
    </row>
    <row r="3746" spans="12:20">
      <c r="L3746" s="1179"/>
      <c r="M3746" s="1183"/>
      <c r="N3746" s="1183"/>
      <c r="O3746" s="1183"/>
      <c r="P3746" s="1201"/>
      <c r="Q3746" s="1201"/>
      <c r="R3746" s="1201"/>
      <c r="S3746" s="1201"/>
      <c r="T3746" s="1201"/>
    </row>
    <row r="3747" spans="12:20">
      <c r="L3747" s="1179"/>
      <c r="M3747" s="1183"/>
      <c r="N3747" s="1183"/>
      <c r="O3747" s="1183"/>
      <c r="P3747" s="1201"/>
      <c r="Q3747" s="1201"/>
      <c r="R3747" s="1201"/>
      <c r="S3747" s="1201"/>
      <c r="T3747" s="1201"/>
    </row>
    <row r="3748" spans="12:20">
      <c r="L3748" s="1179"/>
      <c r="M3748" s="1183"/>
      <c r="N3748" s="1183"/>
      <c r="O3748" s="1183"/>
      <c r="P3748" s="1201"/>
      <c r="Q3748" s="1201"/>
      <c r="R3748" s="1201"/>
      <c r="S3748" s="1201"/>
      <c r="T3748" s="1201"/>
    </row>
    <row r="3749" spans="12:20">
      <c r="L3749" s="1179"/>
      <c r="M3749" s="1183"/>
      <c r="N3749" s="1183"/>
      <c r="O3749" s="1183"/>
      <c r="P3749" s="1201"/>
      <c r="Q3749" s="1201"/>
      <c r="R3749" s="1201"/>
      <c r="S3749" s="1201"/>
      <c r="T3749" s="1201"/>
    </row>
    <row r="3750" spans="12:20">
      <c r="L3750" s="1179"/>
      <c r="M3750" s="1183"/>
      <c r="N3750" s="1183"/>
      <c r="O3750" s="1183"/>
      <c r="P3750" s="1201"/>
      <c r="Q3750" s="1201"/>
      <c r="R3750" s="1201"/>
      <c r="S3750" s="1201"/>
      <c r="T3750" s="1201"/>
    </row>
    <row r="3751" spans="12:20">
      <c r="L3751" s="1179"/>
      <c r="M3751" s="1183"/>
      <c r="N3751" s="1183"/>
      <c r="O3751" s="1183"/>
      <c r="P3751" s="1201"/>
      <c r="Q3751" s="1201"/>
      <c r="R3751" s="1201"/>
      <c r="S3751" s="1201"/>
      <c r="T3751" s="1201"/>
    </row>
    <row r="3752" spans="12:20">
      <c r="L3752" s="1179"/>
      <c r="M3752" s="1183"/>
      <c r="N3752" s="1183"/>
      <c r="O3752" s="1183"/>
      <c r="P3752" s="1201"/>
      <c r="Q3752" s="1201"/>
      <c r="R3752" s="1201"/>
      <c r="S3752" s="1201"/>
      <c r="T3752" s="1201"/>
    </row>
    <row r="3753" spans="12:20">
      <c r="L3753" s="1179"/>
      <c r="M3753" s="1183"/>
      <c r="N3753" s="1183"/>
      <c r="O3753" s="1183"/>
      <c r="P3753" s="1201"/>
      <c r="Q3753" s="1201"/>
      <c r="R3753" s="1201"/>
      <c r="S3753" s="1201"/>
      <c r="T3753" s="1201"/>
    </row>
    <row r="3754" spans="12:20">
      <c r="L3754" s="1179"/>
      <c r="M3754" s="1183"/>
      <c r="N3754" s="1183"/>
      <c r="O3754" s="1183"/>
      <c r="P3754" s="1201"/>
      <c r="Q3754" s="1201"/>
      <c r="R3754" s="1201"/>
      <c r="S3754" s="1201"/>
      <c r="T3754" s="1201"/>
    </row>
    <row r="3755" spans="12:20">
      <c r="L3755" s="1179"/>
      <c r="M3755" s="1183"/>
      <c r="N3755" s="1183"/>
      <c r="O3755" s="1183"/>
      <c r="P3755" s="1201"/>
      <c r="Q3755" s="1201"/>
      <c r="R3755" s="1201"/>
      <c r="S3755" s="1201"/>
      <c r="T3755" s="1201"/>
    </row>
    <row r="3756" spans="12:20">
      <c r="L3756" s="1179"/>
      <c r="M3756" s="1183"/>
      <c r="N3756" s="1183"/>
      <c r="O3756" s="1183"/>
      <c r="P3756" s="1201"/>
      <c r="Q3756" s="1201"/>
      <c r="R3756" s="1201"/>
      <c r="S3756" s="1201"/>
      <c r="T3756" s="1201"/>
    </row>
    <row r="3757" spans="12:20">
      <c r="L3757" s="1179"/>
      <c r="M3757" s="1183"/>
      <c r="N3757" s="1183"/>
      <c r="O3757" s="1183"/>
      <c r="P3757" s="1201"/>
      <c r="Q3757" s="1201"/>
      <c r="R3757" s="1201"/>
      <c r="S3757" s="1201"/>
      <c r="T3757" s="1201"/>
    </row>
    <row r="3758" spans="12:20">
      <c r="L3758" s="1179"/>
      <c r="M3758" s="1183"/>
      <c r="N3758" s="1183"/>
      <c r="O3758" s="1183"/>
      <c r="P3758" s="1201"/>
      <c r="Q3758" s="1201"/>
      <c r="R3758" s="1201"/>
      <c r="S3758" s="1201"/>
      <c r="T3758" s="1201"/>
    </row>
    <row r="3759" spans="12:20">
      <c r="L3759" s="1179"/>
      <c r="M3759" s="1183"/>
      <c r="N3759" s="1183"/>
      <c r="O3759" s="1183"/>
      <c r="P3759" s="1201"/>
      <c r="Q3759" s="1201"/>
      <c r="R3759" s="1201"/>
      <c r="S3759" s="1201"/>
      <c r="T3759" s="1201"/>
    </row>
    <row r="3760" spans="12:20">
      <c r="L3760" s="1179"/>
      <c r="M3760" s="1183"/>
      <c r="N3760" s="1183"/>
      <c r="O3760" s="1183"/>
      <c r="P3760" s="1201"/>
      <c r="Q3760" s="1201"/>
      <c r="R3760" s="1201"/>
      <c r="S3760" s="1201"/>
      <c r="T3760" s="1201"/>
    </row>
    <row r="3761" spans="12:20">
      <c r="L3761" s="1179"/>
      <c r="M3761" s="1183"/>
      <c r="N3761" s="1183"/>
      <c r="O3761" s="1183"/>
      <c r="P3761" s="1201"/>
      <c r="Q3761" s="1201"/>
      <c r="R3761" s="1201"/>
      <c r="S3761" s="1201"/>
      <c r="T3761" s="1201"/>
    </row>
    <row r="3762" spans="12:20">
      <c r="L3762" s="1179"/>
      <c r="M3762" s="1183"/>
      <c r="N3762" s="1183"/>
      <c r="O3762" s="1183"/>
      <c r="P3762" s="1201"/>
      <c r="Q3762" s="1201"/>
      <c r="R3762" s="1201"/>
      <c r="S3762" s="1201"/>
      <c r="T3762" s="1201"/>
    </row>
    <row r="3763" spans="12:20">
      <c r="L3763" s="1179"/>
      <c r="M3763" s="1183"/>
      <c r="N3763" s="1183"/>
      <c r="O3763" s="1183"/>
      <c r="P3763" s="1201"/>
      <c r="Q3763" s="1201"/>
      <c r="R3763" s="1201"/>
      <c r="S3763" s="1201"/>
      <c r="T3763" s="1201"/>
    </row>
    <row r="3764" spans="12:20">
      <c r="L3764" s="1179"/>
      <c r="M3764" s="1183"/>
      <c r="N3764" s="1183"/>
      <c r="O3764" s="1183"/>
      <c r="P3764" s="1201"/>
      <c r="Q3764" s="1201"/>
      <c r="R3764" s="1201"/>
      <c r="S3764" s="1201"/>
      <c r="T3764" s="1201"/>
    </row>
    <row r="3765" spans="12:20">
      <c r="L3765" s="1179"/>
      <c r="M3765" s="1183"/>
      <c r="N3765" s="1183"/>
      <c r="O3765" s="1183"/>
      <c r="P3765" s="1201"/>
      <c r="Q3765" s="1201"/>
      <c r="R3765" s="1201"/>
      <c r="S3765" s="1201"/>
      <c r="T3765" s="1201"/>
    </row>
    <row r="3766" spans="12:20">
      <c r="L3766" s="1179"/>
      <c r="M3766" s="1183"/>
      <c r="N3766" s="1183"/>
      <c r="O3766" s="1183"/>
      <c r="P3766" s="1201"/>
      <c r="Q3766" s="1201"/>
      <c r="R3766" s="1201"/>
      <c r="S3766" s="1201"/>
      <c r="T3766" s="1201"/>
    </row>
    <row r="3767" spans="12:20">
      <c r="L3767" s="1179"/>
      <c r="M3767" s="1183"/>
      <c r="N3767" s="1183"/>
      <c r="O3767" s="1183"/>
      <c r="P3767" s="1201"/>
      <c r="Q3767" s="1201"/>
      <c r="R3767" s="1201"/>
      <c r="S3767" s="1201"/>
      <c r="T3767" s="1201"/>
    </row>
    <row r="3768" spans="12:20">
      <c r="L3768" s="1179"/>
      <c r="M3768" s="1183"/>
      <c r="N3768" s="1183"/>
      <c r="O3768" s="1183"/>
      <c r="P3768" s="1201"/>
      <c r="Q3768" s="1201"/>
      <c r="R3768" s="1201"/>
      <c r="S3768" s="1201"/>
      <c r="T3768" s="1201"/>
    </row>
    <row r="3769" spans="12:20">
      <c r="L3769" s="1179"/>
      <c r="M3769" s="1183"/>
      <c r="N3769" s="1183"/>
      <c r="O3769" s="1183"/>
      <c r="P3769" s="1201"/>
      <c r="Q3769" s="1201"/>
      <c r="R3769" s="1201"/>
      <c r="S3769" s="1201"/>
      <c r="T3769" s="1201"/>
    </row>
    <row r="3770" spans="12:20">
      <c r="L3770" s="1179"/>
      <c r="M3770" s="1183"/>
      <c r="N3770" s="1183"/>
      <c r="O3770" s="1183"/>
      <c r="P3770" s="1201"/>
      <c r="Q3770" s="1201"/>
      <c r="R3770" s="1201"/>
      <c r="S3770" s="1201"/>
      <c r="T3770" s="1201"/>
    </row>
    <row r="3771" spans="12:20">
      <c r="L3771" s="1179"/>
      <c r="M3771" s="1183"/>
      <c r="N3771" s="1183"/>
      <c r="O3771" s="1183"/>
      <c r="P3771" s="1201"/>
      <c r="Q3771" s="1201"/>
      <c r="R3771" s="1201"/>
      <c r="S3771" s="1201"/>
      <c r="T3771" s="1201"/>
    </row>
    <row r="3772" spans="12:20">
      <c r="L3772" s="1179"/>
      <c r="M3772" s="1183"/>
      <c r="N3772" s="1183"/>
      <c r="O3772" s="1183"/>
      <c r="P3772" s="1201"/>
      <c r="Q3772" s="1201"/>
      <c r="R3772" s="1201"/>
      <c r="S3772" s="1201"/>
      <c r="T3772" s="1201"/>
    </row>
    <row r="3773" spans="12:20">
      <c r="L3773" s="1179"/>
      <c r="M3773" s="1183"/>
      <c r="N3773" s="1183"/>
      <c r="O3773" s="1183"/>
      <c r="P3773" s="1201"/>
      <c r="Q3773" s="1201"/>
      <c r="R3773" s="1201"/>
      <c r="S3773" s="1201"/>
      <c r="T3773" s="1201"/>
    </row>
    <row r="3774" spans="12:20">
      <c r="L3774" s="1179"/>
      <c r="M3774" s="1183"/>
      <c r="N3774" s="1183"/>
      <c r="O3774" s="1183"/>
      <c r="P3774" s="1201"/>
      <c r="Q3774" s="1201"/>
      <c r="R3774" s="1201"/>
      <c r="S3774" s="1201"/>
      <c r="T3774" s="1201"/>
    </row>
    <row r="3775" spans="12:20">
      <c r="L3775" s="1179"/>
      <c r="M3775" s="1183"/>
      <c r="N3775" s="1183"/>
      <c r="O3775" s="1183"/>
      <c r="P3775" s="1201"/>
      <c r="Q3775" s="1201"/>
      <c r="R3775" s="1201"/>
      <c r="S3775" s="1201"/>
      <c r="T3775" s="1201"/>
    </row>
    <row r="3776" spans="12:20">
      <c r="L3776" s="1179"/>
      <c r="M3776" s="1183"/>
      <c r="N3776" s="1183"/>
      <c r="O3776" s="1183"/>
      <c r="P3776" s="1201"/>
      <c r="Q3776" s="1201"/>
      <c r="R3776" s="1201"/>
      <c r="S3776" s="1201"/>
      <c r="T3776" s="1201"/>
    </row>
    <row r="3777" spans="12:20">
      <c r="L3777" s="1179"/>
      <c r="M3777" s="1183"/>
      <c r="N3777" s="1183"/>
      <c r="O3777" s="1183"/>
      <c r="P3777" s="1201"/>
      <c r="Q3777" s="1201"/>
      <c r="R3777" s="1201"/>
      <c r="S3777" s="1201"/>
      <c r="T3777" s="1201"/>
    </row>
    <row r="3778" spans="12:20">
      <c r="L3778" s="1179"/>
      <c r="M3778" s="1183"/>
      <c r="N3778" s="1183"/>
      <c r="O3778" s="1183"/>
      <c r="P3778" s="1201"/>
      <c r="Q3778" s="1201"/>
      <c r="R3778" s="1201"/>
      <c r="S3778" s="1201"/>
      <c r="T3778" s="1201"/>
    </row>
    <row r="3779" spans="12:20">
      <c r="L3779" s="1179"/>
      <c r="M3779" s="1183"/>
      <c r="N3779" s="1183"/>
      <c r="O3779" s="1183"/>
      <c r="P3779" s="1201"/>
      <c r="Q3779" s="1201"/>
      <c r="R3779" s="1201"/>
      <c r="S3779" s="1201"/>
      <c r="T3779" s="1201"/>
    </row>
    <row r="3780" spans="12:20">
      <c r="L3780" s="1179"/>
      <c r="M3780" s="1183"/>
      <c r="N3780" s="1183"/>
      <c r="O3780" s="1183"/>
      <c r="P3780" s="1201"/>
      <c r="Q3780" s="1201"/>
      <c r="R3780" s="1201"/>
      <c r="S3780" s="1201"/>
      <c r="T3780" s="1201"/>
    </row>
    <row r="3781" spans="12:20">
      <c r="L3781" s="1179"/>
      <c r="M3781" s="1183"/>
      <c r="N3781" s="1183"/>
      <c r="O3781" s="1183"/>
      <c r="P3781" s="1201"/>
      <c r="Q3781" s="1201"/>
      <c r="R3781" s="1201"/>
      <c r="S3781" s="1201"/>
      <c r="T3781" s="1201"/>
    </row>
    <row r="3782" spans="12:20">
      <c r="L3782" s="1179"/>
      <c r="M3782" s="1183"/>
      <c r="N3782" s="1183"/>
      <c r="O3782" s="1183"/>
      <c r="P3782" s="1201"/>
      <c r="Q3782" s="1201"/>
      <c r="R3782" s="1201"/>
      <c r="S3782" s="1201"/>
      <c r="T3782" s="1201"/>
    </row>
    <row r="3783" spans="12:20">
      <c r="L3783" s="1179"/>
      <c r="M3783" s="1183"/>
      <c r="N3783" s="1183"/>
      <c r="O3783" s="1183"/>
      <c r="P3783" s="1201"/>
      <c r="Q3783" s="1201"/>
      <c r="R3783" s="1201"/>
      <c r="S3783" s="1201"/>
      <c r="T3783" s="1201"/>
    </row>
    <row r="3784" spans="12:20">
      <c r="L3784" s="1179"/>
      <c r="M3784" s="1183"/>
      <c r="N3784" s="1183"/>
      <c r="O3784" s="1183"/>
      <c r="P3784" s="1201"/>
      <c r="Q3784" s="1201"/>
      <c r="R3784" s="1201"/>
      <c r="S3784" s="1201"/>
      <c r="T3784" s="1201"/>
    </row>
    <row r="3785" spans="12:20">
      <c r="L3785" s="1179"/>
      <c r="M3785" s="1183"/>
      <c r="N3785" s="1183"/>
      <c r="O3785" s="1183"/>
      <c r="P3785" s="1201"/>
      <c r="Q3785" s="1201"/>
      <c r="R3785" s="1201"/>
      <c r="S3785" s="1201"/>
      <c r="T3785" s="1201"/>
    </row>
    <row r="3786" spans="12:20">
      <c r="L3786" s="1179"/>
      <c r="M3786" s="1183"/>
      <c r="N3786" s="1183"/>
      <c r="O3786" s="1183"/>
      <c r="P3786" s="1201"/>
      <c r="Q3786" s="1201"/>
      <c r="R3786" s="1201"/>
      <c r="S3786" s="1201"/>
      <c r="T3786" s="1201"/>
    </row>
    <row r="3787" spans="12:20">
      <c r="L3787" s="1179"/>
      <c r="M3787" s="1183"/>
      <c r="N3787" s="1183"/>
      <c r="O3787" s="1183"/>
      <c r="P3787" s="1201"/>
      <c r="Q3787" s="1201"/>
      <c r="R3787" s="1201"/>
      <c r="S3787" s="1201"/>
      <c r="T3787" s="1201"/>
    </row>
    <row r="3788" spans="12:20">
      <c r="L3788" s="1179"/>
      <c r="M3788" s="1183"/>
      <c r="N3788" s="1183"/>
      <c r="O3788" s="1183"/>
      <c r="P3788" s="1201"/>
      <c r="Q3788" s="1201"/>
      <c r="R3788" s="1201"/>
      <c r="S3788" s="1201"/>
      <c r="T3788" s="1201"/>
    </row>
    <row r="3789" spans="12:20">
      <c r="L3789" s="1179"/>
      <c r="M3789" s="1183"/>
      <c r="N3789" s="1183"/>
      <c r="O3789" s="1183"/>
      <c r="P3789" s="1201"/>
      <c r="Q3789" s="1201"/>
      <c r="R3789" s="1201"/>
      <c r="S3789" s="1201"/>
      <c r="T3789" s="1201"/>
    </row>
    <row r="3790" spans="12:20">
      <c r="L3790" s="1179"/>
      <c r="M3790" s="1183"/>
      <c r="N3790" s="1183"/>
      <c r="O3790" s="1183"/>
      <c r="P3790" s="1201"/>
      <c r="Q3790" s="1201"/>
      <c r="R3790" s="1201"/>
      <c r="S3790" s="1201"/>
      <c r="T3790" s="1201"/>
    </row>
    <row r="3791" spans="12:20">
      <c r="L3791" s="1179"/>
      <c r="M3791" s="1183"/>
      <c r="N3791" s="1183"/>
      <c r="O3791" s="1183"/>
      <c r="P3791" s="1201"/>
      <c r="Q3791" s="1201"/>
      <c r="R3791" s="1201"/>
      <c r="S3791" s="1201"/>
      <c r="T3791" s="1201"/>
    </row>
    <row r="3792" spans="12:20">
      <c r="L3792" s="1179"/>
      <c r="M3792" s="1183"/>
      <c r="N3792" s="1183"/>
      <c r="O3792" s="1183"/>
      <c r="P3792" s="1201"/>
      <c r="Q3792" s="1201"/>
      <c r="R3792" s="1201"/>
      <c r="S3792" s="1201"/>
      <c r="T3792" s="1201"/>
    </row>
    <row r="3793" spans="12:20">
      <c r="L3793" s="1179"/>
      <c r="M3793" s="1183"/>
      <c r="N3793" s="1183"/>
      <c r="O3793" s="1183"/>
      <c r="P3793" s="1201"/>
      <c r="Q3793" s="1201"/>
      <c r="R3793" s="1201"/>
      <c r="S3793" s="1201"/>
      <c r="T3793" s="1201"/>
    </row>
    <row r="3794" spans="12:20">
      <c r="L3794" s="1179"/>
      <c r="M3794" s="1183"/>
      <c r="N3794" s="1183"/>
      <c r="O3794" s="1183"/>
      <c r="P3794" s="1201"/>
      <c r="Q3794" s="1201"/>
      <c r="R3794" s="1201"/>
      <c r="S3794" s="1201"/>
      <c r="T3794" s="1201"/>
    </row>
    <row r="3795" spans="12:20">
      <c r="L3795" s="1179"/>
      <c r="M3795" s="1183"/>
      <c r="N3795" s="1183"/>
      <c r="O3795" s="1183"/>
      <c r="P3795" s="1201"/>
      <c r="Q3795" s="1201"/>
      <c r="R3795" s="1201"/>
      <c r="S3795" s="1201"/>
      <c r="T3795" s="1201"/>
    </row>
    <row r="3796" spans="12:20">
      <c r="L3796" s="1179"/>
      <c r="M3796" s="1183"/>
      <c r="N3796" s="1183"/>
      <c r="O3796" s="1183"/>
      <c r="P3796" s="1201"/>
      <c r="Q3796" s="1201"/>
      <c r="R3796" s="1201"/>
      <c r="S3796" s="1201"/>
      <c r="T3796" s="1201"/>
    </row>
    <row r="3797" spans="12:20">
      <c r="L3797" s="1179"/>
      <c r="M3797" s="1183"/>
      <c r="N3797" s="1183"/>
      <c r="O3797" s="1183"/>
      <c r="P3797" s="1201"/>
      <c r="Q3797" s="1201"/>
      <c r="R3797" s="1201"/>
      <c r="S3797" s="1201"/>
      <c r="T3797" s="1201"/>
    </row>
    <row r="3798" spans="12:20">
      <c r="L3798" s="1179"/>
      <c r="M3798" s="1183"/>
      <c r="N3798" s="1183"/>
      <c r="O3798" s="1183"/>
      <c r="P3798" s="1201"/>
      <c r="Q3798" s="1201"/>
      <c r="R3798" s="1201"/>
      <c r="S3798" s="1201"/>
      <c r="T3798" s="1201"/>
    </row>
    <row r="3799" spans="12:20">
      <c r="L3799" s="1179"/>
      <c r="M3799" s="1183"/>
      <c r="N3799" s="1183"/>
      <c r="O3799" s="1183"/>
      <c r="P3799" s="1201"/>
      <c r="Q3799" s="1201"/>
      <c r="R3799" s="1201"/>
      <c r="S3799" s="1201"/>
      <c r="T3799" s="1201"/>
    </row>
    <row r="3800" spans="12:20">
      <c r="L3800" s="1179"/>
      <c r="M3800" s="1183"/>
      <c r="N3800" s="1183"/>
      <c r="O3800" s="1183"/>
      <c r="P3800" s="1201"/>
      <c r="Q3800" s="1201"/>
      <c r="R3800" s="1201"/>
      <c r="S3800" s="1201"/>
      <c r="T3800" s="1201"/>
    </row>
    <row r="3801" spans="12:20">
      <c r="L3801" s="1179"/>
      <c r="M3801" s="1183"/>
      <c r="N3801" s="1183"/>
      <c r="O3801" s="1183"/>
      <c r="P3801" s="1201"/>
      <c r="Q3801" s="1201"/>
      <c r="R3801" s="1201"/>
      <c r="S3801" s="1201"/>
      <c r="T3801" s="1201"/>
    </row>
    <row r="3802" spans="12:20">
      <c r="L3802" s="1179"/>
      <c r="M3802" s="1183"/>
      <c r="N3802" s="1183"/>
      <c r="O3802" s="1183"/>
      <c r="P3802" s="1201"/>
      <c r="Q3802" s="1201"/>
      <c r="R3802" s="1201"/>
      <c r="S3802" s="1201"/>
      <c r="T3802" s="1201"/>
    </row>
    <row r="3803" spans="12:20">
      <c r="L3803" s="1179"/>
      <c r="M3803" s="1183"/>
      <c r="N3803" s="1183"/>
      <c r="O3803" s="1183"/>
      <c r="P3803" s="1201"/>
      <c r="Q3803" s="1201"/>
      <c r="R3803" s="1201"/>
      <c r="S3803" s="1201"/>
      <c r="T3803" s="1201"/>
    </row>
    <row r="3804" spans="12:20">
      <c r="L3804" s="1179"/>
      <c r="M3804" s="1183"/>
      <c r="N3804" s="1183"/>
      <c r="O3804" s="1183"/>
      <c r="P3804" s="1201"/>
      <c r="Q3804" s="1201"/>
      <c r="R3804" s="1201"/>
      <c r="S3804" s="1201"/>
      <c r="T3804" s="1201"/>
    </row>
    <row r="3805" spans="12:20">
      <c r="L3805" s="1179"/>
      <c r="M3805" s="1183"/>
      <c r="N3805" s="1183"/>
      <c r="O3805" s="1183"/>
      <c r="P3805" s="1201"/>
      <c r="Q3805" s="1201"/>
      <c r="R3805" s="1201"/>
      <c r="S3805" s="1201"/>
      <c r="T3805" s="1201"/>
    </row>
    <row r="3806" spans="12:20">
      <c r="L3806" s="1179"/>
      <c r="M3806" s="1183"/>
      <c r="N3806" s="1183"/>
      <c r="O3806" s="1183"/>
      <c r="P3806" s="1201"/>
      <c r="Q3806" s="1201"/>
      <c r="R3806" s="1201"/>
      <c r="S3806" s="1201"/>
      <c r="T3806" s="1201"/>
    </row>
    <row r="3807" spans="12:20">
      <c r="L3807" s="1179"/>
      <c r="M3807" s="1183"/>
      <c r="N3807" s="1183"/>
      <c r="O3807" s="1183"/>
      <c r="P3807" s="1201"/>
      <c r="Q3807" s="1201"/>
      <c r="R3807" s="1201"/>
      <c r="S3807" s="1201"/>
      <c r="T3807" s="1201"/>
    </row>
    <row r="3808" spans="12:20">
      <c r="L3808" s="1179"/>
      <c r="M3808" s="1183"/>
      <c r="N3808" s="1183"/>
      <c r="O3808" s="1183"/>
      <c r="P3808" s="1201"/>
      <c r="Q3808" s="1201"/>
      <c r="R3808" s="1201"/>
      <c r="S3808" s="1201"/>
      <c r="T3808" s="1201"/>
    </row>
    <row r="3809" spans="12:20">
      <c r="L3809" s="1179"/>
      <c r="M3809" s="1183"/>
      <c r="N3809" s="1183"/>
      <c r="O3809" s="1183"/>
      <c r="P3809" s="1201"/>
      <c r="Q3809" s="1201"/>
      <c r="R3809" s="1201"/>
      <c r="S3809" s="1201"/>
      <c r="T3809" s="1201"/>
    </row>
    <row r="3810" spans="12:20">
      <c r="L3810" s="1179"/>
      <c r="M3810" s="1183"/>
      <c r="N3810" s="1183"/>
      <c r="O3810" s="1183"/>
      <c r="P3810" s="1201"/>
      <c r="Q3810" s="1201"/>
      <c r="R3810" s="1201"/>
      <c r="S3810" s="1201"/>
      <c r="T3810" s="1201"/>
    </row>
    <row r="3811" spans="12:20">
      <c r="L3811" s="1179"/>
      <c r="M3811" s="1183"/>
      <c r="N3811" s="1183"/>
      <c r="O3811" s="1183"/>
      <c r="P3811" s="1201"/>
      <c r="Q3811" s="1201"/>
      <c r="R3811" s="1201"/>
      <c r="S3811" s="1201"/>
      <c r="T3811" s="1201"/>
    </row>
    <row r="3812" spans="12:20">
      <c r="L3812" s="1179"/>
      <c r="M3812" s="1183"/>
      <c r="N3812" s="1183"/>
      <c r="O3812" s="1183"/>
      <c r="P3812" s="1201"/>
      <c r="Q3812" s="1201"/>
      <c r="R3812" s="1201"/>
      <c r="S3812" s="1201"/>
      <c r="T3812" s="1201"/>
    </row>
    <row r="3813" spans="12:20">
      <c r="L3813" s="1179"/>
      <c r="M3813" s="1183"/>
      <c r="N3813" s="1183"/>
      <c r="O3813" s="1183"/>
      <c r="P3813" s="1201"/>
      <c r="Q3813" s="1201"/>
      <c r="R3813" s="1201"/>
      <c r="S3813" s="1201"/>
      <c r="T3813" s="1201"/>
    </row>
    <row r="3814" spans="12:20">
      <c r="L3814" s="1179"/>
      <c r="M3814" s="1183"/>
      <c r="N3814" s="1183"/>
      <c r="O3814" s="1183"/>
      <c r="P3814" s="1201"/>
      <c r="Q3814" s="1201"/>
      <c r="R3814" s="1201"/>
      <c r="S3814" s="1201"/>
      <c r="T3814" s="1201"/>
    </row>
    <row r="3815" spans="12:20">
      <c r="L3815" s="1179"/>
      <c r="M3815" s="1183"/>
      <c r="N3815" s="1183"/>
      <c r="O3815" s="1183"/>
      <c r="P3815" s="1201"/>
      <c r="Q3815" s="1201"/>
      <c r="R3815" s="1201"/>
      <c r="S3815" s="1201"/>
      <c r="T3815" s="1201"/>
    </row>
    <row r="3816" spans="12:20">
      <c r="L3816" s="1179"/>
      <c r="M3816" s="1183"/>
      <c r="N3816" s="1183"/>
      <c r="O3816" s="1183"/>
      <c r="P3816" s="1201"/>
      <c r="Q3816" s="1201"/>
      <c r="R3816" s="1201"/>
      <c r="S3816" s="1201"/>
      <c r="T3816" s="1201"/>
    </row>
    <row r="3817" spans="12:20">
      <c r="L3817" s="1179"/>
      <c r="M3817" s="1183"/>
      <c r="N3817" s="1183"/>
      <c r="O3817" s="1183"/>
      <c r="P3817" s="1201"/>
      <c r="Q3817" s="1201"/>
      <c r="R3817" s="1201"/>
      <c r="S3817" s="1201"/>
      <c r="T3817" s="1201"/>
    </row>
    <row r="3818" spans="12:20">
      <c r="L3818" s="1179"/>
      <c r="M3818" s="1183"/>
      <c r="N3818" s="1183"/>
      <c r="O3818" s="1183"/>
      <c r="P3818" s="1201"/>
      <c r="Q3818" s="1201"/>
      <c r="R3818" s="1201"/>
      <c r="S3818" s="1201"/>
      <c r="T3818" s="1201"/>
    </row>
    <row r="3819" spans="12:20">
      <c r="L3819" s="1179"/>
      <c r="M3819" s="1183"/>
      <c r="N3819" s="1183"/>
      <c r="O3819" s="1183"/>
      <c r="P3819" s="1201"/>
      <c r="Q3819" s="1201"/>
      <c r="R3819" s="1201"/>
      <c r="S3819" s="1201"/>
      <c r="T3819" s="1201"/>
    </row>
    <row r="3820" spans="12:20">
      <c r="L3820" s="1179"/>
      <c r="M3820" s="1183"/>
      <c r="N3820" s="1183"/>
      <c r="O3820" s="1183"/>
      <c r="P3820" s="1201"/>
      <c r="Q3820" s="1201"/>
      <c r="R3820" s="1201"/>
      <c r="S3820" s="1201"/>
      <c r="T3820" s="1201"/>
    </row>
    <row r="3821" spans="12:20">
      <c r="L3821" s="1179"/>
      <c r="M3821" s="1183"/>
      <c r="N3821" s="1183"/>
      <c r="O3821" s="1183"/>
      <c r="P3821" s="1201"/>
      <c r="Q3821" s="1201"/>
      <c r="R3821" s="1201"/>
      <c r="S3821" s="1201"/>
      <c r="T3821" s="1201"/>
    </row>
    <row r="3822" spans="12:20">
      <c r="L3822" s="1179"/>
      <c r="M3822" s="1183"/>
      <c r="N3822" s="1183"/>
      <c r="O3822" s="1183"/>
      <c r="P3822" s="1201"/>
      <c r="Q3822" s="1201"/>
      <c r="R3822" s="1201"/>
      <c r="S3822" s="1201"/>
      <c r="T3822" s="1201"/>
    </row>
    <row r="3823" spans="12:20">
      <c r="L3823" s="1179"/>
      <c r="M3823" s="1183"/>
      <c r="N3823" s="1183"/>
      <c r="O3823" s="1183"/>
      <c r="P3823" s="1201"/>
      <c r="Q3823" s="1201"/>
      <c r="R3823" s="1201"/>
      <c r="S3823" s="1201"/>
      <c r="T3823" s="1201"/>
    </row>
    <row r="3824" spans="12:20">
      <c r="L3824" s="1179"/>
      <c r="M3824" s="1183"/>
      <c r="N3824" s="1183"/>
      <c r="O3824" s="1183"/>
      <c r="P3824" s="1201"/>
      <c r="Q3824" s="1201"/>
      <c r="R3824" s="1201"/>
      <c r="S3824" s="1201"/>
      <c r="T3824" s="1201"/>
    </row>
    <row r="3825" spans="12:20">
      <c r="L3825" s="1179"/>
      <c r="M3825" s="1183"/>
      <c r="N3825" s="1183"/>
      <c r="O3825" s="1183"/>
      <c r="P3825" s="1201"/>
      <c r="Q3825" s="1201"/>
      <c r="R3825" s="1201"/>
      <c r="S3825" s="1201"/>
      <c r="T3825" s="1201"/>
    </row>
    <row r="3826" spans="12:20">
      <c r="L3826" s="1179"/>
      <c r="M3826" s="1183"/>
      <c r="N3826" s="1183"/>
      <c r="O3826" s="1183"/>
      <c r="P3826" s="1201"/>
      <c r="Q3826" s="1201"/>
      <c r="R3826" s="1201"/>
      <c r="S3826" s="1201"/>
      <c r="T3826" s="1201"/>
    </row>
    <row r="3827" spans="12:20">
      <c r="L3827" s="1179"/>
      <c r="M3827" s="1183"/>
      <c r="N3827" s="1183"/>
      <c r="O3827" s="1183"/>
      <c r="P3827" s="1201"/>
      <c r="Q3827" s="1201"/>
      <c r="R3827" s="1201"/>
      <c r="S3827" s="1201"/>
      <c r="T3827" s="1201"/>
    </row>
    <row r="3828" spans="12:20">
      <c r="L3828" s="1179"/>
      <c r="M3828" s="1183"/>
      <c r="N3828" s="1183"/>
      <c r="O3828" s="1183"/>
      <c r="P3828" s="1201"/>
      <c r="Q3828" s="1201"/>
      <c r="R3828" s="1201"/>
      <c r="S3828" s="1201"/>
      <c r="T3828" s="1201"/>
    </row>
    <row r="3829" spans="12:20">
      <c r="L3829" s="1179"/>
      <c r="M3829" s="1183"/>
      <c r="N3829" s="1183"/>
      <c r="O3829" s="1183"/>
      <c r="P3829" s="1201"/>
      <c r="Q3829" s="1201"/>
      <c r="R3829" s="1201"/>
      <c r="S3829" s="1201"/>
      <c r="T3829" s="1201"/>
    </row>
    <row r="3830" spans="12:20">
      <c r="L3830" s="1179"/>
      <c r="M3830" s="1183"/>
      <c r="N3830" s="1183"/>
      <c r="O3830" s="1183"/>
      <c r="P3830" s="1201"/>
      <c r="Q3830" s="1201"/>
      <c r="R3830" s="1201"/>
      <c r="S3830" s="1201"/>
      <c r="T3830" s="1201"/>
    </row>
    <row r="3831" spans="12:20">
      <c r="L3831" s="1179"/>
      <c r="M3831" s="1183"/>
      <c r="N3831" s="1183"/>
      <c r="O3831" s="1183"/>
      <c r="P3831" s="1201"/>
      <c r="Q3831" s="1201"/>
      <c r="R3831" s="1201"/>
      <c r="S3831" s="1201"/>
      <c r="T3831" s="1201"/>
    </row>
    <row r="3832" spans="12:20">
      <c r="L3832" s="1179"/>
      <c r="M3832" s="1183"/>
      <c r="N3832" s="1183"/>
      <c r="O3832" s="1183"/>
      <c r="P3832" s="1201"/>
      <c r="Q3832" s="1201"/>
      <c r="R3832" s="1201"/>
      <c r="S3832" s="1201"/>
      <c r="T3832" s="1201"/>
    </row>
    <row r="3833" spans="12:20">
      <c r="L3833" s="1179"/>
      <c r="M3833" s="1183"/>
      <c r="N3833" s="1183"/>
      <c r="O3833" s="1183"/>
      <c r="P3833" s="1201"/>
      <c r="Q3833" s="1201"/>
      <c r="R3833" s="1201"/>
      <c r="S3833" s="1201"/>
      <c r="T3833" s="1201"/>
    </row>
    <row r="3834" spans="12:20">
      <c r="L3834" s="1179"/>
      <c r="M3834" s="1183"/>
      <c r="N3834" s="1183"/>
      <c r="O3834" s="1183"/>
      <c r="P3834" s="1201"/>
      <c r="Q3834" s="1201"/>
      <c r="R3834" s="1201"/>
      <c r="S3834" s="1201"/>
      <c r="T3834" s="1201"/>
    </row>
    <row r="3835" spans="12:20">
      <c r="L3835" s="1179"/>
      <c r="M3835" s="1183"/>
      <c r="N3835" s="1183"/>
      <c r="O3835" s="1183"/>
      <c r="P3835" s="1201"/>
      <c r="Q3835" s="1201"/>
      <c r="R3835" s="1201"/>
      <c r="S3835" s="1201"/>
      <c r="T3835" s="1201"/>
    </row>
    <row r="3836" spans="12:20">
      <c r="L3836" s="1179"/>
      <c r="M3836" s="1183"/>
      <c r="N3836" s="1183"/>
      <c r="O3836" s="1183"/>
      <c r="P3836" s="1201"/>
      <c r="Q3836" s="1201"/>
      <c r="R3836" s="1201"/>
      <c r="S3836" s="1201"/>
      <c r="T3836" s="1201"/>
    </row>
    <row r="3837" spans="12:20">
      <c r="L3837" s="1179"/>
      <c r="M3837" s="1183"/>
      <c r="N3837" s="1183"/>
      <c r="O3837" s="1183"/>
      <c r="P3837" s="1201"/>
      <c r="Q3837" s="1201"/>
      <c r="R3837" s="1201"/>
      <c r="S3837" s="1201"/>
      <c r="T3837" s="1201"/>
    </row>
    <row r="3838" spans="12:20">
      <c r="L3838" s="1179"/>
      <c r="M3838" s="1183"/>
      <c r="N3838" s="1183"/>
      <c r="O3838" s="1183"/>
      <c r="P3838" s="1201"/>
      <c r="Q3838" s="1201"/>
      <c r="R3838" s="1201"/>
      <c r="S3838" s="1201"/>
      <c r="T3838" s="1201"/>
    </row>
    <row r="3839" spans="12:20">
      <c r="L3839" s="1179"/>
      <c r="M3839" s="1183"/>
      <c r="N3839" s="1183"/>
      <c r="O3839" s="1183"/>
      <c r="P3839" s="1201"/>
      <c r="Q3839" s="1201"/>
      <c r="R3839" s="1201"/>
      <c r="S3839" s="1201"/>
      <c r="T3839" s="1201"/>
    </row>
    <row r="3840" spans="12:20">
      <c r="L3840" s="1179"/>
      <c r="M3840" s="1183"/>
      <c r="N3840" s="1183"/>
      <c r="O3840" s="1183"/>
      <c r="P3840" s="1201"/>
      <c r="Q3840" s="1201"/>
      <c r="R3840" s="1201"/>
      <c r="S3840" s="1201"/>
      <c r="T3840" s="1201"/>
    </row>
    <row r="3841" spans="12:20">
      <c r="L3841" s="1179"/>
      <c r="M3841" s="1183"/>
      <c r="N3841" s="1183"/>
      <c r="O3841" s="1183"/>
      <c r="P3841" s="1201"/>
      <c r="Q3841" s="1201"/>
      <c r="R3841" s="1201"/>
      <c r="S3841" s="1201"/>
      <c r="T3841" s="1201"/>
    </row>
    <row r="3842" spans="12:20">
      <c r="L3842" s="1179"/>
      <c r="M3842" s="1183"/>
      <c r="N3842" s="1183"/>
      <c r="O3842" s="1183"/>
      <c r="P3842" s="1201"/>
      <c r="Q3842" s="1201"/>
      <c r="R3842" s="1201"/>
      <c r="S3842" s="1201"/>
      <c r="T3842" s="1201"/>
    </row>
    <row r="3843" spans="12:20">
      <c r="L3843" s="1179"/>
      <c r="M3843" s="1183"/>
      <c r="N3843" s="1183"/>
      <c r="O3843" s="1183"/>
      <c r="P3843" s="1201"/>
      <c r="Q3843" s="1201"/>
      <c r="R3843" s="1201"/>
      <c r="S3843" s="1201"/>
      <c r="T3843" s="1201"/>
    </row>
    <row r="3844" spans="12:20">
      <c r="L3844" s="1179"/>
      <c r="M3844" s="1183"/>
      <c r="N3844" s="1183"/>
      <c r="O3844" s="1183"/>
      <c r="P3844" s="1201"/>
      <c r="Q3844" s="1201"/>
      <c r="R3844" s="1201"/>
      <c r="S3844" s="1201"/>
      <c r="T3844" s="1201"/>
    </row>
    <row r="3845" spans="12:20">
      <c r="L3845" s="1179"/>
      <c r="M3845" s="1183"/>
      <c r="N3845" s="1183"/>
      <c r="O3845" s="1183"/>
      <c r="P3845" s="1201"/>
      <c r="Q3845" s="1201"/>
      <c r="R3845" s="1201"/>
      <c r="S3845" s="1201"/>
      <c r="T3845" s="1201"/>
    </row>
    <row r="3846" spans="12:20">
      <c r="L3846" s="1179"/>
      <c r="M3846" s="1183"/>
      <c r="N3846" s="1183"/>
      <c r="O3846" s="1183"/>
      <c r="P3846" s="1201"/>
      <c r="Q3846" s="1201"/>
      <c r="R3846" s="1201"/>
      <c r="S3846" s="1201"/>
      <c r="T3846" s="1201"/>
    </row>
    <row r="3847" spans="12:20">
      <c r="L3847" s="1179"/>
      <c r="M3847" s="1183"/>
      <c r="N3847" s="1183"/>
      <c r="O3847" s="1183"/>
      <c r="P3847" s="1201"/>
      <c r="Q3847" s="1201"/>
      <c r="R3847" s="1201"/>
      <c r="S3847" s="1201"/>
      <c r="T3847" s="1201"/>
    </row>
    <row r="3848" spans="12:20">
      <c r="L3848" s="1179"/>
      <c r="M3848" s="1183"/>
      <c r="N3848" s="1183"/>
      <c r="O3848" s="1183"/>
      <c r="P3848" s="1201"/>
      <c r="Q3848" s="1201"/>
      <c r="R3848" s="1201"/>
      <c r="S3848" s="1201"/>
      <c r="T3848" s="1201"/>
    </row>
    <row r="3849" spans="12:20">
      <c r="L3849" s="1179"/>
      <c r="M3849" s="1183"/>
      <c r="N3849" s="1183"/>
      <c r="O3849" s="1183"/>
      <c r="P3849" s="1201"/>
      <c r="Q3849" s="1201"/>
      <c r="R3849" s="1201"/>
      <c r="S3849" s="1201"/>
      <c r="T3849" s="1201"/>
    </row>
    <row r="3850" spans="12:20">
      <c r="L3850" s="1179"/>
      <c r="M3850" s="1183"/>
      <c r="N3850" s="1183"/>
      <c r="O3850" s="1183"/>
      <c r="P3850" s="1201"/>
      <c r="Q3850" s="1201"/>
      <c r="R3850" s="1201"/>
      <c r="S3850" s="1201"/>
      <c r="T3850" s="1201"/>
    </row>
    <row r="3851" spans="12:20">
      <c r="L3851" s="1179"/>
      <c r="M3851" s="1183"/>
      <c r="N3851" s="1183"/>
      <c r="O3851" s="1183"/>
      <c r="P3851" s="1201"/>
      <c r="Q3851" s="1201"/>
      <c r="R3851" s="1201"/>
      <c r="S3851" s="1201"/>
      <c r="T3851" s="1201"/>
    </row>
    <row r="3852" spans="12:20">
      <c r="L3852" s="1179"/>
      <c r="M3852" s="1183"/>
      <c r="N3852" s="1183"/>
      <c r="O3852" s="1183"/>
      <c r="P3852" s="1201"/>
      <c r="Q3852" s="1201"/>
      <c r="R3852" s="1201"/>
      <c r="S3852" s="1201"/>
      <c r="T3852" s="1201"/>
    </row>
    <row r="3853" spans="12:20">
      <c r="L3853" s="1179"/>
      <c r="M3853" s="1183"/>
      <c r="N3853" s="1183"/>
      <c r="O3853" s="1183"/>
      <c r="P3853" s="1201"/>
      <c r="Q3853" s="1201"/>
      <c r="R3853" s="1201"/>
      <c r="S3853" s="1201"/>
      <c r="T3853" s="1201"/>
    </row>
    <row r="3854" spans="12:20">
      <c r="L3854" s="1179"/>
      <c r="M3854" s="1183"/>
      <c r="N3854" s="1183"/>
      <c r="O3854" s="1183"/>
      <c r="P3854" s="1201"/>
      <c r="Q3854" s="1201"/>
      <c r="R3854" s="1201"/>
      <c r="S3854" s="1201"/>
      <c r="T3854" s="1201"/>
    </row>
    <row r="3855" spans="12:20">
      <c r="L3855" s="1179"/>
      <c r="M3855" s="1183"/>
      <c r="N3855" s="1183"/>
      <c r="O3855" s="1183"/>
      <c r="P3855" s="1201"/>
      <c r="Q3855" s="1201"/>
      <c r="R3855" s="1201"/>
      <c r="S3855" s="1201"/>
      <c r="T3855" s="1201"/>
    </row>
    <row r="3856" spans="12:20">
      <c r="L3856" s="1179"/>
      <c r="M3856" s="1183"/>
      <c r="N3856" s="1183"/>
      <c r="O3856" s="1183"/>
      <c r="P3856" s="1201"/>
      <c r="Q3856" s="1201"/>
      <c r="R3856" s="1201"/>
      <c r="S3856" s="1201"/>
      <c r="T3856" s="1201"/>
    </row>
    <row r="3857" spans="12:20">
      <c r="L3857" s="1179"/>
      <c r="M3857" s="1183"/>
      <c r="N3857" s="1183"/>
      <c r="O3857" s="1183"/>
      <c r="P3857" s="1201"/>
      <c r="Q3857" s="1201"/>
      <c r="R3857" s="1201"/>
      <c r="S3857" s="1201"/>
      <c r="T3857" s="1201"/>
    </row>
    <row r="3858" spans="12:20">
      <c r="L3858" s="1179"/>
      <c r="M3858" s="1183"/>
      <c r="N3858" s="1183"/>
      <c r="O3858" s="1183"/>
      <c r="P3858" s="1201"/>
      <c r="Q3858" s="1201"/>
      <c r="R3858" s="1201"/>
      <c r="S3858" s="1201"/>
      <c r="T3858" s="1201"/>
    </row>
    <row r="3859" spans="12:20">
      <c r="L3859" s="1179"/>
      <c r="M3859" s="1183"/>
      <c r="N3859" s="1183"/>
      <c r="O3859" s="1183"/>
      <c r="P3859" s="1201"/>
      <c r="Q3859" s="1201"/>
      <c r="R3859" s="1201"/>
      <c r="S3859" s="1201"/>
      <c r="T3859" s="1201"/>
    </row>
    <row r="3860" spans="12:20">
      <c r="L3860" s="1179"/>
      <c r="M3860" s="1183"/>
      <c r="N3860" s="1183"/>
      <c r="O3860" s="1183"/>
      <c r="P3860" s="1201"/>
      <c r="Q3860" s="1201"/>
      <c r="R3860" s="1201"/>
      <c r="S3860" s="1201"/>
      <c r="T3860" s="1201"/>
    </row>
    <row r="3861" spans="12:20">
      <c r="L3861" s="1179"/>
      <c r="M3861" s="1183"/>
      <c r="N3861" s="1183"/>
      <c r="O3861" s="1183"/>
      <c r="P3861" s="1201"/>
      <c r="Q3861" s="1201"/>
      <c r="R3861" s="1201"/>
      <c r="S3861" s="1201"/>
      <c r="T3861" s="1201"/>
    </row>
    <row r="3862" spans="12:20">
      <c r="L3862" s="1179"/>
      <c r="M3862" s="1183"/>
      <c r="N3862" s="1183"/>
      <c r="O3862" s="1183"/>
      <c r="P3862" s="1201"/>
      <c r="Q3862" s="1201"/>
      <c r="R3862" s="1201"/>
      <c r="S3862" s="1201"/>
      <c r="T3862" s="1201"/>
    </row>
    <row r="3863" spans="12:20">
      <c r="L3863" s="1179"/>
      <c r="M3863" s="1183"/>
      <c r="N3863" s="1183"/>
      <c r="O3863" s="1183"/>
      <c r="P3863" s="1201"/>
      <c r="Q3863" s="1201"/>
      <c r="R3863" s="1201"/>
      <c r="S3863" s="1201"/>
      <c r="T3863" s="1201"/>
    </row>
    <row r="3864" spans="12:20">
      <c r="L3864" s="1179"/>
      <c r="M3864" s="1183"/>
      <c r="N3864" s="1183"/>
      <c r="O3864" s="1183"/>
      <c r="P3864" s="1201"/>
      <c r="Q3864" s="1201"/>
      <c r="R3864" s="1201"/>
      <c r="S3864" s="1201"/>
      <c r="T3864" s="1201"/>
    </row>
    <row r="3865" spans="12:20">
      <c r="L3865" s="1179"/>
      <c r="M3865" s="1183"/>
      <c r="N3865" s="1183"/>
      <c r="O3865" s="1183"/>
      <c r="P3865" s="1201"/>
      <c r="Q3865" s="1201"/>
      <c r="R3865" s="1201"/>
      <c r="S3865" s="1201"/>
      <c r="T3865" s="1201"/>
    </row>
    <row r="3866" spans="12:20">
      <c r="L3866" s="1179"/>
      <c r="M3866" s="1183"/>
      <c r="N3866" s="1183"/>
      <c r="O3866" s="1183"/>
      <c r="P3866" s="1201"/>
      <c r="Q3866" s="1201"/>
      <c r="R3866" s="1201"/>
      <c r="S3866" s="1201"/>
      <c r="T3866" s="1201"/>
    </row>
    <row r="3867" spans="12:20">
      <c r="L3867" s="1179"/>
      <c r="M3867" s="1183"/>
      <c r="N3867" s="1183"/>
      <c r="O3867" s="1183"/>
      <c r="P3867" s="1201"/>
      <c r="Q3867" s="1201"/>
      <c r="R3867" s="1201"/>
      <c r="S3867" s="1201"/>
      <c r="T3867" s="1201"/>
    </row>
    <row r="3868" spans="12:20">
      <c r="L3868" s="1179"/>
      <c r="M3868" s="1183"/>
      <c r="N3868" s="1183"/>
      <c r="O3868" s="1183"/>
      <c r="P3868" s="1201"/>
      <c r="Q3868" s="1201"/>
      <c r="R3868" s="1201"/>
      <c r="S3868" s="1201"/>
      <c r="T3868" s="1201"/>
    </row>
    <row r="3869" spans="12:20">
      <c r="L3869" s="1179"/>
      <c r="M3869" s="1183"/>
      <c r="N3869" s="1183"/>
      <c r="O3869" s="1183"/>
      <c r="P3869" s="1201"/>
      <c r="Q3869" s="1201"/>
      <c r="R3869" s="1201"/>
      <c r="S3869" s="1201"/>
      <c r="T3869" s="1201"/>
    </row>
    <row r="3870" spans="12:20">
      <c r="L3870" s="1179"/>
      <c r="M3870" s="1183"/>
      <c r="N3870" s="1183"/>
      <c r="O3870" s="1183"/>
      <c r="P3870" s="1201"/>
      <c r="Q3870" s="1201"/>
      <c r="R3870" s="1201"/>
      <c r="S3870" s="1201"/>
      <c r="T3870" s="1201"/>
    </row>
    <row r="3871" spans="12:20">
      <c r="L3871" s="1179"/>
      <c r="M3871" s="1183"/>
      <c r="N3871" s="1183"/>
      <c r="O3871" s="1183"/>
      <c r="P3871" s="1201"/>
      <c r="Q3871" s="1201"/>
      <c r="R3871" s="1201"/>
      <c r="S3871" s="1201"/>
      <c r="T3871" s="1201"/>
    </row>
    <row r="3872" spans="12:20">
      <c r="L3872" s="1179"/>
      <c r="M3872" s="1183"/>
      <c r="N3872" s="1183"/>
      <c r="O3872" s="1183"/>
      <c r="P3872" s="1201"/>
      <c r="Q3872" s="1201"/>
      <c r="R3872" s="1201"/>
      <c r="S3872" s="1201"/>
      <c r="T3872" s="1201"/>
    </row>
    <row r="3873" spans="12:20">
      <c r="L3873" s="1179"/>
      <c r="M3873" s="1183"/>
      <c r="N3873" s="1183"/>
      <c r="O3873" s="1183"/>
      <c r="P3873" s="1201"/>
      <c r="Q3873" s="1201"/>
      <c r="R3873" s="1201"/>
      <c r="S3873" s="1201"/>
      <c r="T3873" s="1201"/>
    </row>
    <row r="3874" spans="12:20">
      <c r="L3874" s="1179"/>
      <c r="M3874" s="1183"/>
      <c r="N3874" s="1183"/>
      <c r="O3874" s="1183"/>
      <c r="P3874" s="1201"/>
      <c r="Q3874" s="1201"/>
      <c r="R3874" s="1201"/>
      <c r="S3874" s="1201"/>
      <c r="T3874" s="1201"/>
    </row>
    <row r="3875" spans="12:20">
      <c r="L3875" s="1179"/>
      <c r="M3875" s="1183"/>
      <c r="N3875" s="1183"/>
      <c r="O3875" s="1183"/>
      <c r="P3875" s="1201"/>
      <c r="Q3875" s="1201"/>
      <c r="R3875" s="1201"/>
      <c r="S3875" s="1201"/>
      <c r="T3875" s="1201"/>
    </row>
    <row r="3876" spans="12:20">
      <c r="L3876" s="1179"/>
      <c r="M3876" s="1183"/>
      <c r="N3876" s="1183"/>
      <c r="O3876" s="1183"/>
      <c r="P3876" s="1201"/>
      <c r="Q3876" s="1201"/>
      <c r="R3876" s="1201"/>
      <c r="S3876" s="1201"/>
      <c r="T3876" s="1201"/>
    </row>
    <row r="3877" spans="12:20">
      <c r="L3877" s="1179"/>
      <c r="M3877" s="1183"/>
      <c r="N3877" s="1183"/>
      <c r="O3877" s="1183"/>
      <c r="P3877" s="1201"/>
      <c r="Q3877" s="1201"/>
      <c r="R3877" s="1201"/>
      <c r="S3877" s="1201"/>
      <c r="T3877" s="1201"/>
    </row>
    <row r="3878" spans="12:20">
      <c r="L3878" s="1179"/>
      <c r="M3878" s="1183"/>
      <c r="N3878" s="1183"/>
      <c r="O3878" s="1183"/>
      <c r="P3878" s="1201"/>
      <c r="Q3878" s="1201"/>
      <c r="R3878" s="1201"/>
      <c r="S3878" s="1201"/>
      <c r="T3878" s="1201"/>
    </row>
    <row r="3879" spans="12:20">
      <c r="L3879" s="1179"/>
      <c r="M3879" s="1183"/>
      <c r="N3879" s="1183"/>
      <c r="O3879" s="1183"/>
      <c r="P3879" s="1201"/>
      <c r="Q3879" s="1201"/>
      <c r="R3879" s="1201"/>
      <c r="S3879" s="1201"/>
      <c r="T3879" s="1201"/>
    </row>
    <row r="3880" spans="12:20">
      <c r="L3880" s="1179"/>
      <c r="M3880" s="1183"/>
      <c r="N3880" s="1183"/>
      <c r="O3880" s="1183"/>
      <c r="P3880" s="1201"/>
      <c r="Q3880" s="1201"/>
      <c r="R3880" s="1201"/>
      <c r="S3880" s="1201"/>
      <c r="T3880" s="1201"/>
    </row>
    <row r="3881" spans="12:20">
      <c r="L3881" s="1179"/>
      <c r="M3881" s="1183"/>
      <c r="N3881" s="1183"/>
      <c r="O3881" s="1183"/>
      <c r="P3881" s="1201"/>
      <c r="Q3881" s="1201"/>
      <c r="R3881" s="1201"/>
      <c r="S3881" s="1201"/>
      <c r="T3881" s="1201"/>
    </row>
    <row r="3882" spans="12:20">
      <c r="L3882" s="1179"/>
      <c r="M3882" s="1183"/>
      <c r="N3882" s="1183"/>
      <c r="O3882" s="1183"/>
      <c r="P3882" s="1201"/>
      <c r="Q3882" s="1201"/>
      <c r="R3882" s="1201"/>
      <c r="S3882" s="1201"/>
      <c r="T3882" s="1201"/>
    </row>
    <row r="3883" spans="12:20">
      <c r="L3883" s="1179"/>
      <c r="M3883" s="1183"/>
      <c r="N3883" s="1183"/>
      <c r="O3883" s="1183"/>
      <c r="P3883" s="1201"/>
      <c r="Q3883" s="1201"/>
      <c r="R3883" s="1201"/>
      <c r="S3883" s="1201"/>
      <c r="T3883" s="1201"/>
    </row>
    <row r="3884" spans="12:20">
      <c r="L3884" s="1179"/>
      <c r="M3884" s="1183"/>
      <c r="N3884" s="1183"/>
      <c r="O3884" s="1183"/>
      <c r="P3884" s="1201"/>
      <c r="Q3884" s="1201"/>
      <c r="R3884" s="1201"/>
      <c r="S3884" s="1201"/>
      <c r="T3884" s="1201"/>
    </row>
    <row r="3885" spans="12:20">
      <c r="L3885" s="1179"/>
      <c r="M3885" s="1183"/>
      <c r="N3885" s="1183"/>
      <c r="O3885" s="1183"/>
      <c r="P3885" s="1201"/>
      <c r="Q3885" s="1201"/>
      <c r="R3885" s="1201"/>
      <c r="S3885" s="1201"/>
      <c r="T3885" s="1201"/>
    </row>
    <row r="3886" spans="12:20">
      <c r="L3886" s="1179"/>
      <c r="M3886" s="1183"/>
      <c r="N3886" s="1183"/>
      <c r="O3886" s="1183"/>
      <c r="P3886" s="1201"/>
      <c r="Q3886" s="1201"/>
      <c r="R3886" s="1201"/>
      <c r="S3886" s="1201"/>
      <c r="T3886" s="1201"/>
    </row>
    <row r="3887" spans="12:20">
      <c r="L3887" s="1179"/>
      <c r="M3887" s="1183"/>
      <c r="N3887" s="1183"/>
      <c r="O3887" s="1183"/>
      <c r="P3887" s="1201"/>
      <c r="Q3887" s="1201"/>
      <c r="R3887" s="1201"/>
      <c r="S3887" s="1201"/>
      <c r="T3887" s="1201"/>
    </row>
    <row r="3888" spans="12:20">
      <c r="L3888" s="1179"/>
      <c r="M3888" s="1183"/>
      <c r="N3888" s="1183"/>
      <c r="O3888" s="1183"/>
      <c r="P3888" s="1201"/>
      <c r="Q3888" s="1201"/>
      <c r="R3888" s="1201"/>
      <c r="S3888" s="1201"/>
      <c r="T3888" s="1201"/>
    </row>
    <row r="3889" spans="12:20">
      <c r="L3889" s="1179"/>
      <c r="M3889" s="1183"/>
      <c r="N3889" s="1183"/>
      <c r="O3889" s="1183"/>
      <c r="P3889" s="1201"/>
      <c r="Q3889" s="1201"/>
      <c r="R3889" s="1201"/>
      <c r="S3889" s="1201"/>
      <c r="T3889" s="1201"/>
    </row>
    <row r="3890" spans="12:20">
      <c r="L3890" s="1179"/>
      <c r="M3890" s="1183"/>
      <c r="N3890" s="1183"/>
      <c r="O3890" s="1183"/>
      <c r="P3890" s="1201"/>
      <c r="Q3890" s="1201"/>
      <c r="R3890" s="1201"/>
      <c r="S3890" s="1201"/>
      <c r="T3890" s="1201"/>
    </row>
    <row r="3891" spans="12:20">
      <c r="L3891" s="1179"/>
      <c r="M3891" s="1183"/>
      <c r="N3891" s="1183"/>
      <c r="O3891" s="1183"/>
      <c r="P3891" s="1201"/>
      <c r="Q3891" s="1201"/>
      <c r="R3891" s="1201"/>
      <c r="S3891" s="1201"/>
      <c r="T3891" s="1201"/>
    </row>
    <row r="3892" spans="12:20">
      <c r="L3892" s="1179"/>
      <c r="M3892" s="1183"/>
      <c r="N3892" s="1183"/>
      <c r="O3892" s="1183"/>
      <c r="P3892" s="1201"/>
      <c r="Q3892" s="1201"/>
      <c r="R3892" s="1201"/>
      <c r="S3892" s="1201"/>
      <c r="T3892" s="1201"/>
    </row>
    <row r="3893" spans="12:20">
      <c r="L3893" s="1179"/>
      <c r="M3893" s="1183"/>
      <c r="N3893" s="1183"/>
      <c r="O3893" s="1183"/>
      <c r="P3893" s="1201"/>
      <c r="Q3893" s="1201"/>
      <c r="R3893" s="1201"/>
      <c r="S3893" s="1201"/>
      <c r="T3893" s="1201"/>
    </row>
    <row r="3894" spans="12:20">
      <c r="L3894" s="1179"/>
      <c r="M3894" s="1183"/>
      <c r="N3894" s="1183"/>
      <c r="O3894" s="1183"/>
      <c r="P3894" s="1201"/>
      <c r="Q3894" s="1201"/>
      <c r="R3894" s="1201"/>
      <c r="S3894" s="1201"/>
      <c r="T3894" s="1201"/>
    </row>
    <row r="3895" spans="12:20">
      <c r="L3895" s="1179"/>
      <c r="M3895" s="1183"/>
      <c r="N3895" s="1183"/>
      <c r="O3895" s="1183"/>
      <c r="P3895" s="1201"/>
      <c r="Q3895" s="1201"/>
      <c r="R3895" s="1201"/>
      <c r="S3895" s="1201"/>
      <c r="T3895" s="1201"/>
    </row>
    <row r="3896" spans="12:20">
      <c r="L3896" s="1179"/>
      <c r="M3896" s="1183"/>
      <c r="N3896" s="1183"/>
      <c r="O3896" s="1183"/>
      <c r="P3896" s="1201"/>
      <c r="Q3896" s="1201"/>
      <c r="R3896" s="1201"/>
      <c r="S3896" s="1201"/>
      <c r="T3896" s="1201"/>
    </row>
    <row r="3897" spans="12:20">
      <c r="L3897" s="1179"/>
      <c r="M3897" s="1183"/>
      <c r="N3897" s="1183"/>
      <c r="O3897" s="1183"/>
      <c r="P3897" s="1201"/>
      <c r="Q3897" s="1201"/>
      <c r="R3897" s="1201"/>
      <c r="S3897" s="1201"/>
      <c r="T3897" s="1201"/>
    </row>
    <row r="3898" spans="12:20">
      <c r="L3898" s="1179"/>
      <c r="M3898" s="1183"/>
      <c r="N3898" s="1183"/>
      <c r="O3898" s="1183"/>
      <c r="P3898" s="1201"/>
      <c r="Q3898" s="1201"/>
      <c r="R3898" s="1201"/>
      <c r="S3898" s="1201"/>
      <c r="T3898" s="1201"/>
    </row>
    <row r="3899" spans="12:20">
      <c r="L3899" s="1179"/>
      <c r="M3899" s="1183"/>
      <c r="N3899" s="1183"/>
      <c r="O3899" s="1183"/>
      <c r="P3899" s="1201"/>
      <c r="Q3899" s="1201"/>
      <c r="R3899" s="1201"/>
      <c r="S3899" s="1201"/>
      <c r="T3899" s="1201"/>
    </row>
    <row r="3900" spans="12:20">
      <c r="L3900" s="1179"/>
      <c r="M3900" s="1183"/>
      <c r="N3900" s="1183"/>
      <c r="O3900" s="1183"/>
      <c r="P3900" s="1201"/>
      <c r="Q3900" s="1201"/>
      <c r="R3900" s="1201"/>
      <c r="S3900" s="1201"/>
      <c r="T3900" s="1201"/>
    </row>
    <row r="3901" spans="12:20">
      <c r="L3901" s="1179"/>
      <c r="M3901" s="1183"/>
      <c r="N3901" s="1183"/>
      <c r="O3901" s="1183"/>
      <c r="P3901" s="1201"/>
      <c r="Q3901" s="1201"/>
      <c r="R3901" s="1201"/>
      <c r="S3901" s="1201"/>
      <c r="T3901" s="1201"/>
    </row>
    <row r="3902" spans="12:20">
      <c r="L3902" s="1179"/>
      <c r="M3902" s="1183"/>
      <c r="N3902" s="1183"/>
      <c r="O3902" s="1183"/>
      <c r="P3902" s="1201"/>
      <c r="Q3902" s="1201"/>
      <c r="R3902" s="1201"/>
      <c r="S3902" s="1201"/>
      <c r="T3902" s="1201"/>
    </row>
    <row r="3903" spans="12:20">
      <c r="L3903" s="1179"/>
      <c r="M3903" s="1183"/>
      <c r="N3903" s="1183"/>
      <c r="O3903" s="1183"/>
      <c r="P3903" s="1201"/>
      <c r="Q3903" s="1201"/>
      <c r="R3903" s="1201"/>
      <c r="S3903" s="1201"/>
      <c r="T3903" s="1201"/>
    </row>
    <row r="3904" spans="12:20">
      <c r="L3904" s="1179"/>
      <c r="M3904" s="1183"/>
      <c r="N3904" s="1183"/>
      <c r="O3904" s="1183"/>
      <c r="P3904" s="1201"/>
      <c r="Q3904" s="1201"/>
      <c r="R3904" s="1201"/>
      <c r="S3904" s="1201"/>
      <c r="T3904" s="1201"/>
    </row>
    <row r="3905" spans="12:20">
      <c r="L3905" s="1179"/>
      <c r="M3905" s="1183"/>
      <c r="N3905" s="1183"/>
      <c r="O3905" s="1183"/>
      <c r="P3905" s="1201"/>
      <c r="Q3905" s="1201"/>
      <c r="R3905" s="1201"/>
      <c r="S3905" s="1201"/>
      <c r="T3905" s="1201"/>
    </row>
    <row r="3906" spans="12:20">
      <c r="L3906" s="1179"/>
      <c r="M3906" s="1183"/>
      <c r="N3906" s="1183"/>
      <c r="O3906" s="1183"/>
      <c r="P3906" s="1201"/>
      <c r="Q3906" s="1201"/>
      <c r="R3906" s="1201"/>
      <c r="S3906" s="1201"/>
      <c r="T3906" s="1201"/>
    </row>
    <row r="3907" spans="12:20">
      <c r="L3907" s="1179"/>
      <c r="M3907" s="1183"/>
      <c r="N3907" s="1183"/>
      <c r="O3907" s="1183"/>
      <c r="P3907" s="1201"/>
      <c r="Q3907" s="1201"/>
      <c r="R3907" s="1201"/>
      <c r="S3907" s="1201"/>
      <c r="T3907" s="1201"/>
    </row>
    <row r="3908" spans="12:20">
      <c r="L3908" s="1179"/>
      <c r="M3908" s="1183"/>
      <c r="N3908" s="1183"/>
      <c r="O3908" s="1183"/>
      <c r="P3908" s="1201"/>
      <c r="Q3908" s="1201"/>
      <c r="R3908" s="1201"/>
      <c r="S3908" s="1201"/>
      <c r="T3908" s="1201"/>
    </row>
    <row r="3909" spans="12:20">
      <c r="L3909" s="1179"/>
      <c r="M3909" s="1183"/>
      <c r="N3909" s="1183"/>
      <c r="O3909" s="1183"/>
      <c r="P3909" s="1201"/>
      <c r="Q3909" s="1201"/>
      <c r="R3909" s="1201"/>
      <c r="S3909" s="1201"/>
      <c r="T3909" s="1201"/>
    </row>
    <row r="3910" spans="12:20">
      <c r="L3910" s="1179"/>
      <c r="M3910" s="1183"/>
      <c r="N3910" s="1183"/>
      <c r="O3910" s="1183"/>
      <c r="P3910" s="1201"/>
      <c r="Q3910" s="1201"/>
      <c r="R3910" s="1201"/>
      <c r="S3910" s="1201"/>
      <c r="T3910" s="1201"/>
    </row>
    <row r="3911" spans="12:20">
      <c r="L3911" s="1179"/>
      <c r="M3911" s="1183"/>
      <c r="N3911" s="1183"/>
      <c r="O3911" s="1183"/>
      <c r="P3911" s="1201"/>
      <c r="Q3911" s="1201"/>
      <c r="R3911" s="1201"/>
      <c r="S3911" s="1201"/>
      <c r="T3911" s="1201"/>
    </row>
    <row r="3912" spans="12:20">
      <c r="L3912" s="1179"/>
      <c r="M3912" s="1183"/>
      <c r="N3912" s="1183"/>
      <c r="O3912" s="1183"/>
      <c r="P3912" s="1201"/>
      <c r="Q3912" s="1201"/>
      <c r="R3912" s="1201"/>
      <c r="S3912" s="1201"/>
      <c r="T3912" s="1201"/>
    </row>
    <row r="3913" spans="12:20">
      <c r="L3913" s="1179"/>
      <c r="M3913" s="1183"/>
      <c r="N3913" s="1183"/>
      <c r="O3913" s="1183"/>
      <c r="P3913" s="1201"/>
      <c r="Q3913" s="1201"/>
      <c r="R3913" s="1201"/>
      <c r="S3913" s="1201"/>
      <c r="T3913" s="1201"/>
    </row>
    <row r="3914" spans="12:20">
      <c r="L3914" s="1179"/>
      <c r="M3914" s="1183"/>
      <c r="N3914" s="1183"/>
      <c r="O3914" s="1183"/>
      <c r="P3914" s="1201"/>
      <c r="Q3914" s="1201"/>
      <c r="R3914" s="1201"/>
      <c r="S3914" s="1201"/>
      <c r="T3914" s="1201"/>
    </row>
    <row r="3915" spans="12:20">
      <c r="L3915" s="1179"/>
      <c r="M3915" s="1183"/>
      <c r="N3915" s="1183"/>
      <c r="O3915" s="1183"/>
      <c r="P3915" s="1201"/>
      <c r="Q3915" s="1201"/>
      <c r="R3915" s="1201"/>
      <c r="S3915" s="1201"/>
      <c r="T3915" s="1201"/>
    </row>
    <row r="3916" spans="12:20">
      <c r="L3916" s="1179"/>
      <c r="M3916" s="1183"/>
      <c r="N3916" s="1183"/>
      <c r="O3916" s="1183"/>
      <c r="P3916" s="1201"/>
      <c r="Q3916" s="1201"/>
      <c r="R3916" s="1201"/>
      <c r="S3916" s="1201"/>
      <c r="T3916" s="1201"/>
    </row>
    <row r="3917" spans="12:20">
      <c r="L3917" s="1179"/>
      <c r="M3917" s="1183"/>
      <c r="N3917" s="1183"/>
      <c r="O3917" s="1183"/>
      <c r="P3917" s="1201"/>
      <c r="Q3917" s="1201"/>
      <c r="R3917" s="1201"/>
      <c r="S3917" s="1201"/>
      <c r="T3917" s="1201"/>
    </row>
    <row r="3918" spans="12:20">
      <c r="L3918" s="1179"/>
      <c r="M3918" s="1183"/>
      <c r="N3918" s="1183"/>
      <c r="O3918" s="1183"/>
      <c r="P3918" s="1201"/>
      <c r="Q3918" s="1201"/>
      <c r="R3918" s="1201"/>
      <c r="S3918" s="1201"/>
      <c r="T3918" s="1201"/>
    </row>
    <row r="3919" spans="12:20">
      <c r="L3919" s="1179"/>
      <c r="M3919" s="1183"/>
      <c r="N3919" s="1183"/>
      <c r="O3919" s="1183"/>
      <c r="P3919" s="1201"/>
      <c r="Q3919" s="1201"/>
      <c r="R3919" s="1201"/>
      <c r="S3919" s="1201"/>
      <c r="T3919" s="1201"/>
    </row>
    <row r="3920" spans="12:20">
      <c r="L3920" s="1179"/>
      <c r="M3920" s="1183"/>
      <c r="N3920" s="1183"/>
      <c r="O3920" s="1183"/>
      <c r="P3920" s="1201"/>
      <c r="Q3920" s="1201"/>
      <c r="R3920" s="1201"/>
      <c r="S3920" s="1201"/>
      <c r="T3920" s="1201"/>
    </row>
    <row r="3921" spans="12:20">
      <c r="L3921" s="1179"/>
      <c r="M3921" s="1183"/>
      <c r="N3921" s="1183"/>
      <c r="O3921" s="1183"/>
      <c r="P3921" s="1201"/>
      <c r="Q3921" s="1201"/>
      <c r="R3921" s="1201"/>
      <c r="S3921" s="1201"/>
      <c r="T3921" s="1201"/>
    </row>
    <row r="3922" spans="12:20">
      <c r="L3922" s="1179"/>
      <c r="M3922" s="1183"/>
      <c r="N3922" s="1183"/>
      <c r="O3922" s="1183"/>
      <c r="P3922" s="1201"/>
      <c r="Q3922" s="1201"/>
      <c r="R3922" s="1201"/>
      <c r="S3922" s="1201"/>
      <c r="T3922" s="1201"/>
    </row>
    <row r="3923" spans="12:20">
      <c r="L3923" s="1179"/>
      <c r="M3923" s="1183"/>
      <c r="N3923" s="1183"/>
      <c r="O3923" s="1183"/>
      <c r="P3923" s="1201"/>
      <c r="Q3923" s="1201"/>
      <c r="R3923" s="1201"/>
      <c r="S3923" s="1201"/>
      <c r="T3923" s="1201"/>
    </row>
    <row r="3924" spans="12:20">
      <c r="L3924" s="1179"/>
      <c r="M3924" s="1183"/>
      <c r="N3924" s="1183"/>
      <c r="O3924" s="1183"/>
      <c r="P3924" s="1201"/>
      <c r="Q3924" s="1201"/>
      <c r="R3924" s="1201"/>
      <c r="S3924" s="1201"/>
      <c r="T3924" s="1201"/>
    </row>
    <row r="3925" spans="12:20">
      <c r="L3925" s="1179"/>
      <c r="M3925" s="1183"/>
      <c r="N3925" s="1183"/>
      <c r="O3925" s="1183"/>
      <c r="P3925" s="1201"/>
      <c r="Q3925" s="1201"/>
      <c r="R3925" s="1201"/>
      <c r="S3925" s="1201"/>
      <c r="T3925" s="1201"/>
    </row>
    <row r="3926" spans="12:20">
      <c r="L3926" s="1179"/>
      <c r="M3926" s="1183"/>
      <c r="N3926" s="1183"/>
      <c r="O3926" s="1183"/>
      <c r="P3926" s="1201"/>
      <c r="Q3926" s="1201"/>
      <c r="R3926" s="1201"/>
      <c r="S3926" s="1201"/>
      <c r="T3926" s="1201"/>
    </row>
    <row r="3927" spans="12:20">
      <c r="L3927" s="1179"/>
      <c r="M3927" s="1183"/>
      <c r="N3927" s="1183"/>
      <c r="O3927" s="1183"/>
      <c r="P3927" s="1201"/>
      <c r="Q3927" s="1201"/>
      <c r="R3927" s="1201"/>
      <c r="S3927" s="1201"/>
      <c r="T3927" s="1201"/>
    </row>
    <row r="3928" spans="12:20">
      <c r="L3928" s="1179"/>
      <c r="M3928" s="1183"/>
      <c r="N3928" s="1183"/>
      <c r="O3928" s="1183"/>
      <c r="P3928" s="1201"/>
      <c r="Q3928" s="1201"/>
      <c r="R3928" s="1201"/>
      <c r="S3928" s="1201"/>
      <c r="T3928" s="1201"/>
    </row>
    <row r="3929" spans="12:20">
      <c r="L3929" s="1179"/>
      <c r="M3929" s="1183"/>
      <c r="N3929" s="1183"/>
      <c r="O3929" s="1183"/>
      <c r="P3929" s="1201"/>
      <c r="Q3929" s="1201"/>
      <c r="R3929" s="1201"/>
      <c r="S3929" s="1201"/>
      <c r="T3929" s="1201"/>
    </row>
    <row r="3930" spans="12:20">
      <c r="L3930" s="1179"/>
      <c r="M3930" s="1183"/>
      <c r="N3930" s="1183"/>
      <c r="O3930" s="1183"/>
      <c r="P3930" s="1201"/>
      <c r="Q3930" s="1201"/>
      <c r="R3930" s="1201"/>
      <c r="S3930" s="1201"/>
      <c r="T3930" s="1201"/>
    </row>
    <row r="3931" spans="12:20">
      <c r="L3931" s="1179"/>
      <c r="M3931" s="1183"/>
      <c r="N3931" s="1183"/>
      <c r="O3931" s="1183"/>
      <c r="P3931" s="1201"/>
      <c r="Q3931" s="1201"/>
      <c r="R3931" s="1201"/>
      <c r="S3931" s="1201"/>
      <c r="T3931" s="1201"/>
    </row>
    <row r="3932" spans="12:20">
      <c r="L3932" s="1179"/>
      <c r="M3932" s="1183"/>
      <c r="N3932" s="1183"/>
      <c r="O3932" s="1183"/>
      <c r="P3932" s="1201"/>
      <c r="Q3932" s="1201"/>
      <c r="R3932" s="1201"/>
      <c r="S3932" s="1201"/>
      <c r="T3932" s="1201"/>
    </row>
    <row r="3933" spans="12:20">
      <c r="L3933" s="1179"/>
      <c r="M3933" s="1183"/>
      <c r="N3933" s="1183"/>
      <c r="O3933" s="1183"/>
      <c r="P3933" s="1201"/>
      <c r="Q3933" s="1201"/>
      <c r="R3933" s="1201"/>
      <c r="S3933" s="1201"/>
      <c r="T3933" s="1201"/>
    </row>
    <row r="3934" spans="12:20">
      <c r="L3934" s="1179"/>
      <c r="M3934" s="1183"/>
      <c r="N3934" s="1183"/>
      <c r="O3934" s="1183"/>
      <c r="P3934" s="1201"/>
      <c r="Q3934" s="1201"/>
      <c r="R3934" s="1201"/>
      <c r="S3934" s="1201"/>
      <c r="T3934" s="1201"/>
    </row>
    <row r="3935" spans="12:20">
      <c r="L3935" s="1179"/>
      <c r="M3935" s="1183"/>
      <c r="N3935" s="1183"/>
      <c r="O3935" s="1183"/>
      <c r="P3935" s="1201"/>
      <c r="Q3935" s="1201"/>
      <c r="R3935" s="1201"/>
      <c r="S3935" s="1201"/>
      <c r="T3935" s="1201"/>
    </row>
    <row r="3936" spans="12:20">
      <c r="L3936" s="1179"/>
      <c r="M3936" s="1183"/>
      <c r="N3936" s="1183"/>
      <c r="O3936" s="1183"/>
      <c r="P3936" s="1201"/>
      <c r="Q3936" s="1201"/>
      <c r="R3936" s="1201"/>
      <c r="S3936" s="1201"/>
      <c r="T3936" s="1201"/>
    </row>
    <row r="3937" spans="12:20">
      <c r="L3937" s="1179"/>
      <c r="M3937" s="1183"/>
      <c r="N3937" s="1183"/>
      <c r="O3937" s="1183"/>
      <c r="P3937" s="1201"/>
      <c r="Q3937" s="1201"/>
      <c r="R3937" s="1201"/>
      <c r="S3937" s="1201"/>
      <c r="T3937" s="1201"/>
    </row>
    <row r="3938" spans="12:20">
      <c r="L3938" s="1179"/>
      <c r="M3938" s="1183"/>
      <c r="N3938" s="1183"/>
      <c r="O3938" s="1183"/>
      <c r="P3938" s="1201"/>
      <c r="Q3938" s="1201"/>
      <c r="R3938" s="1201"/>
      <c r="S3938" s="1201"/>
      <c r="T3938" s="1201"/>
    </row>
    <row r="3939" spans="12:20">
      <c r="L3939" s="1179"/>
      <c r="M3939" s="1183"/>
      <c r="N3939" s="1183"/>
      <c r="O3939" s="1183"/>
      <c r="P3939" s="1201"/>
      <c r="Q3939" s="1201"/>
      <c r="R3939" s="1201"/>
      <c r="S3939" s="1201"/>
      <c r="T3939" s="1201"/>
    </row>
    <row r="3940" spans="12:20">
      <c r="L3940" s="1179"/>
      <c r="M3940" s="1183"/>
      <c r="N3940" s="1183"/>
      <c r="O3940" s="1183"/>
      <c r="P3940" s="1201"/>
      <c r="Q3940" s="1201"/>
      <c r="R3940" s="1201"/>
      <c r="S3940" s="1201"/>
      <c r="T3940" s="1201"/>
    </row>
    <row r="3941" spans="12:20">
      <c r="L3941" s="1179"/>
      <c r="M3941" s="1183"/>
      <c r="N3941" s="1183"/>
      <c r="O3941" s="1183"/>
      <c r="P3941" s="1201"/>
      <c r="Q3941" s="1201"/>
      <c r="R3941" s="1201"/>
      <c r="S3941" s="1201"/>
      <c r="T3941" s="1201"/>
    </row>
    <row r="3942" spans="12:20">
      <c r="L3942" s="1179"/>
      <c r="M3942" s="1183"/>
      <c r="N3942" s="1183"/>
      <c r="O3942" s="1183"/>
      <c r="P3942" s="1201"/>
      <c r="Q3942" s="1201"/>
      <c r="R3942" s="1201"/>
      <c r="S3942" s="1201"/>
      <c r="T3942" s="1201"/>
    </row>
    <row r="3943" spans="12:20">
      <c r="L3943" s="1179"/>
      <c r="M3943" s="1183"/>
      <c r="N3943" s="1183"/>
      <c r="O3943" s="1183"/>
      <c r="P3943" s="1201"/>
      <c r="Q3943" s="1201"/>
      <c r="R3943" s="1201"/>
      <c r="S3943" s="1201"/>
      <c r="T3943" s="1201"/>
    </row>
    <row r="3944" spans="12:20">
      <c r="L3944" s="1179"/>
      <c r="M3944" s="1183"/>
      <c r="N3944" s="1183"/>
      <c r="O3944" s="1183"/>
      <c r="P3944" s="1201"/>
      <c r="Q3944" s="1201"/>
      <c r="R3944" s="1201"/>
      <c r="S3944" s="1201"/>
      <c r="T3944" s="1201"/>
    </row>
    <row r="3945" spans="12:20">
      <c r="L3945" s="1179"/>
      <c r="M3945" s="1183"/>
      <c r="N3945" s="1183"/>
      <c r="O3945" s="1183"/>
      <c r="P3945" s="1201"/>
      <c r="Q3945" s="1201"/>
      <c r="R3945" s="1201"/>
      <c r="S3945" s="1201"/>
      <c r="T3945" s="1201"/>
    </row>
    <row r="3946" spans="12:20">
      <c r="L3946" s="1179"/>
      <c r="M3946" s="1183"/>
      <c r="N3946" s="1183"/>
      <c r="O3946" s="1183"/>
      <c r="P3946" s="1201"/>
      <c r="Q3946" s="1201"/>
      <c r="R3946" s="1201"/>
      <c r="S3946" s="1201"/>
      <c r="T3946" s="1201"/>
    </row>
    <row r="3947" spans="12:20">
      <c r="L3947" s="1179"/>
      <c r="M3947" s="1183"/>
      <c r="N3947" s="1183"/>
      <c r="O3947" s="1183"/>
      <c r="P3947" s="1201"/>
      <c r="Q3947" s="1201"/>
      <c r="R3947" s="1201"/>
      <c r="S3947" s="1201"/>
      <c r="T3947" s="1201"/>
    </row>
    <row r="3948" spans="12:20">
      <c r="L3948" s="1179"/>
      <c r="M3948" s="1183"/>
      <c r="N3948" s="1183"/>
      <c r="O3948" s="1183"/>
      <c r="P3948" s="1201"/>
      <c r="Q3948" s="1201"/>
      <c r="R3948" s="1201"/>
      <c r="S3948" s="1201"/>
      <c r="T3948" s="1201"/>
    </row>
    <row r="3949" spans="12:20">
      <c r="L3949" s="1179"/>
      <c r="M3949" s="1183"/>
      <c r="N3949" s="1183"/>
      <c r="O3949" s="1183"/>
      <c r="P3949" s="1201"/>
      <c r="Q3949" s="1201"/>
      <c r="R3949" s="1201"/>
      <c r="S3949" s="1201"/>
      <c r="T3949" s="1201"/>
    </row>
    <row r="3950" spans="12:20">
      <c r="L3950" s="1179"/>
      <c r="M3950" s="1183"/>
      <c r="N3950" s="1183"/>
      <c r="O3950" s="1183"/>
      <c r="P3950" s="1201"/>
      <c r="Q3950" s="1201"/>
      <c r="R3950" s="1201"/>
      <c r="S3950" s="1201"/>
      <c r="T3950" s="1201"/>
    </row>
    <row r="3951" spans="12:20">
      <c r="L3951" s="1179"/>
      <c r="M3951" s="1183"/>
      <c r="N3951" s="1183"/>
      <c r="O3951" s="1183"/>
      <c r="P3951" s="1201"/>
      <c r="Q3951" s="1201"/>
      <c r="R3951" s="1201"/>
      <c r="S3951" s="1201"/>
      <c r="T3951" s="1201"/>
    </row>
    <row r="3952" spans="12:20">
      <c r="L3952" s="1179"/>
      <c r="M3952" s="1183"/>
      <c r="N3952" s="1183"/>
      <c r="O3952" s="1183"/>
      <c r="P3952" s="1201"/>
      <c r="Q3952" s="1201"/>
      <c r="R3952" s="1201"/>
      <c r="S3952" s="1201"/>
      <c r="T3952" s="1201"/>
    </row>
    <row r="3953" spans="12:20">
      <c r="L3953" s="1179"/>
      <c r="M3953" s="1183"/>
      <c r="N3953" s="1183"/>
      <c r="O3953" s="1183"/>
      <c r="P3953" s="1201"/>
      <c r="Q3953" s="1201"/>
      <c r="R3953" s="1201"/>
      <c r="S3953" s="1201"/>
      <c r="T3953" s="1201"/>
    </row>
    <row r="3954" spans="12:20">
      <c r="L3954" s="1179"/>
      <c r="M3954" s="1183"/>
      <c r="N3954" s="1183"/>
      <c r="O3954" s="1183"/>
      <c r="P3954" s="1201"/>
      <c r="Q3954" s="1201"/>
      <c r="R3954" s="1201"/>
      <c r="S3954" s="1201"/>
      <c r="T3954" s="1201"/>
    </row>
    <row r="3955" spans="12:20">
      <c r="L3955" s="1179"/>
      <c r="M3955" s="1183"/>
      <c r="N3955" s="1183"/>
      <c r="O3955" s="1183"/>
      <c r="P3955" s="1201"/>
      <c r="Q3955" s="1201"/>
      <c r="R3955" s="1201"/>
      <c r="S3955" s="1201"/>
      <c r="T3955" s="1201"/>
    </row>
    <row r="3956" spans="12:20">
      <c r="L3956" s="1179"/>
      <c r="M3956" s="1183"/>
      <c r="N3956" s="1183"/>
      <c r="O3956" s="1183"/>
      <c r="P3956" s="1201"/>
      <c r="Q3956" s="1201"/>
      <c r="R3956" s="1201"/>
      <c r="S3956" s="1201"/>
      <c r="T3956" s="1201"/>
    </row>
    <row r="3957" spans="12:20">
      <c r="L3957" s="1179"/>
      <c r="M3957" s="1183"/>
      <c r="N3957" s="1183"/>
      <c r="O3957" s="1183"/>
      <c r="P3957" s="1201"/>
      <c r="Q3957" s="1201"/>
      <c r="R3957" s="1201"/>
      <c r="S3957" s="1201"/>
      <c r="T3957" s="1201"/>
    </row>
    <row r="3958" spans="12:20">
      <c r="L3958" s="1179"/>
      <c r="M3958" s="1183"/>
      <c r="N3958" s="1183"/>
      <c r="O3958" s="1183"/>
      <c r="P3958" s="1201"/>
      <c r="Q3958" s="1201"/>
      <c r="R3958" s="1201"/>
      <c r="S3958" s="1201"/>
      <c r="T3958" s="1201"/>
    </row>
    <row r="3959" spans="12:20">
      <c r="L3959" s="1179"/>
      <c r="M3959" s="1183"/>
      <c r="N3959" s="1183"/>
      <c r="O3959" s="1183"/>
      <c r="P3959" s="1201"/>
      <c r="Q3959" s="1201"/>
      <c r="R3959" s="1201"/>
      <c r="S3959" s="1201"/>
      <c r="T3959" s="1201"/>
    </row>
    <row r="3960" spans="12:20">
      <c r="L3960" s="1179"/>
      <c r="M3960" s="1183"/>
      <c r="N3960" s="1183"/>
      <c r="O3960" s="1183"/>
      <c r="P3960" s="1201"/>
      <c r="Q3960" s="1201"/>
      <c r="R3960" s="1201"/>
      <c r="S3960" s="1201"/>
      <c r="T3960" s="1201"/>
    </row>
    <row r="3961" spans="12:20">
      <c r="L3961" s="1179"/>
      <c r="M3961" s="1183"/>
      <c r="N3961" s="1183"/>
      <c r="O3961" s="1183"/>
      <c r="P3961" s="1201"/>
      <c r="Q3961" s="1201"/>
      <c r="R3961" s="1201"/>
      <c r="S3961" s="1201"/>
      <c r="T3961" s="1201"/>
    </row>
    <row r="3962" spans="12:20">
      <c r="L3962" s="1179"/>
      <c r="M3962" s="1183"/>
      <c r="N3962" s="1183"/>
      <c r="O3962" s="1183"/>
      <c r="P3962" s="1201"/>
      <c r="Q3962" s="1201"/>
      <c r="R3962" s="1201"/>
      <c r="S3962" s="1201"/>
      <c r="T3962" s="1201"/>
    </row>
    <row r="3963" spans="12:20">
      <c r="L3963" s="1179"/>
      <c r="M3963" s="1183"/>
      <c r="N3963" s="1183"/>
      <c r="O3963" s="1183"/>
      <c r="P3963" s="1201"/>
      <c r="Q3963" s="1201"/>
      <c r="R3963" s="1201"/>
      <c r="S3963" s="1201"/>
      <c r="T3963" s="1201"/>
    </row>
    <row r="3964" spans="12:20">
      <c r="L3964" s="1179"/>
      <c r="M3964" s="1183"/>
      <c r="N3964" s="1183"/>
      <c r="O3964" s="1183"/>
      <c r="P3964" s="1201"/>
      <c r="Q3964" s="1201"/>
      <c r="R3964" s="1201"/>
      <c r="S3964" s="1201"/>
      <c r="T3964" s="1201"/>
    </row>
    <row r="3965" spans="12:20">
      <c r="L3965" s="1179"/>
      <c r="M3965" s="1183"/>
      <c r="N3965" s="1183"/>
      <c r="O3965" s="1183"/>
      <c r="P3965" s="1201"/>
      <c r="Q3965" s="1201"/>
      <c r="R3965" s="1201"/>
      <c r="S3965" s="1201"/>
      <c r="T3965" s="1201"/>
    </row>
    <row r="3966" spans="12:20">
      <c r="L3966" s="1179"/>
      <c r="M3966" s="1183"/>
      <c r="N3966" s="1183"/>
      <c r="O3966" s="1183"/>
      <c r="P3966" s="1201"/>
      <c r="Q3966" s="1201"/>
      <c r="R3966" s="1201"/>
      <c r="S3966" s="1201"/>
      <c r="T3966" s="1201"/>
    </row>
    <row r="3967" spans="12:20">
      <c r="L3967" s="1179"/>
      <c r="M3967" s="1183"/>
      <c r="N3967" s="1183"/>
      <c r="O3967" s="1183"/>
      <c r="P3967" s="1201"/>
      <c r="Q3967" s="1201"/>
      <c r="R3967" s="1201"/>
      <c r="S3967" s="1201"/>
      <c r="T3967" s="1201"/>
    </row>
    <row r="3968" spans="12:20">
      <c r="L3968" s="1179"/>
      <c r="M3968" s="1183"/>
      <c r="N3968" s="1183"/>
      <c r="O3968" s="1183"/>
      <c r="P3968" s="1201"/>
      <c r="Q3968" s="1201"/>
      <c r="R3968" s="1201"/>
      <c r="S3968" s="1201"/>
      <c r="T3968" s="1201"/>
    </row>
    <row r="3969" spans="12:20">
      <c r="L3969" s="1179"/>
      <c r="M3969" s="1183"/>
      <c r="N3969" s="1183"/>
      <c r="O3969" s="1183"/>
      <c r="P3969" s="1201"/>
      <c r="Q3969" s="1201"/>
      <c r="R3969" s="1201"/>
      <c r="S3969" s="1201"/>
      <c r="T3969" s="1201"/>
    </row>
    <row r="3970" spans="12:20">
      <c r="L3970" s="1179"/>
      <c r="M3970" s="1183"/>
      <c r="N3970" s="1183"/>
      <c r="O3970" s="1183"/>
      <c r="P3970" s="1201"/>
      <c r="Q3970" s="1201"/>
      <c r="R3970" s="1201"/>
      <c r="S3970" s="1201"/>
      <c r="T3970" s="1201"/>
    </row>
    <row r="3971" spans="12:20">
      <c r="L3971" s="1179"/>
      <c r="M3971" s="1183"/>
      <c r="N3971" s="1183"/>
      <c r="O3971" s="1183"/>
      <c r="P3971" s="1201"/>
      <c r="Q3971" s="1201"/>
      <c r="R3971" s="1201"/>
      <c r="S3971" s="1201"/>
      <c r="T3971" s="1201"/>
    </row>
    <row r="3972" spans="12:20">
      <c r="L3972" s="1179"/>
      <c r="M3972" s="1183"/>
      <c r="N3972" s="1183"/>
      <c r="O3972" s="1183"/>
      <c r="P3972" s="1201"/>
      <c r="Q3972" s="1201"/>
      <c r="R3972" s="1201"/>
      <c r="S3972" s="1201"/>
      <c r="T3972" s="1201"/>
    </row>
    <row r="3973" spans="12:20">
      <c r="L3973" s="1179"/>
      <c r="M3973" s="1183"/>
      <c r="N3973" s="1183"/>
      <c r="O3973" s="1183"/>
      <c r="P3973" s="1201"/>
      <c r="Q3973" s="1201"/>
      <c r="R3973" s="1201"/>
      <c r="S3973" s="1201"/>
      <c r="T3973" s="1201"/>
    </row>
    <row r="3974" spans="12:20">
      <c r="L3974" s="1179"/>
      <c r="M3974" s="1183"/>
      <c r="N3974" s="1183"/>
      <c r="O3974" s="1183"/>
      <c r="P3974" s="1201"/>
      <c r="Q3974" s="1201"/>
      <c r="R3974" s="1201"/>
      <c r="S3974" s="1201"/>
      <c r="T3974" s="1201"/>
    </row>
    <row r="3975" spans="12:20">
      <c r="L3975" s="1179"/>
      <c r="M3975" s="1183"/>
      <c r="N3975" s="1183"/>
      <c r="O3975" s="1183"/>
      <c r="P3975" s="1201"/>
      <c r="Q3975" s="1201"/>
      <c r="R3975" s="1201"/>
      <c r="S3975" s="1201"/>
      <c r="T3975" s="1201"/>
    </row>
    <row r="3976" spans="12:20">
      <c r="L3976" s="1179"/>
      <c r="M3976" s="1183"/>
      <c r="N3976" s="1183"/>
      <c r="O3976" s="1183"/>
      <c r="P3976" s="1201"/>
      <c r="Q3976" s="1201"/>
      <c r="R3976" s="1201"/>
      <c r="S3976" s="1201"/>
      <c r="T3976" s="1201"/>
    </row>
    <row r="3977" spans="12:20">
      <c r="L3977" s="1179"/>
      <c r="M3977" s="1183"/>
      <c r="N3977" s="1183"/>
      <c r="O3977" s="1183"/>
      <c r="P3977" s="1201"/>
      <c r="Q3977" s="1201"/>
      <c r="R3977" s="1201"/>
      <c r="S3977" s="1201"/>
      <c r="T3977" s="1201"/>
    </row>
    <row r="3978" spans="12:20">
      <c r="L3978" s="1179"/>
      <c r="M3978" s="1183"/>
      <c r="N3978" s="1183"/>
      <c r="O3978" s="1183"/>
      <c r="P3978" s="1201"/>
      <c r="Q3978" s="1201"/>
      <c r="R3978" s="1201"/>
      <c r="S3978" s="1201"/>
      <c r="T3978" s="1201"/>
    </row>
    <row r="3979" spans="12:20">
      <c r="L3979" s="1179"/>
      <c r="M3979" s="1183"/>
      <c r="N3979" s="1183"/>
      <c r="O3979" s="1183"/>
      <c r="P3979" s="1201"/>
      <c r="Q3979" s="1201"/>
      <c r="R3979" s="1201"/>
      <c r="S3979" s="1201"/>
      <c r="T3979" s="1201"/>
    </row>
    <row r="3980" spans="12:20">
      <c r="L3980" s="1179"/>
      <c r="M3980" s="1183"/>
      <c r="N3980" s="1183"/>
      <c r="O3980" s="1183"/>
      <c r="P3980" s="1201"/>
      <c r="Q3980" s="1201"/>
      <c r="R3980" s="1201"/>
      <c r="S3980" s="1201"/>
      <c r="T3980" s="1201"/>
    </row>
    <row r="3981" spans="12:20">
      <c r="L3981" s="1179"/>
      <c r="M3981" s="1183"/>
      <c r="N3981" s="1183"/>
      <c r="O3981" s="1183"/>
      <c r="P3981" s="1201"/>
      <c r="Q3981" s="1201"/>
      <c r="R3981" s="1201"/>
      <c r="S3981" s="1201"/>
      <c r="T3981" s="1201"/>
    </row>
    <row r="3982" spans="12:20">
      <c r="L3982" s="1179"/>
      <c r="M3982" s="1183"/>
      <c r="N3982" s="1183"/>
      <c r="O3982" s="1183"/>
      <c r="P3982" s="1201"/>
      <c r="Q3982" s="1201"/>
      <c r="R3982" s="1201"/>
      <c r="S3982" s="1201"/>
      <c r="T3982" s="1201"/>
    </row>
    <row r="3983" spans="12:20">
      <c r="L3983" s="1179"/>
      <c r="M3983" s="1183"/>
      <c r="N3983" s="1183"/>
      <c r="O3983" s="1183"/>
      <c r="P3983" s="1201"/>
      <c r="Q3983" s="1201"/>
      <c r="R3983" s="1201"/>
      <c r="S3983" s="1201"/>
      <c r="T3983" s="1201"/>
    </row>
    <row r="3984" spans="12:20">
      <c r="L3984" s="1179"/>
      <c r="M3984" s="1183"/>
      <c r="N3984" s="1183"/>
      <c r="O3984" s="1183"/>
      <c r="P3984" s="1201"/>
      <c r="Q3984" s="1201"/>
      <c r="R3984" s="1201"/>
      <c r="S3984" s="1201"/>
      <c r="T3984" s="1201"/>
    </row>
    <row r="3985" spans="12:20">
      <c r="L3985" s="1179"/>
      <c r="M3985" s="1183"/>
      <c r="N3985" s="1183"/>
      <c r="O3985" s="1183"/>
      <c r="P3985" s="1201"/>
      <c r="Q3985" s="1201"/>
      <c r="R3985" s="1201"/>
      <c r="S3985" s="1201"/>
      <c r="T3985" s="1201"/>
    </row>
    <row r="3986" spans="12:20">
      <c r="L3986" s="1179"/>
      <c r="M3986" s="1183"/>
      <c r="N3986" s="1183"/>
      <c r="O3986" s="1183"/>
      <c r="P3986" s="1201"/>
      <c r="Q3986" s="1201"/>
      <c r="R3986" s="1201"/>
      <c r="S3986" s="1201"/>
      <c r="T3986" s="1201"/>
    </row>
    <row r="3987" spans="12:20">
      <c r="L3987" s="1179"/>
      <c r="M3987" s="1183"/>
      <c r="N3987" s="1183"/>
      <c r="O3987" s="1183"/>
      <c r="P3987" s="1201"/>
      <c r="Q3987" s="1201"/>
      <c r="R3987" s="1201"/>
      <c r="S3987" s="1201"/>
      <c r="T3987" s="1201"/>
    </row>
    <row r="3988" spans="12:20">
      <c r="L3988" s="1179"/>
      <c r="M3988" s="1183"/>
      <c r="N3988" s="1183"/>
      <c r="O3988" s="1183"/>
      <c r="P3988" s="1201"/>
      <c r="Q3988" s="1201"/>
      <c r="R3988" s="1201"/>
      <c r="S3988" s="1201"/>
      <c r="T3988" s="1201"/>
    </row>
    <row r="3989" spans="12:20">
      <c r="L3989" s="1179"/>
      <c r="M3989" s="1183"/>
      <c r="N3989" s="1183"/>
      <c r="O3989" s="1183"/>
      <c r="P3989" s="1201"/>
      <c r="Q3989" s="1201"/>
      <c r="R3989" s="1201"/>
      <c r="S3989" s="1201"/>
      <c r="T3989" s="1201"/>
    </row>
    <row r="3990" spans="12:20">
      <c r="L3990" s="1179"/>
      <c r="M3990" s="1183"/>
      <c r="N3990" s="1183"/>
      <c r="O3990" s="1183"/>
      <c r="P3990" s="1201"/>
      <c r="Q3990" s="1201"/>
      <c r="R3990" s="1201"/>
      <c r="S3990" s="1201"/>
      <c r="T3990" s="1201"/>
    </row>
    <row r="3991" spans="12:20">
      <c r="L3991" s="1179"/>
      <c r="M3991" s="1183"/>
      <c r="N3991" s="1183"/>
      <c r="O3991" s="1183"/>
      <c r="P3991" s="1201"/>
      <c r="Q3991" s="1201"/>
      <c r="R3991" s="1201"/>
      <c r="S3991" s="1201"/>
      <c r="T3991" s="1201"/>
    </row>
    <row r="3992" spans="12:20">
      <c r="L3992" s="1179"/>
      <c r="M3992" s="1183"/>
      <c r="N3992" s="1183"/>
      <c r="O3992" s="1183"/>
      <c r="P3992" s="1201"/>
      <c r="Q3992" s="1201"/>
      <c r="R3992" s="1201"/>
      <c r="S3992" s="1201"/>
      <c r="T3992" s="1201"/>
    </row>
    <row r="3993" spans="12:20">
      <c r="L3993" s="1179"/>
      <c r="M3993" s="1183"/>
      <c r="N3993" s="1183"/>
      <c r="O3993" s="1183"/>
      <c r="P3993" s="1201"/>
      <c r="Q3993" s="1201"/>
      <c r="R3993" s="1201"/>
      <c r="S3993" s="1201"/>
      <c r="T3993" s="1201"/>
    </row>
    <row r="3994" spans="12:20">
      <c r="L3994" s="1179"/>
      <c r="M3994" s="1183"/>
      <c r="N3994" s="1183"/>
      <c r="O3994" s="1183"/>
      <c r="P3994" s="1201"/>
      <c r="Q3994" s="1201"/>
      <c r="R3994" s="1201"/>
      <c r="S3994" s="1201"/>
      <c r="T3994" s="1201"/>
    </row>
    <row r="3995" spans="12:20">
      <c r="L3995" s="1179"/>
      <c r="M3995" s="1183"/>
      <c r="N3995" s="1183"/>
      <c r="O3995" s="1183"/>
      <c r="P3995" s="1201"/>
      <c r="Q3995" s="1201"/>
      <c r="R3995" s="1201"/>
      <c r="S3995" s="1201"/>
      <c r="T3995" s="1201"/>
    </row>
    <row r="3996" spans="12:20">
      <c r="L3996" s="1179"/>
      <c r="M3996" s="1183"/>
      <c r="N3996" s="1183"/>
      <c r="O3996" s="1183"/>
      <c r="P3996" s="1201"/>
      <c r="Q3996" s="1201"/>
      <c r="R3996" s="1201"/>
      <c r="S3996" s="1201"/>
      <c r="T3996" s="1201"/>
    </row>
    <row r="3997" spans="12:20">
      <c r="L3997" s="1179"/>
      <c r="M3997" s="1183"/>
      <c r="N3997" s="1183"/>
      <c r="O3997" s="1183"/>
      <c r="P3997" s="1201"/>
      <c r="Q3997" s="1201"/>
      <c r="R3997" s="1201"/>
      <c r="S3997" s="1201"/>
      <c r="T3997" s="1201"/>
    </row>
    <row r="3998" spans="12:20">
      <c r="L3998" s="1179"/>
      <c r="M3998" s="1183"/>
      <c r="N3998" s="1183"/>
      <c r="O3998" s="1183"/>
      <c r="P3998" s="1201"/>
      <c r="Q3998" s="1201"/>
      <c r="R3998" s="1201"/>
      <c r="S3998" s="1201"/>
      <c r="T3998" s="1201"/>
    </row>
    <row r="3999" spans="12:20">
      <c r="L3999" s="1179"/>
      <c r="M3999" s="1183"/>
      <c r="N3999" s="1183"/>
      <c r="O3999" s="1183"/>
      <c r="P3999" s="1201"/>
      <c r="Q3999" s="1201"/>
      <c r="R3999" s="1201"/>
      <c r="S3999" s="1201"/>
      <c r="T3999" s="1201"/>
    </row>
    <row r="4000" spans="12:20">
      <c r="L4000" s="1179"/>
      <c r="M4000" s="1183"/>
      <c r="N4000" s="1183"/>
      <c r="O4000" s="1183"/>
      <c r="P4000" s="1201"/>
      <c r="Q4000" s="1201"/>
      <c r="R4000" s="1201"/>
      <c r="S4000" s="1201"/>
      <c r="T4000" s="1201"/>
    </row>
    <row r="4001" spans="12:20">
      <c r="L4001" s="1179"/>
      <c r="M4001" s="1183"/>
      <c r="N4001" s="1183"/>
      <c r="O4001" s="1183"/>
      <c r="P4001" s="1201"/>
      <c r="Q4001" s="1201"/>
      <c r="R4001" s="1201"/>
      <c r="S4001" s="1201"/>
      <c r="T4001" s="1201"/>
    </row>
    <row r="4002" spans="12:20">
      <c r="L4002" s="1179"/>
      <c r="M4002" s="1183"/>
      <c r="N4002" s="1183"/>
      <c r="O4002" s="1183"/>
      <c r="P4002" s="1201"/>
      <c r="Q4002" s="1201"/>
      <c r="R4002" s="1201"/>
      <c r="S4002" s="1201"/>
      <c r="T4002" s="1201"/>
    </row>
    <row r="4003" spans="12:20">
      <c r="L4003" s="1179"/>
      <c r="M4003" s="1183"/>
      <c r="N4003" s="1183"/>
      <c r="O4003" s="1183"/>
      <c r="P4003" s="1201"/>
      <c r="Q4003" s="1201"/>
      <c r="R4003" s="1201"/>
      <c r="S4003" s="1201"/>
      <c r="T4003" s="1201"/>
    </row>
    <row r="4004" spans="12:20">
      <c r="L4004" s="1179"/>
      <c r="M4004" s="1183"/>
      <c r="N4004" s="1183"/>
      <c r="O4004" s="1183"/>
      <c r="P4004" s="1201"/>
      <c r="Q4004" s="1201"/>
      <c r="R4004" s="1201"/>
      <c r="S4004" s="1201"/>
      <c r="T4004" s="1201"/>
    </row>
    <row r="4005" spans="12:20">
      <c r="L4005" s="1179"/>
      <c r="M4005" s="1183"/>
      <c r="N4005" s="1183"/>
      <c r="O4005" s="1183"/>
      <c r="P4005" s="1201"/>
      <c r="Q4005" s="1201"/>
      <c r="R4005" s="1201"/>
      <c r="S4005" s="1201"/>
      <c r="T4005" s="1201"/>
    </row>
    <row r="4006" spans="12:20">
      <c r="L4006" s="1179"/>
      <c r="M4006" s="1183"/>
      <c r="N4006" s="1183"/>
      <c r="O4006" s="1183"/>
      <c r="P4006" s="1201"/>
      <c r="Q4006" s="1201"/>
      <c r="R4006" s="1201"/>
      <c r="S4006" s="1201"/>
      <c r="T4006" s="1201"/>
    </row>
    <row r="4007" spans="12:20">
      <c r="L4007" s="1179"/>
      <c r="M4007" s="1183"/>
      <c r="N4007" s="1183"/>
      <c r="O4007" s="1183"/>
      <c r="P4007" s="1201"/>
      <c r="Q4007" s="1201"/>
      <c r="R4007" s="1201"/>
      <c r="S4007" s="1201"/>
      <c r="T4007" s="1201"/>
    </row>
    <row r="4008" spans="12:20">
      <c r="L4008" s="1179"/>
      <c r="M4008" s="1183"/>
      <c r="N4008" s="1183"/>
      <c r="O4008" s="1183"/>
      <c r="P4008" s="1201"/>
      <c r="Q4008" s="1201"/>
      <c r="R4008" s="1201"/>
      <c r="S4008" s="1201"/>
      <c r="T4008" s="1201"/>
    </row>
    <row r="4009" spans="12:20">
      <c r="L4009" s="1179"/>
      <c r="M4009" s="1183"/>
      <c r="N4009" s="1183"/>
      <c r="O4009" s="1183"/>
      <c r="P4009" s="1201"/>
      <c r="Q4009" s="1201"/>
      <c r="R4009" s="1201"/>
      <c r="S4009" s="1201"/>
      <c r="T4009" s="1201"/>
    </row>
    <row r="4010" spans="12:20">
      <c r="L4010" s="1179"/>
      <c r="M4010" s="1183"/>
      <c r="N4010" s="1183"/>
      <c r="O4010" s="1183"/>
      <c r="P4010" s="1201"/>
      <c r="Q4010" s="1201"/>
      <c r="R4010" s="1201"/>
      <c r="S4010" s="1201"/>
      <c r="T4010" s="1201"/>
    </row>
    <row r="4011" spans="12:20">
      <c r="L4011" s="1179"/>
      <c r="M4011" s="1183"/>
      <c r="N4011" s="1183"/>
      <c r="O4011" s="1183"/>
      <c r="P4011" s="1201"/>
      <c r="Q4011" s="1201"/>
      <c r="R4011" s="1201"/>
      <c r="S4011" s="1201"/>
      <c r="T4011" s="1201"/>
    </row>
    <row r="4012" spans="12:20">
      <c r="L4012" s="1179"/>
      <c r="M4012" s="1183"/>
      <c r="N4012" s="1183"/>
      <c r="O4012" s="1183"/>
      <c r="P4012" s="1201"/>
      <c r="Q4012" s="1201"/>
      <c r="R4012" s="1201"/>
      <c r="S4012" s="1201"/>
      <c r="T4012" s="1201"/>
    </row>
    <row r="4013" spans="12:20">
      <c r="L4013" s="1179"/>
      <c r="M4013" s="1183"/>
      <c r="N4013" s="1183"/>
      <c r="O4013" s="1183"/>
      <c r="P4013" s="1201"/>
      <c r="Q4013" s="1201"/>
      <c r="R4013" s="1201"/>
      <c r="S4013" s="1201"/>
      <c r="T4013" s="1201"/>
    </row>
    <row r="4014" spans="12:20">
      <c r="L4014" s="1179"/>
      <c r="M4014" s="1183"/>
      <c r="N4014" s="1183"/>
      <c r="O4014" s="1183"/>
      <c r="P4014" s="1201"/>
      <c r="Q4014" s="1201"/>
      <c r="R4014" s="1201"/>
      <c r="S4014" s="1201"/>
      <c r="T4014" s="1201"/>
    </row>
    <row r="4015" spans="12:20">
      <c r="L4015" s="1179"/>
      <c r="M4015" s="1183"/>
      <c r="N4015" s="1183"/>
      <c r="O4015" s="1183"/>
      <c r="P4015" s="1201"/>
      <c r="Q4015" s="1201"/>
      <c r="R4015" s="1201"/>
      <c r="S4015" s="1201"/>
      <c r="T4015" s="1201"/>
    </row>
    <row r="4016" spans="12:20">
      <c r="L4016" s="1179"/>
      <c r="M4016" s="1183"/>
      <c r="N4016" s="1183"/>
      <c r="O4016" s="1183"/>
      <c r="P4016" s="1201"/>
      <c r="Q4016" s="1201"/>
      <c r="R4016" s="1201"/>
      <c r="S4016" s="1201"/>
      <c r="T4016" s="1201"/>
    </row>
    <row r="4017" spans="12:20">
      <c r="L4017" s="1179"/>
      <c r="M4017" s="1183"/>
      <c r="N4017" s="1183"/>
      <c r="O4017" s="1183"/>
      <c r="P4017" s="1201"/>
      <c r="Q4017" s="1201"/>
      <c r="R4017" s="1201"/>
      <c r="S4017" s="1201"/>
      <c r="T4017" s="1201"/>
    </row>
    <row r="4018" spans="12:20">
      <c r="L4018" s="1179"/>
      <c r="M4018" s="1183"/>
      <c r="N4018" s="1183"/>
      <c r="O4018" s="1183"/>
      <c r="P4018" s="1201"/>
      <c r="Q4018" s="1201"/>
      <c r="R4018" s="1201"/>
      <c r="S4018" s="1201"/>
      <c r="T4018" s="1201"/>
    </row>
    <row r="4019" spans="12:20">
      <c r="L4019" s="1179"/>
      <c r="M4019" s="1183"/>
      <c r="N4019" s="1183"/>
      <c r="O4019" s="1183"/>
      <c r="P4019" s="1201"/>
      <c r="Q4019" s="1201"/>
      <c r="R4019" s="1201"/>
      <c r="S4019" s="1201"/>
      <c r="T4019" s="1201"/>
    </row>
    <row r="4020" spans="12:20">
      <c r="L4020" s="1179"/>
      <c r="M4020" s="1183"/>
      <c r="N4020" s="1183"/>
      <c r="O4020" s="1183"/>
      <c r="P4020" s="1201"/>
      <c r="Q4020" s="1201"/>
      <c r="R4020" s="1201"/>
      <c r="S4020" s="1201"/>
      <c r="T4020" s="1201"/>
    </row>
    <row r="4021" spans="12:20">
      <c r="L4021" s="1179"/>
      <c r="M4021" s="1183"/>
      <c r="N4021" s="1183"/>
      <c r="O4021" s="1183"/>
      <c r="P4021" s="1201"/>
      <c r="Q4021" s="1201"/>
      <c r="R4021" s="1201"/>
      <c r="S4021" s="1201"/>
      <c r="T4021" s="1201"/>
    </row>
    <row r="4022" spans="12:20">
      <c r="L4022" s="1179"/>
      <c r="M4022" s="1183"/>
      <c r="N4022" s="1183"/>
      <c r="O4022" s="1183"/>
      <c r="P4022" s="1201"/>
      <c r="Q4022" s="1201"/>
      <c r="R4022" s="1201"/>
      <c r="S4022" s="1201"/>
      <c r="T4022" s="1201"/>
    </row>
    <row r="4023" spans="12:20">
      <c r="L4023" s="1179"/>
      <c r="M4023" s="1183"/>
      <c r="N4023" s="1183"/>
      <c r="O4023" s="1183"/>
      <c r="P4023" s="1201"/>
      <c r="Q4023" s="1201"/>
      <c r="R4023" s="1201"/>
      <c r="S4023" s="1201"/>
      <c r="T4023" s="1201"/>
    </row>
    <row r="4024" spans="12:20">
      <c r="L4024" s="1179"/>
      <c r="M4024" s="1183"/>
      <c r="N4024" s="1183"/>
      <c r="O4024" s="1183"/>
      <c r="P4024" s="1201"/>
      <c r="Q4024" s="1201"/>
      <c r="R4024" s="1201"/>
      <c r="S4024" s="1201"/>
      <c r="T4024" s="1201"/>
    </row>
    <row r="4025" spans="12:20">
      <c r="L4025" s="1179"/>
      <c r="M4025" s="1183"/>
      <c r="N4025" s="1183"/>
      <c r="O4025" s="1183"/>
      <c r="P4025" s="1201"/>
      <c r="Q4025" s="1201"/>
      <c r="R4025" s="1201"/>
      <c r="S4025" s="1201"/>
      <c r="T4025" s="1201"/>
    </row>
    <row r="4026" spans="12:20">
      <c r="L4026" s="1179"/>
      <c r="M4026" s="1183"/>
      <c r="N4026" s="1183"/>
      <c r="O4026" s="1183"/>
      <c r="P4026" s="1201"/>
      <c r="Q4026" s="1201"/>
      <c r="R4026" s="1201"/>
      <c r="S4026" s="1201"/>
      <c r="T4026" s="1201"/>
    </row>
    <row r="4027" spans="12:20">
      <c r="L4027" s="1179"/>
      <c r="M4027" s="1183"/>
      <c r="N4027" s="1183"/>
      <c r="O4027" s="1183"/>
      <c r="P4027" s="1201"/>
      <c r="Q4027" s="1201"/>
      <c r="R4027" s="1201"/>
      <c r="S4027" s="1201"/>
      <c r="T4027" s="1201"/>
    </row>
    <row r="4028" spans="12:20">
      <c r="L4028" s="1179"/>
      <c r="M4028" s="1183"/>
      <c r="N4028" s="1183"/>
      <c r="O4028" s="1183"/>
      <c r="P4028" s="1201"/>
      <c r="Q4028" s="1201"/>
      <c r="R4028" s="1201"/>
      <c r="S4028" s="1201"/>
      <c r="T4028" s="1201"/>
    </row>
    <row r="4029" spans="12:20">
      <c r="L4029" s="1179"/>
      <c r="M4029" s="1183"/>
      <c r="N4029" s="1183"/>
      <c r="O4029" s="1183"/>
      <c r="P4029" s="1201"/>
      <c r="Q4029" s="1201"/>
      <c r="R4029" s="1201"/>
      <c r="S4029" s="1201"/>
      <c r="T4029" s="1201"/>
    </row>
    <row r="4030" spans="12:20">
      <c r="L4030" s="1179"/>
      <c r="M4030" s="1183"/>
      <c r="N4030" s="1183"/>
      <c r="O4030" s="1183"/>
      <c r="P4030" s="1201"/>
      <c r="Q4030" s="1201"/>
      <c r="R4030" s="1201"/>
      <c r="S4030" s="1201"/>
      <c r="T4030" s="1201"/>
    </row>
    <row r="4031" spans="12:20">
      <c r="L4031" s="1179"/>
      <c r="M4031" s="1183"/>
      <c r="N4031" s="1183"/>
      <c r="O4031" s="1183"/>
      <c r="P4031" s="1201"/>
      <c r="Q4031" s="1201"/>
      <c r="R4031" s="1201"/>
      <c r="S4031" s="1201"/>
      <c r="T4031" s="1201"/>
    </row>
    <row r="4032" spans="12:20">
      <c r="L4032" s="1179"/>
      <c r="M4032" s="1183"/>
      <c r="N4032" s="1183"/>
      <c r="O4032" s="1183"/>
      <c r="P4032" s="1201"/>
      <c r="Q4032" s="1201"/>
      <c r="R4032" s="1201"/>
      <c r="S4032" s="1201"/>
      <c r="T4032" s="1201"/>
    </row>
    <row r="4033" spans="12:20">
      <c r="L4033" s="1179"/>
      <c r="M4033" s="1183"/>
      <c r="N4033" s="1183"/>
      <c r="O4033" s="1183"/>
      <c r="P4033" s="1201"/>
      <c r="Q4033" s="1201"/>
      <c r="R4033" s="1201"/>
      <c r="S4033" s="1201"/>
      <c r="T4033" s="1201"/>
    </row>
    <row r="4034" spans="12:20">
      <c r="L4034" s="1179"/>
      <c r="M4034" s="1183"/>
      <c r="N4034" s="1183"/>
      <c r="O4034" s="1183"/>
      <c r="P4034" s="1201"/>
      <c r="Q4034" s="1201"/>
      <c r="R4034" s="1201"/>
      <c r="S4034" s="1201"/>
      <c r="T4034" s="1201"/>
    </row>
    <row r="4035" spans="12:20">
      <c r="L4035" s="1179"/>
      <c r="M4035" s="1183"/>
      <c r="N4035" s="1183"/>
      <c r="O4035" s="1183"/>
      <c r="P4035" s="1201"/>
      <c r="Q4035" s="1201"/>
      <c r="R4035" s="1201"/>
      <c r="S4035" s="1201"/>
      <c r="T4035" s="1201"/>
    </row>
    <row r="4036" spans="12:20">
      <c r="L4036" s="1179"/>
      <c r="M4036" s="1183"/>
      <c r="N4036" s="1183"/>
      <c r="O4036" s="1183"/>
      <c r="P4036" s="1201"/>
      <c r="Q4036" s="1201"/>
      <c r="R4036" s="1201"/>
      <c r="S4036" s="1201"/>
      <c r="T4036" s="1201"/>
    </row>
    <row r="4037" spans="12:20">
      <c r="L4037" s="1179"/>
      <c r="M4037" s="1183"/>
      <c r="N4037" s="1183"/>
      <c r="O4037" s="1183"/>
      <c r="P4037" s="1201"/>
      <c r="Q4037" s="1201"/>
      <c r="R4037" s="1201"/>
      <c r="S4037" s="1201"/>
      <c r="T4037" s="1201"/>
    </row>
    <row r="4038" spans="12:20">
      <c r="L4038" s="1179"/>
      <c r="M4038" s="1183"/>
      <c r="N4038" s="1183"/>
      <c r="O4038" s="1183"/>
      <c r="P4038" s="1201"/>
      <c r="Q4038" s="1201"/>
      <c r="R4038" s="1201"/>
      <c r="S4038" s="1201"/>
      <c r="T4038" s="1201"/>
    </row>
    <row r="4039" spans="12:20">
      <c r="L4039" s="1179"/>
      <c r="M4039" s="1183"/>
      <c r="N4039" s="1183"/>
      <c r="O4039" s="1183"/>
      <c r="P4039" s="1201"/>
      <c r="Q4039" s="1201"/>
      <c r="R4039" s="1201"/>
      <c r="S4039" s="1201"/>
      <c r="T4039" s="1201"/>
    </row>
    <row r="4040" spans="12:20">
      <c r="L4040" s="1179"/>
      <c r="M4040" s="1183"/>
      <c r="N4040" s="1183"/>
      <c r="O4040" s="1183"/>
      <c r="P4040" s="1201"/>
      <c r="Q4040" s="1201"/>
      <c r="R4040" s="1201"/>
      <c r="S4040" s="1201"/>
      <c r="T4040" s="1201"/>
    </row>
    <row r="4041" spans="12:20">
      <c r="L4041" s="1179"/>
      <c r="M4041" s="1183"/>
      <c r="N4041" s="1183"/>
      <c r="O4041" s="1183"/>
      <c r="P4041" s="1201"/>
      <c r="Q4041" s="1201"/>
      <c r="R4041" s="1201"/>
      <c r="S4041" s="1201"/>
      <c r="T4041" s="1201"/>
    </row>
    <row r="4042" spans="12:20">
      <c r="L4042" s="1179"/>
      <c r="M4042" s="1183"/>
      <c r="N4042" s="1183"/>
      <c r="O4042" s="1183"/>
      <c r="P4042" s="1201"/>
      <c r="Q4042" s="1201"/>
      <c r="R4042" s="1201"/>
      <c r="S4042" s="1201"/>
      <c r="T4042" s="1201"/>
    </row>
    <row r="4043" spans="12:20">
      <c r="L4043" s="1179"/>
      <c r="M4043" s="1183"/>
      <c r="N4043" s="1183"/>
      <c r="O4043" s="1183"/>
      <c r="P4043" s="1201"/>
      <c r="Q4043" s="1201"/>
      <c r="R4043" s="1201"/>
      <c r="S4043" s="1201"/>
      <c r="T4043" s="1201"/>
    </row>
    <row r="4044" spans="12:20">
      <c r="L4044" s="1179"/>
      <c r="M4044" s="1183"/>
      <c r="N4044" s="1183"/>
      <c r="O4044" s="1183"/>
      <c r="P4044" s="1201"/>
      <c r="Q4044" s="1201"/>
      <c r="R4044" s="1201"/>
      <c r="S4044" s="1201"/>
      <c r="T4044" s="1201"/>
    </row>
    <row r="4045" spans="12:20">
      <c r="L4045" s="1179"/>
      <c r="M4045" s="1183"/>
      <c r="N4045" s="1183"/>
      <c r="O4045" s="1183"/>
      <c r="P4045" s="1201"/>
      <c r="Q4045" s="1201"/>
      <c r="R4045" s="1201"/>
      <c r="S4045" s="1201"/>
      <c r="T4045" s="1201"/>
    </row>
    <row r="4046" spans="12:20">
      <c r="L4046" s="1179"/>
      <c r="M4046" s="1183"/>
      <c r="N4046" s="1183"/>
      <c r="O4046" s="1183"/>
      <c r="P4046" s="1201"/>
      <c r="Q4046" s="1201"/>
      <c r="R4046" s="1201"/>
      <c r="S4046" s="1201"/>
      <c r="T4046" s="1201"/>
    </row>
    <row r="4047" spans="12:20">
      <c r="L4047" s="1179"/>
      <c r="M4047" s="1183"/>
      <c r="N4047" s="1183"/>
      <c r="O4047" s="1183"/>
      <c r="P4047" s="1201"/>
      <c r="Q4047" s="1201"/>
      <c r="R4047" s="1201"/>
      <c r="S4047" s="1201"/>
      <c r="T4047" s="1201"/>
    </row>
    <row r="4048" spans="12:20">
      <c r="L4048" s="1179"/>
      <c r="M4048" s="1183"/>
      <c r="N4048" s="1183"/>
      <c r="O4048" s="1183"/>
      <c r="P4048" s="1201"/>
      <c r="Q4048" s="1201"/>
      <c r="R4048" s="1201"/>
      <c r="S4048" s="1201"/>
      <c r="T4048" s="1201"/>
    </row>
    <row r="4049" spans="12:20">
      <c r="L4049" s="1179"/>
      <c r="M4049" s="1183"/>
      <c r="N4049" s="1183"/>
      <c r="O4049" s="1183"/>
      <c r="P4049" s="1201"/>
      <c r="Q4049" s="1201"/>
      <c r="R4049" s="1201"/>
      <c r="S4049" s="1201"/>
      <c r="T4049" s="1201"/>
    </row>
    <row r="4050" spans="12:20">
      <c r="L4050" s="1179"/>
      <c r="M4050" s="1183"/>
      <c r="N4050" s="1183"/>
      <c r="O4050" s="1183"/>
      <c r="P4050" s="1201"/>
      <c r="Q4050" s="1201"/>
      <c r="R4050" s="1201"/>
      <c r="S4050" s="1201"/>
      <c r="T4050" s="1201"/>
    </row>
    <row r="4051" spans="12:20">
      <c r="L4051" s="1179"/>
      <c r="M4051" s="1183"/>
      <c r="N4051" s="1183"/>
      <c r="O4051" s="1183"/>
      <c r="P4051" s="1201"/>
      <c r="Q4051" s="1201"/>
      <c r="R4051" s="1201"/>
      <c r="S4051" s="1201"/>
      <c r="T4051" s="1201"/>
    </row>
    <row r="4052" spans="12:20">
      <c r="L4052" s="1179"/>
      <c r="M4052" s="1183"/>
      <c r="N4052" s="1183"/>
      <c r="O4052" s="1183"/>
      <c r="P4052" s="1201"/>
      <c r="Q4052" s="1201"/>
      <c r="R4052" s="1201"/>
      <c r="S4052" s="1201"/>
      <c r="T4052" s="1201"/>
    </row>
    <row r="4053" spans="12:20">
      <c r="L4053" s="1179"/>
      <c r="M4053" s="1183"/>
      <c r="N4053" s="1183"/>
      <c r="O4053" s="1183"/>
      <c r="P4053" s="1201"/>
      <c r="Q4053" s="1201"/>
      <c r="R4053" s="1201"/>
      <c r="S4053" s="1201"/>
      <c r="T4053" s="1201"/>
    </row>
    <row r="4054" spans="12:20">
      <c r="L4054" s="1179"/>
      <c r="M4054" s="1183"/>
      <c r="N4054" s="1183"/>
      <c r="O4054" s="1183"/>
      <c r="P4054" s="1201"/>
      <c r="Q4054" s="1201"/>
      <c r="R4054" s="1201"/>
      <c r="S4054" s="1201"/>
      <c r="T4054" s="1201"/>
    </row>
    <row r="4055" spans="12:20">
      <c r="L4055" s="1179"/>
      <c r="M4055" s="1183"/>
      <c r="N4055" s="1183"/>
      <c r="O4055" s="1183"/>
      <c r="P4055" s="1201"/>
      <c r="Q4055" s="1201"/>
      <c r="R4055" s="1201"/>
      <c r="S4055" s="1201"/>
      <c r="T4055" s="1201"/>
    </row>
    <row r="4056" spans="12:20">
      <c r="L4056" s="1179"/>
      <c r="M4056" s="1183"/>
      <c r="N4056" s="1183"/>
      <c r="O4056" s="1183"/>
      <c r="P4056" s="1201"/>
      <c r="Q4056" s="1201"/>
      <c r="R4056" s="1201"/>
      <c r="S4056" s="1201"/>
      <c r="T4056" s="1201"/>
    </row>
    <row r="4057" spans="12:20">
      <c r="L4057" s="1179"/>
      <c r="M4057" s="1183"/>
      <c r="N4057" s="1183"/>
      <c r="O4057" s="1183"/>
      <c r="P4057" s="1201"/>
      <c r="Q4057" s="1201"/>
      <c r="R4057" s="1201"/>
      <c r="S4057" s="1201"/>
      <c r="T4057" s="1201"/>
    </row>
    <row r="4058" spans="12:20">
      <c r="L4058" s="1179"/>
      <c r="M4058" s="1183"/>
      <c r="N4058" s="1183"/>
      <c r="O4058" s="1183"/>
      <c r="P4058" s="1201"/>
      <c r="Q4058" s="1201"/>
      <c r="R4058" s="1201"/>
      <c r="S4058" s="1201"/>
      <c r="T4058" s="1201"/>
    </row>
    <row r="4059" spans="12:20">
      <c r="L4059" s="1179"/>
      <c r="M4059" s="1183"/>
      <c r="N4059" s="1183"/>
      <c r="O4059" s="1183"/>
      <c r="P4059" s="1201"/>
      <c r="Q4059" s="1201"/>
      <c r="R4059" s="1201"/>
      <c r="S4059" s="1201"/>
      <c r="T4059" s="1201"/>
    </row>
    <row r="4060" spans="12:20">
      <c r="L4060" s="1179"/>
      <c r="M4060" s="1183"/>
      <c r="N4060" s="1183"/>
      <c r="O4060" s="1183"/>
      <c r="P4060" s="1201"/>
      <c r="Q4060" s="1201"/>
      <c r="R4060" s="1201"/>
      <c r="S4060" s="1201"/>
      <c r="T4060" s="1201"/>
    </row>
    <row r="4061" spans="12:20">
      <c r="L4061" s="1179"/>
      <c r="M4061" s="1183"/>
      <c r="N4061" s="1183"/>
      <c r="O4061" s="1183"/>
      <c r="P4061" s="1201"/>
      <c r="Q4061" s="1201"/>
      <c r="R4061" s="1201"/>
      <c r="S4061" s="1201"/>
      <c r="T4061" s="1201"/>
    </row>
    <row r="4062" spans="12:20">
      <c r="L4062" s="1179"/>
      <c r="M4062" s="1183"/>
      <c r="N4062" s="1183"/>
      <c r="O4062" s="1183"/>
      <c r="P4062" s="1201"/>
      <c r="Q4062" s="1201"/>
      <c r="R4062" s="1201"/>
      <c r="S4062" s="1201"/>
      <c r="T4062" s="1201"/>
    </row>
    <row r="4063" spans="12:20">
      <c r="L4063" s="1179"/>
      <c r="M4063" s="1183"/>
      <c r="N4063" s="1183"/>
      <c r="O4063" s="1183"/>
      <c r="P4063" s="1201"/>
      <c r="Q4063" s="1201"/>
      <c r="R4063" s="1201"/>
      <c r="S4063" s="1201"/>
      <c r="T4063" s="1201"/>
    </row>
    <row r="4064" spans="12:20">
      <c r="L4064" s="1179"/>
      <c r="M4064" s="1183"/>
      <c r="N4064" s="1183"/>
      <c r="O4064" s="1183"/>
      <c r="P4064" s="1201"/>
      <c r="Q4064" s="1201"/>
      <c r="R4064" s="1201"/>
      <c r="S4064" s="1201"/>
      <c r="T4064" s="1201"/>
    </row>
    <row r="4065" spans="12:20">
      <c r="L4065" s="1179"/>
      <c r="M4065" s="1183"/>
      <c r="N4065" s="1183"/>
      <c r="O4065" s="1183"/>
      <c r="P4065" s="1201"/>
      <c r="Q4065" s="1201"/>
      <c r="R4065" s="1201"/>
      <c r="S4065" s="1201"/>
      <c r="T4065" s="1201"/>
    </row>
    <row r="4066" spans="12:20">
      <c r="L4066" s="1179"/>
      <c r="M4066" s="1183"/>
      <c r="N4066" s="1183"/>
      <c r="O4066" s="1183"/>
      <c r="P4066" s="1201"/>
      <c r="Q4066" s="1201"/>
      <c r="R4066" s="1201"/>
      <c r="S4066" s="1201"/>
      <c r="T4066" s="1201"/>
    </row>
    <row r="4067" spans="12:20">
      <c r="L4067" s="1179"/>
      <c r="M4067" s="1183"/>
      <c r="N4067" s="1183"/>
      <c r="O4067" s="1183"/>
      <c r="P4067" s="1201"/>
      <c r="Q4067" s="1201"/>
      <c r="R4067" s="1201"/>
      <c r="S4067" s="1201"/>
      <c r="T4067" s="1201"/>
    </row>
    <row r="4068" spans="12:20">
      <c r="L4068" s="1179"/>
      <c r="M4068" s="1183"/>
      <c r="N4068" s="1183"/>
      <c r="O4068" s="1183"/>
      <c r="P4068" s="1201"/>
      <c r="Q4068" s="1201"/>
      <c r="R4068" s="1201"/>
      <c r="S4068" s="1201"/>
      <c r="T4068" s="1201"/>
    </row>
    <row r="4069" spans="12:20">
      <c r="L4069" s="1179"/>
      <c r="M4069" s="1183"/>
      <c r="N4069" s="1183"/>
      <c r="O4069" s="1183"/>
      <c r="P4069" s="1201"/>
      <c r="Q4069" s="1201"/>
      <c r="R4069" s="1201"/>
      <c r="S4069" s="1201"/>
      <c r="T4069" s="1201"/>
    </row>
    <row r="4070" spans="12:20">
      <c r="L4070" s="1179"/>
      <c r="M4070" s="1183"/>
      <c r="N4070" s="1183"/>
      <c r="O4070" s="1183"/>
      <c r="P4070" s="1201"/>
      <c r="Q4070" s="1201"/>
      <c r="R4070" s="1201"/>
      <c r="S4070" s="1201"/>
      <c r="T4070" s="1201"/>
    </row>
    <row r="4071" spans="12:20">
      <c r="L4071" s="1179"/>
      <c r="M4071" s="1183"/>
      <c r="N4071" s="1183"/>
      <c r="O4071" s="1183"/>
      <c r="P4071" s="1201"/>
      <c r="Q4071" s="1201"/>
      <c r="R4071" s="1201"/>
      <c r="S4071" s="1201"/>
      <c r="T4071" s="1201"/>
    </row>
    <row r="4072" spans="12:20">
      <c r="L4072" s="1179"/>
      <c r="M4072" s="1183"/>
      <c r="N4072" s="1183"/>
      <c r="O4072" s="1183"/>
      <c r="P4072" s="1201"/>
      <c r="Q4072" s="1201"/>
      <c r="R4072" s="1201"/>
      <c r="S4072" s="1201"/>
      <c r="T4072" s="1201"/>
    </row>
    <row r="4073" spans="12:20">
      <c r="L4073" s="1179"/>
      <c r="M4073" s="1183"/>
      <c r="N4073" s="1183"/>
      <c r="O4073" s="1183"/>
      <c r="P4073" s="1201"/>
      <c r="Q4073" s="1201"/>
      <c r="R4073" s="1201"/>
      <c r="S4073" s="1201"/>
      <c r="T4073" s="1201"/>
    </row>
    <row r="4074" spans="12:20">
      <c r="L4074" s="1179"/>
      <c r="M4074" s="1183"/>
      <c r="N4074" s="1183"/>
      <c r="O4074" s="1183"/>
      <c r="P4074" s="1201"/>
      <c r="Q4074" s="1201"/>
      <c r="R4074" s="1201"/>
      <c r="S4074" s="1201"/>
      <c r="T4074" s="1201"/>
    </row>
    <row r="4075" spans="12:20">
      <c r="L4075" s="1179"/>
      <c r="M4075" s="1183"/>
      <c r="N4075" s="1183"/>
      <c r="O4075" s="1183"/>
      <c r="P4075" s="1201"/>
      <c r="Q4075" s="1201"/>
      <c r="R4075" s="1201"/>
      <c r="S4075" s="1201"/>
      <c r="T4075" s="1201"/>
    </row>
    <row r="4076" spans="12:20">
      <c r="L4076" s="1179"/>
      <c r="M4076" s="1183"/>
      <c r="N4076" s="1183"/>
      <c r="O4076" s="1183"/>
      <c r="P4076" s="1201"/>
      <c r="Q4076" s="1201"/>
      <c r="R4076" s="1201"/>
      <c r="S4076" s="1201"/>
      <c r="T4076" s="1201"/>
    </row>
    <row r="4077" spans="12:20">
      <c r="L4077" s="1179"/>
      <c r="M4077" s="1183"/>
      <c r="N4077" s="1183"/>
      <c r="O4077" s="1183"/>
      <c r="P4077" s="1201"/>
      <c r="Q4077" s="1201"/>
      <c r="R4077" s="1201"/>
      <c r="S4077" s="1201"/>
      <c r="T4077" s="1201"/>
    </row>
    <row r="4078" spans="12:20">
      <c r="L4078" s="1179"/>
      <c r="M4078" s="1183"/>
      <c r="N4078" s="1183"/>
      <c r="O4078" s="1183"/>
      <c r="P4078" s="1201"/>
      <c r="Q4078" s="1201"/>
      <c r="R4078" s="1201"/>
      <c r="S4078" s="1201"/>
      <c r="T4078" s="1201"/>
    </row>
    <row r="4079" spans="12:20">
      <c r="L4079" s="1179"/>
      <c r="M4079" s="1183"/>
      <c r="N4079" s="1183"/>
      <c r="O4079" s="1183"/>
      <c r="P4079" s="1201"/>
      <c r="Q4079" s="1201"/>
      <c r="R4079" s="1201"/>
      <c r="S4079" s="1201"/>
      <c r="T4079" s="1201"/>
    </row>
    <row r="4080" spans="12:20">
      <c r="L4080" s="1179"/>
      <c r="M4080" s="1183"/>
      <c r="N4080" s="1183"/>
      <c r="O4080" s="1183"/>
      <c r="P4080" s="1201"/>
      <c r="Q4080" s="1201"/>
      <c r="R4080" s="1201"/>
      <c r="S4080" s="1201"/>
      <c r="T4080" s="1201"/>
    </row>
    <row r="4081" spans="12:20">
      <c r="L4081" s="1179"/>
      <c r="M4081" s="1183"/>
      <c r="N4081" s="1183"/>
      <c r="O4081" s="1183"/>
      <c r="P4081" s="1201"/>
      <c r="Q4081" s="1201"/>
      <c r="R4081" s="1201"/>
      <c r="S4081" s="1201"/>
      <c r="T4081" s="1201"/>
    </row>
    <row r="4082" spans="12:20">
      <c r="L4082" s="1179"/>
      <c r="M4082" s="1183"/>
      <c r="N4082" s="1183"/>
      <c r="O4082" s="1183"/>
      <c r="P4082" s="1201"/>
      <c r="Q4082" s="1201"/>
      <c r="R4082" s="1201"/>
      <c r="S4082" s="1201"/>
      <c r="T4082" s="1201"/>
    </row>
    <row r="4083" spans="12:20">
      <c r="L4083" s="1179"/>
      <c r="M4083" s="1183"/>
      <c r="N4083" s="1183"/>
      <c r="O4083" s="1183"/>
      <c r="P4083" s="1201"/>
      <c r="Q4083" s="1201"/>
      <c r="R4083" s="1201"/>
      <c r="S4083" s="1201"/>
      <c r="T4083" s="1201"/>
    </row>
    <row r="4084" spans="12:20">
      <c r="L4084" s="1179"/>
      <c r="M4084" s="1183"/>
      <c r="N4084" s="1183"/>
      <c r="O4084" s="1183"/>
      <c r="P4084" s="1201"/>
      <c r="Q4084" s="1201"/>
      <c r="R4084" s="1201"/>
      <c r="S4084" s="1201"/>
      <c r="T4084" s="1201"/>
    </row>
    <row r="4085" spans="12:20">
      <c r="L4085" s="1179"/>
      <c r="M4085" s="1183"/>
      <c r="N4085" s="1183"/>
      <c r="O4085" s="1183"/>
      <c r="P4085" s="1201"/>
      <c r="Q4085" s="1201"/>
      <c r="R4085" s="1201"/>
      <c r="S4085" s="1201"/>
      <c r="T4085" s="1201"/>
    </row>
    <row r="4086" spans="12:20">
      <c r="L4086" s="1179"/>
      <c r="M4086" s="1183"/>
      <c r="N4086" s="1183"/>
      <c r="O4086" s="1183"/>
      <c r="P4086" s="1201"/>
      <c r="Q4086" s="1201"/>
      <c r="R4086" s="1201"/>
      <c r="S4086" s="1201"/>
      <c r="T4086" s="1201"/>
    </row>
    <row r="4087" spans="12:20">
      <c r="L4087" s="1179"/>
      <c r="M4087" s="1183"/>
      <c r="N4087" s="1183"/>
      <c r="O4087" s="1183"/>
      <c r="P4087" s="1201"/>
      <c r="Q4087" s="1201"/>
      <c r="R4087" s="1201"/>
      <c r="S4087" s="1201"/>
      <c r="T4087" s="1201"/>
    </row>
    <row r="4088" spans="12:20">
      <c r="L4088" s="1179"/>
      <c r="M4088" s="1183"/>
      <c r="N4088" s="1183"/>
      <c r="O4088" s="1183"/>
      <c r="P4088" s="1201"/>
      <c r="Q4088" s="1201"/>
      <c r="R4088" s="1201"/>
      <c r="S4088" s="1201"/>
      <c r="T4088" s="1201"/>
    </row>
    <row r="4089" spans="12:20">
      <c r="L4089" s="1179"/>
      <c r="M4089" s="1183"/>
      <c r="N4089" s="1183"/>
      <c r="O4089" s="1183"/>
      <c r="P4089" s="1201"/>
      <c r="Q4089" s="1201"/>
      <c r="R4089" s="1201"/>
      <c r="S4089" s="1201"/>
      <c r="T4089" s="1201"/>
    </row>
    <row r="4090" spans="12:20">
      <c r="L4090" s="1179"/>
      <c r="M4090" s="1183"/>
      <c r="N4090" s="1183"/>
      <c r="O4090" s="1183"/>
      <c r="P4090" s="1201"/>
      <c r="Q4090" s="1201"/>
      <c r="R4090" s="1201"/>
      <c r="S4090" s="1201"/>
      <c r="T4090" s="1201"/>
    </row>
    <row r="4091" spans="12:20">
      <c r="L4091" s="1179"/>
      <c r="M4091" s="1183"/>
      <c r="N4091" s="1183"/>
      <c r="O4091" s="1183"/>
      <c r="P4091" s="1201"/>
      <c r="Q4091" s="1201"/>
      <c r="R4091" s="1201"/>
      <c r="S4091" s="1201"/>
      <c r="T4091" s="1201"/>
    </row>
    <row r="4092" spans="12:20">
      <c r="L4092" s="1179"/>
      <c r="M4092" s="1183"/>
      <c r="N4092" s="1183"/>
      <c r="O4092" s="1183"/>
      <c r="P4092" s="1201"/>
      <c r="Q4092" s="1201"/>
      <c r="R4092" s="1201"/>
      <c r="S4092" s="1201"/>
      <c r="T4092" s="1201"/>
    </row>
    <row r="4093" spans="12:20">
      <c r="L4093" s="1179"/>
      <c r="M4093" s="1183"/>
      <c r="N4093" s="1183"/>
      <c r="O4093" s="1183"/>
      <c r="P4093" s="1201"/>
      <c r="Q4093" s="1201"/>
      <c r="R4093" s="1201"/>
      <c r="S4093" s="1201"/>
      <c r="T4093" s="1201"/>
    </row>
    <row r="4094" spans="12:20">
      <c r="L4094" s="1179"/>
      <c r="M4094" s="1183"/>
      <c r="N4094" s="1183"/>
      <c r="O4094" s="1183"/>
      <c r="P4094" s="1201"/>
      <c r="Q4094" s="1201"/>
      <c r="R4094" s="1201"/>
      <c r="S4094" s="1201"/>
      <c r="T4094" s="1201"/>
    </row>
    <row r="4095" spans="12:20">
      <c r="L4095" s="1179"/>
      <c r="M4095" s="1183"/>
      <c r="N4095" s="1183"/>
      <c r="O4095" s="1183"/>
      <c r="P4095" s="1201"/>
      <c r="Q4095" s="1201"/>
      <c r="R4095" s="1201"/>
      <c r="S4095" s="1201"/>
      <c r="T4095" s="1201"/>
    </row>
    <row r="4096" spans="12:20">
      <c r="L4096" s="1179"/>
      <c r="M4096" s="1183"/>
      <c r="N4096" s="1183"/>
      <c r="O4096" s="1183"/>
      <c r="P4096" s="1201"/>
      <c r="Q4096" s="1201"/>
      <c r="R4096" s="1201"/>
      <c r="S4096" s="1201"/>
      <c r="T4096" s="1201"/>
    </row>
    <row r="4097" spans="12:20">
      <c r="L4097" s="1179"/>
      <c r="M4097" s="1183"/>
      <c r="N4097" s="1183"/>
      <c r="O4097" s="1183"/>
      <c r="P4097" s="1201"/>
      <c r="Q4097" s="1201"/>
      <c r="R4097" s="1201"/>
      <c r="S4097" s="1201"/>
      <c r="T4097" s="1201"/>
    </row>
    <row r="4098" spans="12:20">
      <c r="L4098" s="1179"/>
      <c r="M4098" s="1183"/>
      <c r="N4098" s="1183"/>
      <c r="O4098" s="1183"/>
      <c r="P4098" s="1201"/>
      <c r="Q4098" s="1201"/>
      <c r="R4098" s="1201"/>
      <c r="S4098" s="1201"/>
      <c r="T4098" s="1201"/>
    </row>
    <row r="4099" spans="12:20">
      <c r="L4099" s="1179"/>
      <c r="M4099" s="1183"/>
      <c r="N4099" s="1183"/>
      <c r="O4099" s="1183"/>
      <c r="P4099" s="1201"/>
      <c r="Q4099" s="1201"/>
      <c r="R4099" s="1201"/>
      <c r="S4099" s="1201"/>
      <c r="T4099" s="1201"/>
    </row>
    <row r="4100" spans="12:20">
      <c r="L4100" s="1179"/>
      <c r="M4100" s="1183"/>
      <c r="N4100" s="1183"/>
      <c r="O4100" s="1183"/>
      <c r="P4100" s="1201"/>
      <c r="Q4100" s="1201"/>
      <c r="R4100" s="1201"/>
      <c r="S4100" s="1201"/>
      <c r="T4100" s="1201"/>
    </row>
    <row r="4101" spans="12:20">
      <c r="L4101" s="1179"/>
      <c r="M4101" s="1183"/>
      <c r="N4101" s="1183"/>
      <c r="O4101" s="1183"/>
      <c r="P4101" s="1201"/>
      <c r="Q4101" s="1201"/>
      <c r="R4101" s="1201"/>
      <c r="S4101" s="1201"/>
      <c r="T4101" s="1201"/>
    </row>
    <row r="4102" spans="12:20">
      <c r="L4102" s="1179"/>
      <c r="M4102" s="1183"/>
      <c r="N4102" s="1183"/>
      <c r="O4102" s="1183"/>
      <c r="P4102" s="1201"/>
      <c r="Q4102" s="1201"/>
      <c r="R4102" s="1201"/>
      <c r="S4102" s="1201"/>
      <c r="T4102" s="1201"/>
    </row>
    <row r="4103" spans="12:20">
      <c r="L4103" s="1179"/>
      <c r="M4103" s="1183"/>
      <c r="N4103" s="1183"/>
      <c r="O4103" s="1183"/>
      <c r="P4103" s="1201"/>
      <c r="Q4103" s="1201"/>
      <c r="R4103" s="1201"/>
      <c r="S4103" s="1201"/>
      <c r="T4103" s="1201"/>
    </row>
    <row r="4104" spans="12:20">
      <c r="L4104" s="1179"/>
      <c r="M4104" s="1183"/>
      <c r="N4104" s="1183"/>
      <c r="O4104" s="1183"/>
      <c r="P4104" s="1201"/>
      <c r="Q4104" s="1201"/>
      <c r="R4104" s="1201"/>
      <c r="S4104" s="1201"/>
      <c r="T4104" s="1201"/>
    </row>
    <row r="4105" spans="12:20">
      <c r="L4105" s="1179"/>
      <c r="M4105" s="1183"/>
      <c r="N4105" s="1183"/>
      <c r="O4105" s="1183"/>
      <c r="P4105" s="1201"/>
      <c r="Q4105" s="1201"/>
      <c r="R4105" s="1201"/>
      <c r="S4105" s="1201"/>
      <c r="T4105" s="1201"/>
    </row>
    <row r="4106" spans="12:20">
      <c r="L4106" s="1179"/>
      <c r="M4106" s="1183"/>
      <c r="N4106" s="1183"/>
      <c r="O4106" s="1183"/>
      <c r="P4106" s="1201"/>
      <c r="Q4106" s="1201"/>
      <c r="R4106" s="1201"/>
      <c r="S4106" s="1201"/>
      <c r="T4106" s="1201"/>
    </row>
    <row r="4107" spans="12:20">
      <c r="L4107" s="1179"/>
      <c r="M4107" s="1183"/>
      <c r="N4107" s="1183"/>
      <c r="O4107" s="1183"/>
      <c r="P4107" s="1201"/>
      <c r="Q4107" s="1201"/>
      <c r="R4107" s="1201"/>
      <c r="S4107" s="1201"/>
      <c r="T4107" s="1201"/>
    </row>
    <row r="4108" spans="12:20">
      <c r="L4108" s="1179"/>
      <c r="M4108" s="1183"/>
      <c r="N4108" s="1183"/>
      <c r="O4108" s="1183"/>
      <c r="P4108" s="1201"/>
      <c r="Q4108" s="1201"/>
      <c r="R4108" s="1201"/>
      <c r="S4108" s="1201"/>
      <c r="T4108" s="1201"/>
    </row>
    <row r="4109" spans="12:20">
      <c r="L4109" s="1179"/>
      <c r="M4109" s="1183"/>
      <c r="N4109" s="1183"/>
      <c r="O4109" s="1183"/>
      <c r="P4109" s="1201"/>
      <c r="Q4109" s="1201"/>
      <c r="R4109" s="1201"/>
      <c r="S4109" s="1201"/>
      <c r="T4109" s="1201"/>
    </row>
    <row r="4110" spans="12:20">
      <c r="L4110" s="1179"/>
      <c r="M4110" s="1183"/>
      <c r="N4110" s="1183"/>
      <c r="O4110" s="1183"/>
      <c r="P4110" s="1201"/>
      <c r="Q4110" s="1201"/>
      <c r="R4110" s="1201"/>
      <c r="S4110" s="1201"/>
      <c r="T4110" s="1201"/>
    </row>
    <row r="4111" spans="12:20">
      <c r="L4111" s="1179"/>
      <c r="M4111" s="1183"/>
      <c r="N4111" s="1183"/>
      <c r="O4111" s="1183"/>
      <c r="P4111" s="1201"/>
      <c r="Q4111" s="1201"/>
      <c r="R4111" s="1201"/>
      <c r="S4111" s="1201"/>
      <c r="T4111" s="1201"/>
    </row>
    <row r="4112" spans="12:20">
      <c r="L4112" s="1179"/>
      <c r="M4112" s="1183"/>
      <c r="N4112" s="1183"/>
      <c r="O4112" s="1183"/>
      <c r="P4112" s="1201"/>
      <c r="Q4112" s="1201"/>
      <c r="R4112" s="1201"/>
      <c r="S4112" s="1201"/>
      <c r="T4112" s="1201"/>
    </row>
    <row r="4113" spans="12:20">
      <c r="L4113" s="1179"/>
      <c r="M4113" s="1183"/>
      <c r="N4113" s="1183"/>
      <c r="O4113" s="1183"/>
      <c r="P4113" s="1201"/>
      <c r="Q4113" s="1201"/>
      <c r="R4113" s="1201"/>
      <c r="S4113" s="1201"/>
      <c r="T4113" s="1201"/>
    </row>
    <row r="4114" spans="12:20">
      <c r="L4114" s="1179"/>
      <c r="M4114" s="1183"/>
      <c r="N4114" s="1183"/>
      <c r="O4114" s="1183"/>
      <c r="P4114" s="1201"/>
      <c r="Q4114" s="1201"/>
      <c r="R4114" s="1201"/>
      <c r="S4114" s="1201"/>
      <c r="T4114" s="1201"/>
    </row>
    <row r="4115" spans="12:20">
      <c r="L4115" s="1179"/>
      <c r="M4115" s="1183"/>
      <c r="N4115" s="1183"/>
      <c r="O4115" s="1183"/>
      <c r="P4115" s="1201"/>
      <c r="Q4115" s="1201"/>
      <c r="R4115" s="1201"/>
      <c r="S4115" s="1201"/>
      <c r="T4115" s="1201"/>
    </row>
    <row r="4116" spans="12:20">
      <c r="L4116" s="1179"/>
      <c r="M4116" s="1183"/>
      <c r="N4116" s="1183"/>
      <c r="O4116" s="1183"/>
      <c r="P4116" s="1201"/>
      <c r="Q4116" s="1201"/>
      <c r="R4116" s="1201"/>
      <c r="S4116" s="1201"/>
      <c r="T4116" s="1201"/>
    </row>
    <row r="4117" spans="12:20">
      <c r="L4117" s="1179"/>
      <c r="M4117" s="1183"/>
      <c r="N4117" s="1183"/>
      <c r="O4117" s="1183"/>
      <c r="P4117" s="1201"/>
      <c r="Q4117" s="1201"/>
      <c r="R4117" s="1201"/>
      <c r="S4117" s="1201"/>
      <c r="T4117" s="1201"/>
    </row>
    <row r="4118" spans="12:20">
      <c r="L4118" s="1179"/>
      <c r="M4118" s="1183"/>
      <c r="N4118" s="1183"/>
      <c r="O4118" s="1183"/>
      <c r="P4118" s="1201"/>
      <c r="Q4118" s="1201"/>
      <c r="R4118" s="1201"/>
      <c r="S4118" s="1201"/>
      <c r="T4118" s="1201"/>
    </row>
    <row r="4119" spans="12:20">
      <c r="L4119" s="1179"/>
      <c r="M4119" s="1183"/>
      <c r="N4119" s="1183"/>
      <c r="O4119" s="1183"/>
      <c r="P4119" s="1201"/>
      <c r="Q4119" s="1201"/>
      <c r="R4119" s="1201"/>
      <c r="S4119" s="1201"/>
      <c r="T4119" s="1201"/>
    </row>
    <row r="4120" spans="12:20">
      <c r="L4120" s="1179"/>
      <c r="M4120" s="1183"/>
      <c r="N4120" s="1183"/>
      <c r="O4120" s="1183"/>
      <c r="P4120" s="1201"/>
      <c r="Q4120" s="1201"/>
      <c r="R4120" s="1201"/>
      <c r="S4120" s="1201"/>
      <c r="T4120" s="1201"/>
    </row>
    <row r="4121" spans="12:20">
      <c r="L4121" s="1179"/>
      <c r="M4121" s="1183"/>
      <c r="N4121" s="1183"/>
      <c r="O4121" s="1183"/>
      <c r="P4121" s="1201"/>
      <c r="Q4121" s="1201"/>
      <c r="R4121" s="1201"/>
      <c r="S4121" s="1201"/>
      <c r="T4121" s="1201"/>
    </row>
    <row r="4122" spans="12:20">
      <c r="L4122" s="1179"/>
      <c r="M4122" s="1183"/>
      <c r="N4122" s="1183"/>
      <c r="O4122" s="1183"/>
      <c r="P4122" s="1201"/>
      <c r="Q4122" s="1201"/>
      <c r="R4122" s="1201"/>
      <c r="S4122" s="1201"/>
      <c r="T4122" s="1201"/>
    </row>
    <row r="4123" spans="12:20">
      <c r="L4123" s="1179"/>
      <c r="M4123" s="1183"/>
      <c r="N4123" s="1183"/>
      <c r="O4123" s="1183"/>
      <c r="P4123" s="1201"/>
      <c r="Q4123" s="1201"/>
      <c r="R4123" s="1201"/>
      <c r="S4123" s="1201"/>
      <c r="T4123" s="1201"/>
    </row>
    <row r="4124" spans="12:20">
      <c r="L4124" s="1179"/>
      <c r="M4124" s="1183"/>
      <c r="N4124" s="1183"/>
      <c r="O4124" s="1183"/>
      <c r="P4124" s="1201"/>
      <c r="Q4124" s="1201"/>
      <c r="R4124" s="1201"/>
      <c r="S4124" s="1201"/>
      <c r="T4124" s="1201"/>
    </row>
    <row r="4125" spans="12:20">
      <c r="L4125" s="1179"/>
      <c r="M4125" s="1183"/>
      <c r="N4125" s="1183"/>
      <c r="O4125" s="1183"/>
      <c r="P4125" s="1201"/>
      <c r="Q4125" s="1201"/>
      <c r="R4125" s="1201"/>
      <c r="S4125" s="1201"/>
      <c r="T4125" s="1201"/>
    </row>
    <row r="4126" spans="12:20">
      <c r="L4126" s="1179"/>
      <c r="M4126" s="1183"/>
      <c r="N4126" s="1183"/>
      <c r="O4126" s="1183"/>
      <c r="P4126" s="1201"/>
      <c r="Q4126" s="1201"/>
      <c r="R4126" s="1201"/>
      <c r="S4126" s="1201"/>
      <c r="T4126" s="1201"/>
    </row>
    <row r="4127" spans="12:20">
      <c r="L4127" s="1179"/>
      <c r="M4127" s="1183"/>
      <c r="N4127" s="1183"/>
      <c r="O4127" s="1183"/>
      <c r="P4127" s="1201"/>
      <c r="Q4127" s="1201"/>
      <c r="R4127" s="1201"/>
      <c r="S4127" s="1201"/>
      <c r="T4127" s="1201"/>
    </row>
    <row r="4128" spans="12:20">
      <c r="L4128" s="1179"/>
      <c r="M4128" s="1183"/>
      <c r="N4128" s="1183"/>
      <c r="O4128" s="1183"/>
      <c r="P4128" s="1201"/>
      <c r="Q4128" s="1201"/>
      <c r="R4128" s="1201"/>
      <c r="S4128" s="1201"/>
      <c r="T4128" s="1201"/>
    </row>
    <row r="4129" spans="12:20">
      <c r="L4129" s="1179"/>
      <c r="M4129" s="1183"/>
      <c r="N4129" s="1183"/>
      <c r="O4129" s="1183"/>
      <c r="P4129" s="1201"/>
      <c r="Q4129" s="1201"/>
      <c r="R4129" s="1201"/>
      <c r="S4129" s="1201"/>
      <c r="T4129" s="1201"/>
    </row>
    <row r="4130" spans="12:20">
      <c r="L4130" s="1179"/>
      <c r="M4130" s="1183"/>
      <c r="N4130" s="1183"/>
      <c r="O4130" s="1183"/>
      <c r="P4130" s="1201"/>
      <c r="Q4130" s="1201"/>
      <c r="R4130" s="1201"/>
      <c r="S4130" s="1201"/>
      <c r="T4130" s="1201"/>
    </row>
    <row r="4131" spans="12:20">
      <c r="L4131" s="1179"/>
      <c r="M4131" s="1183"/>
      <c r="N4131" s="1183"/>
      <c r="O4131" s="1183"/>
      <c r="P4131" s="1201"/>
      <c r="Q4131" s="1201"/>
      <c r="R4131" s="1201"/>
      <c r="S4131" s="1201"/>
      <c r="T4131" s="1201"/>
    </row>
    <row r="4132" spans="12:20">
      <c r="L4132" s="1179"/>
      <c r="M4132" s="1183"/>
      <c r="N4132" s="1183"/>
      <c r="O4132" s="1183"/>
      <c r="P4132" s="1201"/>
      <c r="Q4132" s="1201"/>
      <c r="R4132" s="1201"/>
      <c r="S4132" s="1201"/>
      <c r="T4132" s="1201"/>
    </row>
    <row r="4133" spans="12:20">
      <c r="L4133" s="1179"/>
      <c r="M4133" s="1183"/>
      <c r="N4133" s="1183"/>
      <c r="O4133" s="1183"/>
      <c r="P4133" s="1201"/>
      <c r="Q4133" s="1201"/>
      <c r="R4133" s="1201"/>
      <c r="S4133" s="1201"/>
      <c r="T4133" s="1201"/>
    </row>
    <row r="4134" spans="12:20">
      <c r="L4134" s="1179"/>
      <c r="M4134" s="1183"/>
      <c r="N4134" s="1183"/>
      <c r="O4134" s="1183"/>
      <c r="P4134" s="1201"/>
      <c r="Q4134" s="1201"/>
      <c r="R4134" s="1201"/>
      <c r="S4134" s="1201"/>
      <c r="T4134" s="1201"/>
    </row>
    <row r="4135" spans="12:20">
      <c r="L4135" s="1179"/>
      <c r="M4135" s="1183"/>
      <c r="N4135" s="1183"/>
      <c r="O4135" s="1183"/>
      <c r="P4135" s="1201"/>
      <c r="Q4135" s="1201"/>
      <c r="R4135" s="1201"/>
      <c r="S4135" s="1201"/>
      <c r="T4135" s="1201"/>
    </row>
    <row r="4136" spans="12:20">
      <c r="L4136" s="1179"/>
      <c r="M4136" s="1183"/>
      <c r="N4136" s="1183"/>
      <c r="O4136" s="1183"/>
      <c r="P4136" s="1201"/>
      <c r="Q4136" s="1201"/>
      <c r="R4136" s="1201"/>
      <c r="S4136" s="1201"/>
      <c r="T4136" s="1201"/>
    </row>
    <row r="4137" spans="12:20">
      <c r="L4137" s="1179"/>
      <c r="M4137" s="1183"/>
      <c r="N4137" s="1183"/>
      <c r="O4137" s="1183"/>
      <c r="P4137" s="1201"/>
      <c r="Q4137" s="1201"/>
      <c r="R4137" s="1201"/>
      <c r="S4137" s="1201"/>
      <c r="T4137" s="1201"/>
    </row>
    <row r="4138" spans="12:20">
      <c r="L4138" s="1179"/>
      <c r="M4138" s="1183"/>
      <c r="N4138" s="1183"/>
      <c r="O4138" s="1183"/>
      <c r="P4138" s="1201"/>
      <c r="Q4138" s="1201"/>
      <c r="R4138" s="1201"/>
      <c r="S4138" s="1201"/>
      <c r="T4138" s="1201"/>
    </row>
    <row r="4139" spans="12:20">
      <c r="L4139" s="1179"/>
      <c r="M4139" s="1183"/>
      <c r="N4139" s="1183"/>
      <c r="O4139" s="1183"/>
      <c r="P4139" s="1201"/>
      <c r="Q4139" s="1201"/>
      <c r="R4139" s="1201"/>
      <c r="S4139" s="1201"/>
      <c r="T4139" s="1201"/>
    </row>
    <row r="4140" spans="12:20">
      <c r="L4140" s="1179"/>
      <c r="M4140" s="1183"/>
      <c r="N4140" s="1183"/>
      <c r="O4140" s="1183"/>
      <c r="P4140" s="1201"/>
      <c r="Q4140" s="1201"/>
      <c r="R4140" s="1201"/>
      <c r="S4140" s="1201"/>
      <c r="T4140" s="1201"/>
    </row>
    <row r="4141" spans="12:20">
      <c r="L4141" s="1179"/>
      <c r="M4141" s="1183"/>
      <c r="N4141" s="1183"/>
      <c r="O4141" s="1183"/>
      <c r="P4141" s="1201"/>
      <c r="Q4141" s="1201"/>
      <c r="R4141" s="1201"/>
      <c r="S4141" s="1201"/>
      <c r="T4141" s="1201"/>
    </row>
    <row r="4142" spans="12:20">
      <c r="L4142" s="1179"/>
      <c r="M4142" s="1183"/>
      <c r="N4142" s="1183"/>
      <c r="O4142" s="1183"/>
      <c r="P4142" s="1201"/>
      <c r="Q4142" s="1201"/>
      <c r="R4142" s="1201"/>
      <c r="S4142" s="1201"/>
      <c r="T4142" s="1201"/>
    </row>
    <row r="4143" spans="12:20">
      <c r="L4143" s="1179"/>
      <c r="M4143" s="1183"/>
      <c r="N4143" s="1183"/>
      <c r="O4143" s="1183"/>
      <c r="P4143" s="1201"/>
      <c r="Q4143" s="1201"/>
      <c r="R4143" s="1201"/>
      <c r="S4143" s="1201"/>
      <c r="T4143" s="1201"/>
    </row>
    <row r="4144" spans="12:20">
      <c r="L4144" s="1179"/>
      <c r="M4144" s="1183"/>
      <c r="N4144" s="1183"/>
      <c r="O4144" s="1183"/>
      <c r="P4144" s="1201"/>
      <c r="Q4144" s="1201"/>
      <c r="R4144" s="1201"/>
      <c r="S4144" s="1201"/>
      <c r="T4144" s="1201"/>
    </row>
    <row r="4145" spans="12:20">
      <c r="L4145" s="1179"/>
      <c r="M4145" s="1183"/>
      <c r="N4145" s="1183"/>
      <c r="O4145" s="1183"/>
      <c r="P4145" s="1201"/>
      <c r="Q4145" s="1201"/>
      <c r="R4145" s="1201"/>
      <c r="S4145" s="1201"/>
      <c r="T4145" s="1201"/>
    </row>
    <row r="4146" spans="12:20">
      <c r="L4146" s="1179"/>
      <c r="M4146" s="1183"/>
      <c r="N4146" s="1183"/>
      <c r="O4146" s="1183"/>
      <c r="P4146" s="1201"/>
      <c r="Q4146" s="1201"/>
      <c r="R4146" s="1201"/>
      <c r="S4146" s="1201"/>
      <c r="T4146" s="1201"/>
    </row>
    <row r="4147" spans="12:20">
      <c r="L4147" s="1179"/>
      <c r="M4147" s="1183"/>
      <c r="N4147" s="1183"/>
      <c r="O4147" s="1183"/>
      <c r="P4147" s="1201"/>
      <c r="Q4147" s="1201"/>
      <c r="R4147" s="1201"/>
      <c r="S4147" s="1201"/>
      <c r="T4147" s="1201"/>
    </row>
    <row r="4148" spans="12:20">
      <c r="L4148" s="1179"/>
      <c r="M4148" s="1183"/>
      <c r="N4148" s="1183"/>
      <c r="O4148" s="1183"/>
      <c r="P4148" s="1201"/>
      <c r="Q4148" s="1201"/>
      <c r="R4148" s="1201"/>
      <c r="S4148" s="1201"/>
      <c r="T4148" s="1201"/>
    </row>
    <row r="4149" spans="12:20">
      <c r="L4149" s="1179"/>
      <c r="M4149" s="1183"/>
      <c r="N4149" s="1183"/>
      <c r="O4149" s="1183"/>
      <c r="P4149" s="1201"/>
      <c r="Q4149" s="1201"/>
      <c r="R4149" s="1201"/>
      <c r="S4149" s="1201"/>
      <c r="T4149" s="1201"/>
    </row>
    <row r="4150" spans="12:20">
      <c r="L4150" s="1179"/>
      <c r="M4150" s="1183"/>
      <c r="N4150" s="1183"/>
      <c r="O4150" s="1183"/>
      <c r="P4150" s="1201"/>
      <c r="Q4150" s="1201"/>
      <c r="R4150" s="1201"/>
      <c r="S4150" s="1201"/>
      <c r="T4150" s="1201"/>
    </row>
    <row r="4151" spans="12:20">
      <c r="L4151" s="1179"/>
      <c r="M4151" s="1183"/>
      <c r="N4151" s="1183"/>
      <c r="O4151" s="1183"/>
      <c r="P4151" s="1201"/>
      <c r="Q4151" s="1201"/>
      <c r="R4151" s="1201"/>
      <c r="S4151" s="1201"/>
      <c r="T4151" s="1201"/>
    </row>
    <row r="4152" spans="12:20">
      <c r="L4152" s="1179"/>
      <c r="M4152" s="1183"/>
      <c r="N4152" s="1183"/>
      <c r="O4152" s="1183"/>
      <c r="P4152" s="1201"/>
      <c r="Q4152" s="1201"/>
      <c r="R4152" s="1201"/>
      <c r="S4152" s="1201"/>
      <c r="T4152" s="1201"/>
    </row>
    <row r="4153" spans="12:20">
      <c r="L4153" s="1179"/>
      <c r="M4153" s="1183"/>
      <c r="N4153" s="1183"/>
      <c r="O4153" s="1183"/>
      <c r="P4153" s="1201"/>
      <c r="Q4153" s="1201"/>
      <c r="R4153" s="1201"/>
      <c r="S4153" s="1201"/>
      <c r="T4153" s="1201"/>
    </row>
    <row r="4154" spans="12:20">
      <c r="L4154" s="1179"/>
      <c r="M4154" s="1183"/>
      <c r="N4154" s="1183"/>
      <c r="O4154" s="1183"/>
      <c r="P4154" s="1201"/>
      <c r="Q4154" s="1201"/>
      <c r="R4154" s="1201"/>
      <c r="S4154" s="1201"/>
      <c r="T4154" s="1201"/>
    </row>
    <row r="4155" spans="12:20">
      <c r="L4155" s="1179"/>
      <c r="M4155" s="1183"/>
      <c r="N4155" s="1183"/>
      <c r="O4155" s="1183"/>
      <c r="P4155" s="1201"/>
      <c r="Q4155" s="1201"/>
      <c r="R4155" s="1201"/>
      <c r="S4155" s="1201"/>
      <c r="T4155" s="1201"/>
    </row>
    <row r="4156" spans="12:20">
      <c r="L4156" s="1179"/>
      <c r="M4156" s="1183"/>
      <c r="N4156" s="1183"/>
      <c r="O4156" s="1183"/>
      <c r="P4156" s="1201"/>
      <c r="Q4156" s="1201"/>
      <c r="R4156" s="1201"/>
      <c r="S4156" s="1201"/>
      <c r="T4156" s="1201"/>
    </row>
    <row r="4157" spans="12:20">
      <c r="L4157" s="1179"/>
      <c r="M4157" s="1183"/>
      <c r="N4157" s="1183"/>
      <c r="O4157" s="1183"/>
      <c r="P4157" s="1201"/>
      <c r="Q4157" s="1201"/>
      <c r="R4157" s="1201"/>
      <c r="S4157" s="1201"/>
      <c r="T4157" s="1201"/>
    </row>
    <row r="4158" spans="12:20">
      <c r="L4158" s="1179"/>
      <c r="M4158" s="1183"/>
      <c r="N4158" s="1183"/>
      <c r="O4158" s="1183"/>
      <c r="P4158" s="1201"/>
      <c r="Q4158" s="1201"/>
      <c r="R4158" s="1201"/>
      <c r="S4158" s="1201"/>
      <c r="T4158" s="1201"/>
    </row>
    <row r="4159" spans="12:20">
      <c r="L4159" s="1179"/>
      <c r="M4159" s="1183"/>
      <c r="N4159" s="1183"/>
      <c r="O4159" s="1183"/>
      <c r="P4159" s="1201"/>
      <c r="Q4159" s="1201"/>
      <c r="R4159" s="1201"/>
      <c r="S4159" s="1201"/>
      <c r="T4159" s="1201"/>
    </row>
    <row r="4160" spans="12:20">
      <c r="L4160" s="1179"/>
      <c r="M4160" s="1183"/>
      <c r="N4160" s="1183"/>
      <c r="O4160" s="1183"/>
      <c r="P4160" s="1201"/>
      <c r="Q4160" s="1201"/>
      <c r="R4160" s="1201"/>
      <c r="S4160" s="1201"/>
      <c r="T4160" s="1201"/>
    </row>
    <row r="4161" spans="12:20">
      <c r="L4161" s="1179"/>
      <c r="M4161" s="1183"/>
      <c r="N4161" s="1183"/>
      <c r="O4161" s="1183"/>
      <c r="P4161" s="1201"/>
      <c r="Q4161" s="1201"/>
      <c r="R4161" s="1201"/>
      <c r="S4161" s="1201"/>
      <c r="T4161" s="1201"/>
    </row>
    <row r="4162" spans="12:20">
      <c r="L4162" s="1179"/>
      <c r="M4162" s="1183"/>
      <c r="N4162" s="1183"/>
      <c r="O4162" s="1183"/>
      <c r="P4162" s="1201"/>
      <c r="Q4162" s="1201"/>
      <c r="R4162" s="1201"/>
      <c r="S4162" s="1201"/>
      <c r="T4162" s="1201"/>
    </row>
    <row r="4163" spans="12:20">
      <c r="L4163" s="1179"/>
      <c r="M4163" s="1183"/>
      <c r="N4163" s="1183"/>
      <c r="O4163" s="1183"/>
      <c r="P4163" s="1201"/>
      <c r="Q4163" s="1201"/>
      <c r="R4163" s="1201"/>
      <c r="S4163" s="1201"/>
      <c r="T4163" s="1201"/>
    </row>
    <row r="4164" spans="12:20">
      <c r="L4164" s="1179"/>
      <c r="M4164" s="1183"/>
      <c r="N4164" s="1183"/>
      <c r="O4164" s="1183"/>
      <c r="P4164" s="1201"/>
      <c r="Q4164" s="1201"/>
      <c r="R4164" s="1201"/>
      <c r="S4164" s="1201"/>
      <c r="T4164" s="1201"/>
    </row>
    <row r="4165" spans="12:20">
      <c r="L4165" s="1179"/>
      <c r="M4165" s="1183"/>
      <c r="N4165" s="1183"/>
      <c r="O4165" s="1183"/>
      <c r="P4165" s="1201"/>
      <c r="Q4165" s="1201"/>
      <c r="R4165" s="1201"/>
      <c r="S4165" s="1201"/>
      <c r="T4165" s="1201"/>
    </row>
    <row r="4166" spans="12:20">
      <c r="L4166" s="1179"/>
      <c r="M4166" s="1183"/>
      <c r="N4166" s="1183"/>
      <c r="O4166" s="1183"/>
      <c r="P4166" s="1201"/>
      <c r="Q4166" s="1201"/>
      <c r="R4166" s="1201"/>
      <c r="S4166" s="1201"/>
      <c r="T4166" s="1201"/>
    </row>
    <row r="4167" spans="12:20">
      <c r="L4167" s="1179"/>
      <c r="M4167" s="1183"/>
      <c r="N4167" s="1183"/>
      <c r="O4167" s="1183"/>
      <c r="P4167" s="1201"/>
      <c r="Q4167" s="1201"/>
      <c r="R4167" s="1201"/>
      <c r="S4167" s="1201"/>
      <c r="T4167" s="1201"/>
    </row>
    <row r="4168" spans="12:20">
      <c r="L4168" s="1179"/>
      <c r="M4168" s="1183"/>
      <c r="N4168" s="1183"/>
      <c r="O4168" s="1183"/>
      <c r="P4168" s="1201"/>
      <c r="Q4168" s="1201"/>
      <c r="R4168" s="1201"/>
      <c r="S4168" s="1201"/>
      <c r="T4168" s="1201"/>
    </row>
    <row r="4169" spans="12:20">
      <c r="L4169" s="1179"/>
      <c r="M4169" s="1183"/>
      <c r="N4169" s="1183"/>
      <c r="O4169" s="1183"/>
      <c r="P4169" s="1201"/>
      <c r="Q4169" s="1201"/>
      <c r="R4169" s="1201"/>
      <c r="S4169" s="1201"/>
      <c r="T4169" s="1201"/>
    </row>
    <row r="4170" spans="12:20">
      <c r="L4170" s="1179"/>
      <c r="M4170" s="1183"/>
      <c r="N4170" s="1183"/>
      <c r="O4170" s="1183"/>
      <c r="P4170" s="1201"/>
      <c r="Q4170" s="1201"/>
      <c r="R4170" s="1201"/>
      <c r="S4170" s="1201"/>
      <c r="T4170" s="1201"/>
    </row>
    <row r="4171" spans="12:20">
      <c r="L4171" s="1179"/>
      <c r="M4171" s="1183"/>
      <c r="N4171" s="1183"/>
      <c r="O4171" s="1183"/>
      <c r="P4171" s="1201"/>
      <c r="Q4171" s="1201"/>
      <c r="R4171" s="1201"/>
      <c r="S4171" s="1201"/>
      <c r="T4171" s="1201"/>
    </row>
    <row r="4172" spans="12:20">
      <c r="L4172" s="1179"/>
      <c r="M4172" s="1183"/>
      <c r="N4172" s="1183"/>
      <c r="O4172" s="1183"/>
      <c r="P4172" s="1201"/>
      <c r="Q4172" s="1201"/>
      <c r="R4172" s="1201"/>
      <c r="S4172" s="1201"/>
      <c r="T4172" s="1201"/>
    </row>
    <row r="4173" spans="12:20">
      <c r="L4173" s="1179"/>
      <c r="M4173" s="1183"/>
      <c r="N4173" s="1183"/>
      <c r="O4173" s="1183"/>
      <c r="P4173" s="1201"/>
      <c r="Q4173" s="1201"/>
      <c r="R4173" s="1201"/>
      <c r="S4173" s="1201"/>
      <c r="T4173" s="1201"/>
    </row>
    <row r="4174" spans="12:20">
      <c r="L4174" s="1179"/>
      <c r="M4174" s="1183"/>
      <c r="N4174" s="1183"/>
      <c r="O4174" s="1183"/>
      <c r="P4174" s="1201"/>
      <c r="Q4174" s="1201"/>
      <c r="R4174" s="1201"/>
      <c r="S4174" s="1201"/>
      <c r="T4174" s="1201"/>
    </row>
    <row r="4175" spans="12:20">
      <c r="L4175" s="1179"/>
      <c r="M4175" s="1183"/>
      <c r="N4175" s="1183"/>
      <c r="O4175" s="1183"/>
      <c r="P4175" s="1201"/>
      <c r="Q4175" s="1201"/>
      <c r="R4175" s="1201"/>
      <c r="S4175" s="1201"/>
      <c r="T4175" s="1201"/>
    </row>
    <row r="4176" spans="12:20">
      <c r="L4176" s="1179"/>
      <c r="M4176" s="1183"/>
      <c r="N4176" s="1183"/>
      <c r="O4176" s="1183"/>
      <c r="P4176" s="1201"/>
      <c r="Q4176" s="1201"/>
      <c r="R4176" s="1201"/>
      <c r="S4176" s="1201"/>
      <c r="T4176" s="1201"/>
    </row>
    <row r="4177" spans="12:20">
      <c r="L4177" s="1179"/>
      <c r="M4177" s="1183"/>
      <c r="N4177" s="1183"/>
      <c r="O4177" s="1183"/>
      <c r="P4177" s="1201"/>
      <c r="Q4177" s="1201"/>
      <c r="R4177" s="1201"/>
      <c r="S4177" s="1201"/>
      <c r="T4177" s="1201"/>
    </row>
    <row r="4178" spans="12:20">
      <c r="L4178" s="1179"/>
      <c r="M4178" s="1183"/>
      <c r="N4178" s="1183"/>
      <c r="O4178" s="1183"/>
      <c r="P4178" s="1201"/>
      <c r="Q4178" s="1201"/>
      <c r="R4178" s="1201"/>
      <c r="S4178" s="1201"/>
      <c r="T4178" s="1201"/>
    </row>
    <row r="4179" spans="12:20">
      <c r="L4179" s="1179"/>
      <c r="M4179" s="1183"/>
      <c r="N4179" s="1183"/>
      <c r="O4179" s="1183"/>
      <c r="P4179" s="1201"/>
      <c r="Q4179" s="1201"/>
      <c r="R4179" s="1201"/>
      <c r="S4179" s="1201"/>
      <c r="T4179" s="1201"/>
    </row>
    <row r="4180" spans="12:20">
      <c r="L4180" s="1179"/>
      <c r="M4180" s="1183"/>
      <c r="N4180" s="1183"/>
      <c r="O4180" s="1183"/>
      <c r="P4180" s="1201"/>
      <c r="Q4180" s="1201"/>
      <c r="R4180" s="1201"/>
      <c r="S4180" s="1201"/>
      <c r="T4180" s="1201"/>
    </row>
    <row r="4181" spans="12:20">
      <c r="L4181" s="1179"/>
      <c r="M4181" s="1183"/>
      <c r="N4181" s="1183"/>
      <c r="O4181" s="1183"/>
      <c r="P4181" s="1201"/>
      <c r="Q4181" s="1201"/>
      <c r="R4181" s="1201"/>
      <c r="S4181" s="1201"/>
      <c r="T4181" s="1201"/>
    </row>
    <row r="4182" spans="12:20">
      <c r="L4182" s="1179"/>
      <c r="M4182" s="1183"/>
      <c r="N4182" s="1183"/>
      <c r="O4182" s="1183"/>
      <c r="P4182" s="1201"/>
      <c r="Q4182" s="1201"/>
      <c r="R4182" s="1201"/>
      <c r="S4182" s="1201"/>
      <c r="T4182" s="1201"/>
    </row>
    <row r="4183" spans="12:20">
      <c r="L4183" s="1179"/>
      <c r="M4183" s="1183"/>
      <c r="N4183" s="1183"/>
      <c r="O4183" s="1183"/>
      <c r="P4183" s="1201"/>
      <c r="Q4183" s="1201"/>
      <c r="R4183" s="1201"/>
      <c r="S4183" s="1201"/>
      <c r="T4183" s="1201"/>
    </row>
    <row r="4184" spans="12:20">
      <c r="L4184" s="1179"/>
      <c r="M4184" s="1183"/>
      <c r="N4184" s="1183"/>
      <c r="O4184" s="1183"/>
      <c r="P4184" s="1201"/>
      <c r="Q4184" s="1201"/>
      <c r="R4184" s="1201"/>
      <c r="S4184" s="1201"/>
      <c r="T4184" s="1201"/>
    </row>
    <row r="4185" spans="12:20">
      <c r="L4185" s="1179"/>
      <c r="M4185" s="1183"/>
      <c r="N4185" s="1183"/>
      <c r="O4185" s="1183"/>
      <c r="P4185" s="1201"/>
      <c r="Q4185" s="1201"/>
      <c r="R4185" s="1201"/>
      <c r="S4185" s="1201"/>
      <c r="T4185" s="1201"/>
    </row>
    <row r="4186" spans="12:20">
      <c r="L4186" s="1179"/>
      <c r="M4186" s="1183"/>
      <c r="N4186" s="1183"/>
      <c r="O4186" s="1183"/>
      <c r="P4186" s="1201"/>
      <c r="Q4186" s="1201"/>
      <c r="R4186" s="1201"/>
      <c r="S4186" s="1201"/>
      <c r="T4186" s="1201"/>
    </row>
    <row r="4187" spans="12:20">
      <c r="L4187" s="1179"/>
      <c r="M4187" s="1183"/>
      <c r="N4187" s="1183"/>
      <c r="O4187" s="1183"/>
      <c r="P4187" s="1201"/>
      <c r="Q4187" s="1201"/>
      <c r="R4187" s="1201"/>
      <c r="S4187" s="1201"/>
      <c r="T4187" s="1201"/>
    </row>
    <row r="4188" spans="12:20">
      <c r="L4188" s="1179"/>
      <c r="M4188" s="1183"/>
      <c r="N4188" s="1183"/>
      <c r="O4188" s="1183"/>
      <c r="P4188" s="1201"/>
      <c r="Q4188" s="1201"/>
      <c r="R4188" s="1201"/>
      <c r="S4188" s="1201"/>
      <c r="T4188" s="1201"/>
    </row>
    <row r="4189" spans="12:20">
      <c r="L4189" s="1179"/>
      <c r="M4189" s="1183"/>
      <c r="N4189" s="1183"/>
      <c r="O4189" s="1183"/>
      <c r="P4189" s="1201"/>
      <c r="Q4189" s="1201"/>
      <c r="R4189" s="1201"/>
      <c r="S4189" s="1201"/>
      <c r="T4189" s="1201"/>
    </row>
    <row r="4190" spans="12:20">
      <c r="L4190" s="1179"/>
      <c r="M4190" s="1183"/>
      <c r="N4190" s="1183"/>
      <c r="O4190" s="1183"/>
      <c r="P4190" s="1201"/>
      <c r="Q4190" s="1201"/>
      <c r="R4190" s="1201"/>
      <c r="S4190" s="1201"/>
      <c r="T4190" s="1201"/>
    </row>
    <row r="4191" spans="12:20">
      <c r="L4191" s="1179"/>
      <c r="M4191" s="1183"/>
      <c r="N4191" s="1183"/>
      <c r="O4191" s="1183"/>
      <c r="P4191" s="1201"/>
      <c r="Q4191" s="1201"/>
      <c r="R4191" s="1201"/>
      <c r="S4191" s="1201"/>
      <c r="T4191" s="1201"/>
    </row>
    <row r="4192" spans="12:20">
      <c r="L4192" s="1179"/>
      <c r="M4192" s="1183"/>
      <c r="N4192" s="1183"/>
      <c r="O4192" s="1183"/>
      <c r="P4192" s="1201"/>
      <c r="Q4192" s="1201"/>
      <c r="R4192" s="1201"/>
      <c r="S4192" s="1201"/>
      <c r="T4192" s="1201"/>
    </row>
    <row r="4193" spans="12:20">
      <c r="L4193" s="1179"/>
      <c r="M4193" s="1183"/>
      <c r="N4193" s="1183"/>
      <c r="O4193" s="1183"/>
      <c r="P4193" s="1201"/>
      <c r="Q4193" s="1201"/>
      <c r="R4193" s="1201"/>
      <c r="S4193" s="1201"/>
      <c r="T4193" s="1201"/>
    </row>
    <row r="4194" spans="12:20">
      <c r="L4194" s="1179"/>
      <c r="M4194" s="1183"/>
      <c r="N4194" s="1183"/>
      <c r="O4194" s="1183"/>
      <c r="P4194" s="1201"/>
      <c r="Q4194" s="1201"/>
      <c r="R4194" s="1201"/>
      <c r="S4194" s="1201"/>
      <c r="T4194" s="1201"/>
    </row>
    <row r="4195" spans="12:20">
      <c r="L4195" s="1179"/>
      <c r="M4195" s="1183"/>
      <c r="N4195" s="1183"/>
      <c r="O4195" s="1183"/>
      <c r="P4195" s="1201"/>
      <c r="Q4195" s="1201"/>
      <c r="R4195" s="1201"/>
      <c r="S4195" s="1201"/>
      <c r="T4195" s="1201"/>
    </row>
    <row r="4196" spans="12:20">
      <c r="L4196" s="1179"/>
      <c r="M4196" s="1183"/>
      <c r="N4196" s="1183"/>
      <c r="O4196" s="1183"/>
      <c r="P4196" s="1201"/>
      <c r="Q4196" s="1201"/>
      <c r="R4196" s="1201"/>
      <c r="S4196" s="1201"/>
      <c r="T4196" s="1201"/>
    </row>
    <row r="4197" spans="12:20">
      <c r="L4197" s="1179"/>
      <c r="M4197" s="1183"/>
      <c r="N4197" s="1183"/>
      <c r="O4197" s="1183"/>
      <c r="P4197" s="1201"/>
      <c r="Q4197" s="1201"/>
      <c r="R4197" s="1201"/>
      <c r="S4197" s="1201"/>
      <c r="T4197" s="1201"/>
    </row>
    <row r="4198" spans="12:20">
      <c r="L4198" s="1179"/>
      <c r="M4198" s="1183"/>
      <c r="N4198" s="1183"/>
      <c r="O4198" s="1183"/>
      <c r="P4198" s="1201"/>
      <c r="Q4198" s="1201"/>
      <c r="R4198" s="1201"/>
      <c r="S4198" s="1201"/>
      <c r="T4198" s="1201"/>
    </row>
    <row r="4199" spans="12:20">
      <c r="L4199" s="1179"/>
      <c r="M4199" s="1183"/>
      <c r="N4199" s="1183"/>
      <c r="O4199" s="1183"/>
      <c r="P4199" s="1201"/>
      <c r="Q4199" s="1201"/>
      <c r="R4199" s="1201"/>
      <c r="S4199" s="1201"/>
      <c r="T4199" s="1201"/>
    </row>
    <row r="4200" spans="12:20">
      <c r="L4200" s="1179"/>
      <c r="M4200" s="1183"/>
      <c r="N4200" s="1183"/>
      <c r="O4200" s="1183"/>
      <c r="P4200" s="1201"/>
      <c r="Q4200" s="1201"/>
      <c r="R4200" s="1201"/>
      <c r="S4200" s="1201"/>
      <c r="T4200" s="1201"/>
    </row>
    <row r="4201" spans="12:20">
      <c r="L4201" s="1179"/>
      <c r="M4201" s="1183"/>
      <c r="N4201" s="1183"/>
      <c r="O4201" s="1183"/>
      <c r="P4201" s="1201"/>
      <c r="Q4201" s="1201"/>
      <c r="R4201" s="1201"/>
      <c r="S4201" s="1201"/>
      <c r="T4201" s="1201"/>
    </row>
    <row r="4202" spans="12:20">
      <c r="L4202" s="1179"/>
      <c r="M4202" s="1183"/>
      <c r="N4202" s="1183"/>
      <c r="O4202" s="1183"/>
      <c r="P4202" s="1201"/>
      <c r="Q4202" s="1201"/>
      <c r="R4202" s="1201"/>
      <c r="S4202" s="1201"/>
      <c r="T4202" s="1201"/>
    </row>
    <row r="4203" spans="12:20">
      <c r="L4203" s="1179"/>
      <c r="M4203" s="1183"/>
      <c r="N4203" s="1183"/>
      <c r="O4203" s="1183"/>
      <c r="P4203" s="1201"/>
      <c r="Q4203" s="1201"/>
      <c r="R4203" s="1201"/>
      <c r="S4203" s="1201"/>
      <c r="T4203" s="1201"/>
    </row>
    <row r="4204" spans="12:20">
      <c r="L4204" s="1179"/>
      <c r="M4204" s="1183"/>
      <c r="N4204" s="1183"/>
      <c r="O4204" s="1183"/>
      <c r="P4204" s="1201"/>
      <c r="Q4204" s="1201"/>
      <c r="R4204" s="1201"/>
      <c r="S4204" s="1201"/>
      <c r="T4204" s="1201"/>
    </row>
    <row r="4205" spans="12:20">
      <c r="L4205" s="1179"/>
      <c r="M4205" s="1183"/>
      <c r="N4205" s="1183"/>
      <c r="O4205" s="1183"/>
      <c r="P4205" s="1201"/>
      <c r="Q4205" s="1201"/>
      <c r="R4205" s="1201"/>
      <c r="S4205" s="1201"/>
      <c r="T4205" s="1201"/>
    </row>
    <row r="4206" spans="12:20">
      <c r="L4206" s="1179"/>
      <c r="M4206" s="1183"/>
      <c r="N4206" s="1183"/>
      <c r="O4206" s="1183"/>
      <c r="P4206" s="1201"/>
      <c r="Q4206" s="1201"/>
      <c r="R4206" s="1201"/>
      <c r="S4206" s="1201"/>
      <c r="T4206" s="1201"/>
    </row>
    <row r="4207" spans="12:20">
      <c r="L4207" s="1179"/>
      <c r="M4207" s="1183"/>
      <c r="N4207" s="1183"/>
      <c r="O4207" s="1183"/>
      <c r="P4207" s="1201"/>
      <c r="Q4207" s="1201"/>
      <c r="R4207" s="1201"/>
      <c r="S4207" s="1201"/>
      <c r="T4207" s="1201"/>
    </row>
    <row r="4208" spans="12:20">
      <c r="L4208" s="1179"/>
      <c r="M4208" s="1183"/>
      <c r="N4208" s="1183"/>
      <c r="O4208" s="1183"/>
      <c r="P4208" s="1201"/>
      <c r="Q4208" s="1201"/>
      <c r="R4208" s="1201"/>
      <c r="S4208" s="1201"/>
      <c r="T4208" s="1201"/>
    </row>
    <row r="4209" spans="12:20">
      <c r="L4209" s="1179"/>
      <c r="M4209" s="1183"/>
      <c r="N4209" s="1183"/>
      <c r="O4209" s="1183"/>
      <c r="P4209" s="1201"/>
      <c r="Q4209" s="1201"/>
      <c r="R4209" s="1201"/>
      <c r="S4209" s="1201"/>
      <c r="T4209" s="1201"/>
    </row>
    <row r="4210" spans="12:20">
      <c r="L4210" s="1179"/>
      <c r="M4210" s="1183"/>
      <c r="N4210" s="1183"/>
      <c r="O4210" s="1183"/>
      <c r="P4210" s="1201"/>
      <c r="Q4210" s="1201"/>
      <c r="R4210" s="1201"/>
      <c r="S4210" s="1201"/>
      <c r="T4210" s="1201"/>
    </row>
    <row r="4211" spans="12:20">
      <c r="L4211" s="1179"/>
      <c r="M4211" s="1183"/>
      <c r="N4211" s="1183"/>
      <c r="O4211" s="1183"/>
      <c r="P4211" s="1201"/>
      <c r="Q4211" s="1201"/>
      <c r="R4211" s="1201"/>
      <c r="S4211" s="1201"/>
      <c r="T4211" s="1201"/>
    </row>
    <row r="4212" spans="12:20">
      <c r="L4212" s="1179"/>
      <c r="M4212" s="1183"/>
      <c r="N4212" s="1183"/>
      <c r="O4212" s="1183"/>
      <c r="P4212" s="1201"/>
      <c r="Q4212" s="1201"/>
      <c r="R4212" s="1201"/>
      <c r="S4212" s="1201"/>
      <c r="T4212" s="1201"/>
    </row>
    <row r="4213" spans="12:20">
      <c r="L4213" s="1179"/>
      <c r="M4213" s="1183"/>
      <c r="N4213" s="1183"/>
      <c r="O4213" s="1183"/>
      <c r="P4213" s="1201"/>
      <c r="Q4213" s="1201"/>
      <c r="R4213" s="1201"/>
      <c r="S4213" s="1201"/>
      <c r="T4213" s="1201"/>
    </row>
    <row r="4214" spans="12:20">
      <c r="L4214" s="1179"/>
      <c r="M4214" s="1183"/>
      <c r="N4214" s="1183"/>
      <c r="O4214" s="1183"/>
      <c r="P4214" s="1201"/>
      <c r="Q4214" s="1201"/>
      <c r="R4214" s="1201"/>
      <c r="S4214" s="1201"/>
      <c r="T4214" s="1201"/>
    </row>
    <row r="4215" spans="12:20">
      <c r="L4215" s="1179"/>
      <c r="M4215" s="1183"/>
      <c r="N4215" s="1183"/>
      <c r="O4215" s="1183"/>
      <c r="P4215" s="1201"/>
      <c r="Q4215" s="1201"/>
      <c r="R4215" s="1201"/>
      <c r="S4215" s="1201"/>
      <c r="T4215" s="1201"/>
    </row>
    <row r="4216" spans="12:20">
      <c r="L4216" s="1179"/>
      <c r="M4216" s="1183"/>
      <c r="N4216" s="1183"/>
      <c r="O4216" s="1183"/>
      <c r="P4216" s="1201"/>
      <c r="Q4216" s="1201"/>
      <c r="R4216" s="1201"/>
      <c r="S4216" s="1201"/>
      <c r="T4216" s="1201"/>
    </row>
    <row r="4217" spans="12:20">
      <c r="L4217" s="1179"/>
      <c r="M4217" s="1183"/>
      <c r="N4217" s="1183"/>
      <c r="O4217" s="1183"/>
      <c r="P4217" s="1201"/>
      <c r="Q4217" s="1201"/>
      <c r="R4217" s="1201"/>
      <c r="S4217" s="1201"/>
      <c r="T4217" s="1201"/>
    </row>
    <row r="4218" spans="12:20">
      <c r="L4218" s="1179"/>
      <c r="M4218" s="1183"/>
      <c r="N4218" s="1183"/>
      <c r="O4218" s="1183"/>
      <c r="P4218" s="1201"/>
      <c r="Q4218" s="1201"/>
      <c r="R4218" s="1201"/>
      <c r="S4218" s="1201"/>
      <c r="T4218" s="1201"/>
    </row>
    <row r="4219" spans="12:20">
      <c r="L4219" s="1179"/>
      <c r="M4219" s="1183"/>
      <c r="N4219" s="1183"/>
      <c r="O4219" s="1183"/>
      <c r="P4219" s="1201"/>
      <c r="Q4219" s="1201"/>
      <c r="R4219" s="1201"/>
      <c r="S4219" s="1201"/>
      <c r="T4219" s="1201"/>
    </row>
    <row r="4220" spans="12:20">
      <c r="L4220" s="1179"/>
      <c r="M4220" s="1183"/>
      <c r="N4220" s="1183"/>
      <c r="O4220" s="1183"/>
      <c r="P4220" s="1201"/>
      <c r="Q4220" s="1201"/>
      <c r="R4220" s="1201"/>
      <c r="S4220" s="1201"/>
      <c r="T4220" s="1201"/>
    </row>
    <row r="4221" spans="12:20">
      <c r="L4221" s="1179"/>
      <c r="M4221" s="1183"/>
      <c r="N4221" s="1183"/>
      <c r="O4221" s="1183"/>
      <c r="P4221" s="1201"/>
      <c r="Q4221" s="1201"/>
      <c r="R4221" s="1201"/>
      <c r="S4221" s="1201"/>
      <c r="T4221" s="1201"/>
    </row>
    <row r="4222" spans="12:20">
      <c r="L4222" s="1179"/>
      <c r="M4222" s="1183"/>
      <c r="N4222" s="1183"/>
      <c r="O4222" s="1183"/>
      <c r="P4222" s="1201"/>
      <c r="Q4222" s="1201"/>
      <c r="R4222" s="1201"/>
      <c r="S4222" s="1201"/>
      <c r="T4222" s="1201"/>
    </row>
    <row r="4223" spans="12:20">
      <c r="L4223" s="1179"/>
      <c r="M4223" s="1183"/>
      <c r="N4223" s="1183"/>
      <c r="O4223" s="1183"/>
      <c r="P4223" s="1201"/>
      <c r="Q4223" s="1201"/>
      <c r="R4223" s="1201"/>
      <c r="S4223" s="1201"/>
      <c r="T4223" s="1201"/>
    </row>
    <row r="4224" spans="12:20">
      <c r="L4224" s="1179"/>
      <c r="M4224" s="1183"/>
      <c r="N4224" s="1183"/>
      <c r="O4224" s="1183"/>
      <c r="P4224" s="1201"/>
      <c r="Q4224" s="1201"/>
      <c r="R4224" s="1201"/>
      <c r="S4224" s="1201"/>
      <c r="T4224" s="1201"/>
    </row>
    <row r="4225" spans="12:20">
      <c r="L4225" s="1179"/>
      <c r="M4225" s="1183"/>
      <c r="N4225" s="1183"/>
      <c r="O4225" s="1183"/>
      <c r="P4225" s="1201"/>
      <c r="Q4225" s="1201"/>
      <c r="R4225" s="1201"/>
      <c r="S4225" s="1201"/>
      <c r="T4225" s="1201"/>
    </row>
    <row r="4226" spans="12:20">
      <c r="L4226" s="1179"/>
      <c r="M4226" s="1183"/>
      <c r="N4226" s="1183"/>
      <c r="O4226" s="1183"/>
      <c r="P4226" s="1201"/>
      <c r="Q4226" s="1201"/>
      <c r="R4226" s="1201"/>
      <c r="S4226" s="1201"/>
      <c r="T4226" s="1201"/>
    </row>
    <row r="4227" spans="12:20">
      <c r="L4227" s="1179"/>
      <c r="M4227" s="1183"/>
      <c r="N4227" s="1183"/>
      <c r="O4227" s="1183"/>
      <c r="P4227" s="1201"/>
      <c r="Q4227" s="1201"/>
      <c r="R4227" s="1201"/>
      <c r="S4227" s="1201"/>
      <c r="T4227" s="1201"/>
    </row>
    <row r="4228" spans="12:20">
      <c r="L4228" s="1179"/>
      <c r="M4228" s="1183"/>
      <c r="N4228" s="1183"/>
      <c r="O4228" s="1183"/>
      <c r="P4228" s="1201"/>
      <c r="Q4228" s="1201"/>
      <c r="R4228" s="1201"/>
      <c r="S4228" s="1201"/>
      <c r="T4228" s="1201"/>
    </row>
    <row r="4229" spans="12:20">
      <c r="L4229" s="1179"/>
      <c r="M4229" s="1183"/>
      <c r="N4229" s="1183"/>
      <c r="O4229" s="1183"/>
      <c r="P4229" s="1201"/>
      <c r="Q4229" s="1201"/>
      <c r="R4229" s="1201"/>
      <c r="S4229" s="1201"/>
      <c r="T4229" s="1201"/>
    </row>
    <row r="4230" spans="12:20">
      <c r="L4230" s="1179"/>
      <c r="M4230" s="1183"/>
      <c r="N4230" s="1183"/>
      <c r="O4230" s="1183"/>
      <c r="P4230" s="1201"/>
      <c r="Q4230" s="1201"/>
      <c r="R4230" s="1201"/>
      <c r="S4230" s="1201"/>
      <c r="T4230" s="1201"/>
    </row>
    <row r="4231" spans="12:20">
      <c r="L4231" s="1179"/>
      <c r="M4231" s="1183"/>
      <c r="N4231" s="1183"/>
      <c r="O4231" s="1183"/>
      <c r="P4231" s="1201"/>
      <c r="Q4231" s="1201"/>
      <c r="R4231" s="1201"/>
      <c r="S4231" s="1201"/>
      <c r="T4231" s="1201"/>
    </row>
    <row r="4232" spans="12:20">
      <c r="L4232" s="1179"/>
      <c r="M4232" s="1183"/>
      <c r="N4232" s="1183"/>
      <c r="O4232" s="1183"/>
      <c r="P4232" s="1201"/>
      <c r="Q4232" s="1201"/>
      <c r="R4232" s="1201"/>
      <c r="S4232" s="1201"/>
      <c r="T4232" s="1201"/>
    </row>
    <row r="4233" spans="12:20">
      <c r="L4233" s="1179"/>
      <c r="M4233" s="1183"/>
      <c r="N4233" s="1183"/>
      <c r="O4233" s="1183"/>
      <c r="P4233" s="1201"/>
      <c r="Q4233" s="1201"/>
      <c r="R4233" s="1201"/>
      <c r="S4233" s="1201"/>
      <c r="T4233" s="1201"/>
    </row>
    <row r="4234" spans="12:20">
      <c r="L4234" s="1179"/>
      <c r="M4234" s="1183"/>
      <c r="N4234" s="1183"/>
      <c r="O4234" s="1183"/>
      <c r="P4234" s="1201"/>
      <c r="Q4234" s="1201"/>
      <c r="R4234" s="1201"/>
      <c r="S4234" s="1201"/>
      <c r="T4234" s="1201"/>
    </row>
    <row r="4235" spans="12:20">
      <c r="L4235" s="1179"/>
      <c r="M4235" s="1183"/>
      <c r="N4235" s="1183"/>
      <c r="O4235" s="1183"/>
      <c r="P4235" s="1201"/>
      <c r="Q4235" s="1201"/>
      <c r="R4235" s="1201"/>
      <c r="S4235" s="1201"/>
      <c r="T4235" s="1201"/>
    </row>
    <row r="4236" spans="12:20">
      <c r="L4236" s="1179"/>
      <c r="M4236" s="1183"/>
      <c r="N4236" s="1183"/>
      <c r="O4236" s="1183"/>
      <c r="P4236" s="1201"/>
      <c r="Q4236" s="1201"/>
      <c r="R4236" s="1201"/>
      <c r="S4236" s="1201"/>
      <c r="T4236" s="1201"/>
    </row>
    <row r="4237" spans="12:20">
      <c r="L4237" s="1179"/>
      <c r="M4237" s="1183"/>
      <c r="N4237" s="1183"/>
      <c r="O4237" s="1183"/>
      <c r="P4237" s="1201"/>
      <c r="Q4237" s="1201"/>
      <c r="R4237" s="1201"/>
      <c r="S4237" s="1201"/>
      <c r="T4237" s="1201"/>
    </row>
    <row r="4238" spans="12:20">
      <c r="L4238" s="1179"/>
      <c r="M4238" s="1183"/>
      <c r="N4238" s="1183"/>
      <c r="O4238" s="1183"/>
      <c r="P4238" s="1201"/>
      <c r="Q4238" s="1201"/>
      <c r="R4238" s="1201"/>
      <c r="S4238" s="1201"/>
      <c r="T4238" s="1201"/>
    </row>
    <row r="4239" spans="12:20">
      <c r="L4239" s="1179"/>
      <c r="M4239" s="1183"/>
      <c r="N4239" s="1183"/>
      <c r="O4239" s="1183"/>
      <c r="P4239" s="1201"/>
      <c r="Q4239" s="1201"/>
      <c r="R4239" s="1201"/>
      <c r="S4239" s="1201"/>
      <c r="T4239" s="1201"/>
    </row>
    <row r="4240" spans="12:20">
      <c r="L4240" s="1179"/>
      <c r="M4240" s="1183"/>
      <c r="N4240" s="1183"/>
      <c r="O4240" s="1183"/>
      <c r="P4240" s="1201"/>
      <c r="Q4240" s="1201"/>
      <c r="R4240" s="1201"/>
      <c r="S4240" s="1201"/>
      <c r="T4240" s="1201"/>
    </row>
    <row r="4241" spans="12:20">
      <c r="L4241" s="1179"/>
      <c r="M4241" s="1183"/>
      <c r="N4241" s="1183"/>
      <c r="O4241" s="1183"/>
      <c r="P4241" s="1201"/>
      <c r="Q4241" s="1201"/>
      <c r="R4241" s="1201"/>
      <c r="S4241" s="1201"/>
      <c r="T4241" s="1201"/>
    </row>
    <row r="4242" spans="12:20">
      <c r="L4242" s="1179"/>
      <c r="M4242" s="1183"/>
      <c r="N4242" s="1183"/>
      <c r="O4242" s="1183"/>
      <c r="P4242" s="1201"/>
      <c r="Q4242" s="1201"/>
      <c r="R4242" s="1201"/>
      <c r="S4242" s="1201"/>
      <c r="T4242" s="1201"/>
    </row>
    <row r="4243" spans="12:20">
      <c r="L4243" s="1179"/>
      <c r="M4243" s="1183"/>
      <c r="N4243" s="1183"/>
      <c r="O4243" s="1183"/>
      <c r="P4243" s="1201"/>
      <c r="Q4243" s="1201"/>
      <c r="R4243" s="1201"/>
      <c r="S4243" s="1201"/>
      <c r="T4243" s="1201"/>
    </row>
    <row r="4244" spans="12:20">
      <c r="L4244" s="1179"/>
      <c r="M4244" s="1183"/>
      <c r="N4244" s="1183"/>
      <c r="O4244" s="1183"/>
      <c r="P4244" s="1201"/>
      <c r="Q4244" s="1201"/>
      <c r="R4244" s="1201"/>
      <c r="S4244" s="1201"/>
      <c r="T4244" s="1201"/>
    </row>
    <row r="4245" spans="12:20">
      <c r="L4245" s="1179"/>
      <c r="M4245" s="1183"/>
      <c r="N4245" s="1183"/>
      <c r="O4245" s="1183"/>
      <c r="P4245" s="1201"/>
      <c r="Q4245" s="1201"/>
      <c r="R4245" s="1201"/>
      <c r="S4245" s="1201"/>
      <c r="T4245" s="1201"/>
    </row>
    <row r="4246" spans="12:20">
      <c r="L4246" s="1179"/>
      <c r="M4246" s="1183"/>
      <c r="N4246" s="1183"/>
      <c r="O4246" s="1183"/>
      <c r="P4246" s="1201"/>
      <c r="Q4246" s="1201"/>
      <c r="R4246" s="1201"/>
      <c r="S4246" s="1201"/>
      <c r="T4246" s="1201"/>
    </row>
    <row r="4247" spans="12:20">
      <c r="L4247" s="1179"/>
      <c r="M4247" s="1183"/>
      <c r="N4247" s="1183"/>
      <c r="O4247" s="1183"/>
      <c r="P4247" s="1201"/>
      <c r="Q4247" s="1201"/>
      <c r="R4247" s="1201"/>
      <c r="S4247" s="1201"/>
      <c r="T4247" s="1201"/>
    </row>
    <row r="4248" spans="12:20">
      <c r="L4248" s="1179"/>
      <c r="M4248" s="1183"/>
      <c r="N4248" s="1183"/>
      <c r="O4248" s="1183"/>
      <c r="P4248" s="1201"/>
      <c r="Q4248" s="1201"/>
      <c r="R4248" s="1201"/>
      <c r="S4248" s="1201"/>
      <c r="T4248" s="1201"/>
    </row>
    <row r="4249" spans="12:20">
      <c r="L4249" s="1179"/>
      <c r="M4249" s="1183"/>
      <c r="N4249" s="1183"/>
      <c r="O4249" s="1183"/>
      <c r="P4249" s="1201"/>
      <c r="Q4249" s="1201"/>
      <c r="R4249" s="1201"/>
      <c r="S4249" s="1201"/>
      <c r="T4249" s="1201"/>
    </row>
    <row r="4250" spans="12:20">
      <c r="L4250" s="1179"/>
      <c r="M4250" s="1183"/>
      <c r="N4250" s="1183"/>
      <c r="O4250" s="1183"/>
      <c r="P4250" s="1201"/>
      <c r="Q4250" s="1201"/>
      <c r="R4250" s="1201"/>
      <c r="S4250" s="1201"/>
      <c r="T4250" s="1201"/>
    </row>
    <row r="4251" spans="12:20">
      <c r="L4251" s="1179"/>
      <c r="M4251" s="1183"/>
      <c r="N4251" s="1183"/>
      <c r="O4251" s="1183"/>
      <c r="P4251" s="1201"/>
      <c r="Q4251" s="1201"/>
      <c r="R4251" s="1201"/>
      <c r="S4251" s="1201"/>
      <c r="T4251" s="1201"/>
    </row>
    <row r="4252" spans="12:20">
      <c r="L4252" s="1179"/>
      <c r="M4252" s="1183"/>
      <c r="N4252" s="1183"/>
      <c r="O4252" s="1183"/>
      <c r="P4252" s="1201"/>
      <c r="Q4252" s="1201"/>
      <c r="R4252" s="1201"/>
      <c r="S4252" s="1201"/>
      <c r="T4252" s="1201"/>
    </row>
    <row r="4253" spans="12:20">
      <c r="L4253" s="1179"/>
      <c r="M4253" s="1183"/>
      <c r="N4253" s="1183"/>
      <c r="O4253" s="1183"/>
      <c r="P4253" s="1201"/>
      <c r="Q4253" s="1201"/>
      <c r="R4253" s="1201"/>
      <c r="S4253" s="1201"/>
      <c r="T4253" s="1201"/>
    </row>
    <row r="4254" spans="12:20">
      <c r="L4254" s="1179"/>
      <c r="M4254" s="1183"/>
      <c r="N4254" s="1183"/>
      <c r="O4254" s="1183"/>
      <c r="P4254" s="1201"/>
      <c r="Q4254" s="1201"/>
      <c r="R4254" s="1201"/>
      <c r="S4254" s="1201"/>
      <c r="T4254" s="1201"/>
    </row>
    <row r="4255" spans="12:20">
      <c r="L4255" s="1179"/>
      <c r="M4255" s="1183"/>
      <c r="N4255" s="1183"/>
      <c r="O4255" s="1183"/>
      <c r="P4255" s="1201"/>
      <c r="Q4255" s="1201"/>
      <c r="R4255" s="1201"/>
      <c r="S4255" s="1201"/>
      <c r="T4255" s="1201"/>
    </row>
    <row r="4256" spans="12:20">
      <c r="L4256" s="1179"/>
      <c r="M4256" s="1183"/>
      <c r="N4256" s="1183"/>
      <c r="O4256" s="1183"/>
      <c r="P4256" s="1201"/>
      <c r="Q4256" s="1201"/>
      <c r="R4256" s="1201"/>
      <c r="S4256" s="1201"/>
      <c r="T4256" s="1201"/>
    </row>
    <row r="4257" spans="12:20">
      <c r="L4257" s="1179"/>
      <c r="M4257" s="1183"/>
      <c r="N4257" s="1183"/>
      <c r="O4257" s="1183"/>
      <c r="P4257" s="1201"/>
      <c r="Q4257" s="1201"/>
      <c r="R4257" s="1201"/>
      <c r="S4257" s="1201"/>
      <c r="T4257" s="1201"/>
    </row>
    <row r="4258" spans="12:20">
      <c r="L4258" s="1179"/>
      <c r="M4258" s="1183"/>
      <c r="N4258" s="1183"/>
      <c r="O4258" s="1183"/>
      <c r="P4258" s="1201"/>
      <c r="Q4258" s="1201"/>
      <c r="R4258" s="1201"/>
      <c r="S4258" s="1201"/>
      <c r="T4258" s="1201"/>
    </row>
    <row r="4259" spans="12:20">
      <c r="L4259" s="1179"/>
      <c r="M4259" s="1183"/>
      <c r="N4259" s="1183"/>
      <c r="O4259" s="1183"/>
      <c r="P4259" s="1201"/>
      <c r="Q4259" s="1201"/>
      <c r="R4259" s="1201"/>
      <c r="S4259" s="1201"/>
      <c r="T4259" s="1201"/>
    </row>
    <row r="4260" spans="12:20">
      <c r="L4260" s="1179"/>
      <c r="M4260" s="1183"/>
      <c r="N4260" s="1183"/>
      <c r="O4260" s="1183"/>
      <c r="P4260" s="1201"/>
      <c r="Q4260" s="1201"/>
      <c r="R4260" s="1201"/>
      <c r="S4260" s="1201"/>
      <c r="T4260" s="1201"/>
    </row>
    <row r="4261" spans="12:20">
      <c r="L4261" s="1179"/>
      <c r="M4261" s="1183"/>
      <c r="N4261" s="1183"/>
      <c r="O4261" s="1183"/>
      <c r="P4261" s="1201"/>
      <c r="Q4261" s="1201"/>
      <c r="R4261" s="1201"/>
      <c r="S4261" s="1201"/>
      <c r="T4261" s="1201"/>
    </row>
    <row r="4262" spans="12:20">
      <c r="L4262" s="1179"/>
      <c r="M4262" s="1183"/>
      <c r="N4262" s="1183"/>
      <c r="O4262" s="1183"/>
      <c r="P4262" s="1201"/>
      <c r="Q4262" s="1201"/>
      <c r="R4262" s="1201"/>
      <c r="S4262" s="1201"/>
      <c r="T4262" s="1201"/>
    </row>
    <row r="4263" spans="12:20">
      <c r="L4263" s="1179"/>
      <c r="M4263" s="1183"/>
      <c r="N4263" s="1183"/>
      <c r="O4263" s="1183"/>
      <c r="P4263" s="1201"/>
      <c r="Q4263" s="1201"/>
      <c r="R4263" s="1201"/>
      <c r="S4263" s="1201"/>
      <c r="T4263" s="1201"/>
    </row>
    <row r="4264" spans="12:20">
      <c r="L4264" s="1179"/>
      <c r="M4264" s="1183"/>
      <c r="N4264" s="1183"/>
      <c r="O4264" s="1183"/>
      <c r="P4264" s="1201"/>
      <c r="Q4264" s="1201"/>
      <c r="R4264" s="1201"/>
      <c r="S4264" s="1201"/>
      <c r="T4264" s="1201"/>
    </row>
    <row r="4265" spans="12:20">
      <c r="L4265" s="1179"/>
      <c r="M4265" s="1183"/>
      <c r="N4265" s="1183"/>
      <c r="O4265" s="1183"/>
      <c r="P4265" s="1201"/>
      <c r="Q4265" s="1201"/>
      <c r="R4265" s="1201"/>
      <c r="S4265" s="1201"/>
      <c r="T4265" s="1201"/>
    </row>
    <row r="4266" spans="12:20">
      <c r="L4266" s="1179"/>
      <c r="M4266" s="1183"/>
      <c r="N4266" s="1183"/>
      <c r="O4266" s="1183"/>
      <c r="P4266" s="1201"/>
      <c r="Q4266" s="1201"/>
      <c r="R4266" s="1201"/>
      <c r="S4266" s="1201"/>
      <c r="T4266" s="1201"/>
    </row>
    <row r="4267" spans="12:20">
      <c r="L4267" s="1179"/>
      <c r="M4267" s="1183"/>
      <c r="N4267" s="1183"/>
      <c r="O4267" s="1183"/>
      <c r="P4267" s="1201"/>
      <c r="Q4267" s="1201"/>
      <c r="R4267" s="1201"/>
      <c r="S4267" s="1201"/>
      <c r="T4267" s="1201"/>
    </row>
    <row r="4268" spans="12:20">
      <c r="L4268" s="1179"/>
      <c r="M4268" s="1183"/>
      <c r="N4268" s="1183"/>
      <c r="O4268" s="1183"/>
      <c r="P4268" s="1201"/>
      <c r="Q4268" s="1201"/>
      <c r="R4268" s="1201"/>
      <c r="S4268" s="1201"/>
      <c r="T4268" s="1201"/>
    </row>
    <row r="4269" spans="12:20">
      <c r="L4269" s="1179"/>
      <c r="M4269" s="1183"/>
      <c r="N4269" s="1183"/>
      <c r="O4269" s="1183"/>
      <c r="P4269" s="1201"/>
      <c r="Q4269" s="1201"/>
      <c r="R4269" s="1201"/>
      <c r="S4269" s="1201"/>
      <c r="T4269" s="1201"/>
    </row>
    <row r="4270" spans="12:20">
      <c r="L4270" s="1179"/>
      <c r="M4270" s="1183"/>
      <c r="N4270" s="1183"/>
      <c r="O4270" s="1183"/>
      <c r="P4270" s="1201"/>
      <c r="Q4270" s="1201"/>
      <c r="R4270" s="1201"/>
      <c r="S4270" s="1201"/>
      <c r="T4270" s="1201"/>
    </row>
    <row r="4271" spans="12:20">
      <c r="L4271" s="1179"/>
      <c r="M4271" s="1183"/>
      <c r="N4271" s="1183"/>
      <c r="O4271" s="1183"/>
      <c r="P4271" s="1201"/>
      <c r="Q4271" s="1201"/>
      <c r="R4271" s="1201"/>
      <c r="S4271" s="1201"/>
      <c r="T4271" s="1201"/>
    </row>
    <row r="4272" spans="12:20">
      <c r="L4272" s="1179"/>
      <c r="M4272" s="1183"/>
      <c r="N4272" s="1183"/>
      <c r="O4272" s="1183"/>
      <c r="P4272" s="1201"/>
      <c r="Q4272" s="1201"/>
      <c r="R4272" s="1201"/>
      <c r="S4272" s="1201"/>
      <c r="T4272" s="1201"/>
    </row>
    <row r="4273" spans="12:20">
      <c r="L4273" s="1179"/>
      <c r="M4273" s="1183"/>
      <c r="N4273" s="1183"/>
      <c r="O4273" s="1183"/>
      <c r="P4273" s="1201"/>
      <c r="Q4273" s="1201"/>
      <c r="R4273" s="1201"/>
      <c r="S4273" s="1201"/>
      <c r="T4273" s="1201"/>
    </row>
    <row r="4274" spans="12:20">
      <c r="L4274" s="1179"/>
      <c r="M4274" s="1183"/>
      <c r="N4274" s="1183"/>
      <c r="O4274" s="1183"/>
      <c r="P4274" s="1201"/>
      <c r="Q4274" s="1201"/>
      <c r="R4274" s="1201"/>
      <c r="S4274" s="1201"/>
      <c r="T4274" s="1201"/>
    </row>
    <row r="4275" spans="12:20">
      <c r="L4275" s="1179"/>
      <c r="M4275" s="1183"/>
      <c r="N4275" s="1183"/>
      <c r="O4275" s="1183"/>
      <c r="P4275" s="1201"/>
      <c r="Q4275" s="1201"/>
      <c r="R4275" s="1201"/>
      <c r="S4275" s="1201"/>
      <c r="T4275" s="1201"/>
    </row>
    <row r="4276" spans="12:20">
      <c r="L4276" s="1179"/>
      <c r="M4276" s="1183"/>
      <c r="N4276" s="1183"/>
      <c r="O4276" s="1183"/>
      <c r="P4276" s="1201"/>
      <c r="Q4276" s="1201"/>
      <c r="R4276" s="1201"/>
      <c r="S4276" s="1201"/>
      <c r="T4276" s="1201"/>
    </row>
    <row r="4277" spans="12:20">
      <c r="L4277" s="1179"/>
      <c r="M4277" s="1183"/>
      <c r="N4277" s="1183"/>
      <c r="O4277" s="1183"/>
      <c r="P4277" s="1201"/>
      <c r="Q4277" s="1201"/>
      <c r="R4277" s="1201"/>
      <c r="S4277" s="1201"/>
      <c r="T4277" s="1201"/>
    </row>
    <row r="4278" spans="12:20">
      <c r="L4278" s="1179"/>
      <c r="M4278" s="1183"/>
      <c r="N4278" s="1183"/>
      <c r="O4278" s="1183"/>
      <c r="P4278" s="1201"/>
      <c r="Q4278" s="1201"/>
      <c r="R4278" s="1201"/>
      <c r="S4278" s="1201"/>
      <c r="T4278" s="1201"/>
    </row>
    <row r="4279" spans="12:20">
      <c r="L4279" s="1179"/>
      <c r="M4279" s="1183"/>
      <c r="N4279" s="1183"/>
      <c r="O4279" s="1183"/>
      <c r="P4279" s="1201"/>
      <c r="Q4279" s="1201"/>
      <c r="R4279" s="1201"/>
      <c r="S4279" s="1201"/>
      <c r="T4279" s="1201"/>
    </row>
    <row r="4280" spans="12:20">
      <c r="L4280" s="1179"/>
      <c r="M4280" s="1183"/>
      <c r="N4280" s="1183"/>
      <c r="O4280" s="1183"/>
      <c r="P4280" s="1201"/>
      <c r="Q4280" s="1201"/>
      <c r="R4280" s="1201"/>
      <c r="S4280" s="1201"/>
      <c r="T4280" s="1201"/>
    </row>
    <row r="4281" spans="12:20">
      <c r="L4281" s="1179"/>
      <c r="M4281" s="1183"/>
      <c r="N4281" s="1183"/>
      <c r="O4281" s="1183"/>
      <c r="P4281" s="1201"/>
      <c r="Q4281" s="1201"/>
      <c r="R4281" s="1201"/>
      <c r="S4281" s="1201"/>
      <c r="T4281" s="1201"/>
    </row>
    <row r="4282" spans="12:20">
      <c r="L4282" s="1179"/>
      <c r="M4282" s="1183"/>
      <c r="N4282" s="1183"/>
      <c r="O4282" s="1183"/>
      <c r="P4282" s="1201"/>
      <c r="Q4282" s="1201"/>
      <c r="R4282" s="1201"/>
      <c r="S4282" s="1201"/>
      <c r="T4282" s="1201"/>
    </row>
    <row r="4283" spans="12:20">
      <c r="L4283" s="1179"/>
      <c r="M4283" s="1183"/>
      <c r="N4283" s="1183"/>
      <c r="O4283" s="1183"/>
      <c r="P4283" s="1201"/>
      <c r="Q4283" s="1201"/>
      <c r="R4283" s="1201"/>
      <c r="S4283" s="1201"/>
      <c r="T4283" s="1201"/>
    </row>
    <row r="4284" spans="12:20">
      <c r="L4284" s="1179"/>
      <c r="M4284" s="1183"/>
      <c r="N4284" s="1183"/>
      <c r="O4284" s="1183"/>
      <c r="P4284" s="1201"/>
      <c r="Q4284" s="1201"/>
      <c r="R4284" s="1201"/>
      <c r="S4284" s="1201"/>
      <c r="T4284" s="1201"/>
    </row>
    <row r="4285" spans="12:20">
      <c r="L4285" s="1179"/>
      <c r="M4285" s="1183"/>
      <c r="N4285" s="1183"/>
      <c r="O4285" s="1183"/>
      <c r="P4285" s="1201"/>
      <c r="Q4285" s="1201"/>
      <c r="R4285" s="1201"/>
      <c r="S4285" s="1201"/>
      <c r="T4285" s="1201"/>
    </row>
    <row r="4286" spans="12:20">
      <c r="L4286" s="1179"/>
      <c r="M4286" s="1183"/>
      <c r="N4286" s="1183"/>
      <c r="O4286" s="1183"/>
      <c r="P4286" s="1201"/>
      <c r="Q4286" s="1201"/>
      <c r="R4286" s="1201"/>
      <c r="S4286" s="1201"/>
      <c r="T4286" s="1201"/>
    </row>
    <row r="4287" spans="12:20">
      <c r="L4287" s="1179"/>
      <c r="M4287" s="1183"/>
      <c r="N4287" s="1183"/>
      <c r="O4287" s="1183"/>
      <c r="P4287" s="1201"/>
      <c r="Q4287" s="1201"/>
      <c r="R4287" s="1201"/>
      <c r="S4287" s="1201"/>
      <c r="T4287" s="1201"/>
    </row>
    <row r="4288" spans="12:20">
      <c r="L4288" s="1179"/>
      <c r="M4288" s="1183"/>
      <c r="N4288" s="1183"/>
      <c r="O4288" s="1183"/>
      <c r="P4288" s="1201"/>
      <c r="Q4288" s="1201"/>
      <c r="R4288" s="1201"/>
      <c r="S4288" s="1201"/>
      <c r="T4288" s="1201"/>
    </row>
    <row r="4289" spans="12:20">
      <c r="L4289" s="1179"/>
      <c r="M4289" s="1183"/>
      <c r="N4289" s="1183"/>
      <c r="O4289" s="1183"/>
      <c r="P4289" s="1201"/>
      <c r="Q4289" s="1201"/>
      <c r="R4289" s="1201"/>
      <c r="S4289" s="1201"/>
      <c r="T4289" s="1201"/>
    </row>
    <row r="4290" spans="12:20">
      <c r="L4290" s="1179"/>
      <c r="M4290" s="1183"/>
      <c r="N4290" s="1183"/>
      <c r="O4290" s="1183"/>
      <c r="P4290" s="1201"/>
      <c r="Q4290" s="1201"/>
      <c r="R4290" s="1201"/>
      <c r="S4290" s="1201"/>
      <c r="T4290" s="1201"/>
    </row>
    <row r="4291" spans="12:20">
      <c r="L4291" s="1179"/>
      <c r="M4291" s="1183"/>
      <c r="N4291" s="1183"/>
      <c r="O4291" s="1183"/>
      <c r="P4291" s="1201"/>
      <c r="Q4291" s="1201"/>
      <c r="R4291" s="1201"/>
      <c r="S4291" s="1201"/>
      <c r="T4291" s="1201"/>
    </row>
    <row r="4292" spans="12:20">
      <c r="L4292" s="1179"/>
      <c r="M4292" s="1183"/>
      <c r="N4292" s="1183"/>
      <c r="O4292" s="1183"/>
      <c r="P4292" s="1201"/>
      <c r="Q4292" s="1201"/>
      <c r="R4292" s="1201"/>
      <c r="S4292" s="1201"/>
      <c r="T4292" s="1201"/>
    </row>
    <row r="4293" spans="12:20">
      <c r="L4293" s="1179"/>
      <c r="M4293" s="1183"/>
      <c r="N4293" s="1183"/>
      <c r="O4293" s="1183"/>
      <c r="P4293" s="1201"/>
      <c r="Q4293" s="1201"/>
      <c r="R4293" s="1201"/>
      <c r="S4293" s="1201"/>
      <c r="T4293" s="1201"/>
    </row>
    <row r="4294" spans="12:20">
      <c r="L4294" s="1179"/>
      <c r="M4294" s="1183"/>
      <c r="N4294" s="1183"/>
      <c r="O4294" s="1183"/>
      <c r="P4294" s="1201"/>
      <c r="Q4294" s="1201"/>
      <c r="R4294" s="1201"/>
      <c r="S4294" s="1201"/>
      <c r="T4294" s="1201"/>
    </row>
    <row r="4295" spans="12:20">
      <c r="L4295" s="1179"/>
      <c r="M4295" s="1183"/>
      <c r="N4295" s="1183"/>
      <c r="O4295" s="1183"/>
      <c r="P4295" s="1201"/>
      <c r="Q4295" s="1201"/>
      <c r="R4295" s="1201"/>
      <c r="S4295" s="1201"/>
      <c r="T4295" s="1201"/>
    </row>
    <row r="4296" spans="12:20">
      <c r="L4296" s="1179"/>
      <c r="M4296" s="1183"/>
      <c r="N4296" s="1183"/>
      <c r="O4296" s="1183"/>
      <c r="P4296" s="1201"/>
      <c r="Q4296" s="1201"/>
      <c r="R4296" s="1201"/>
      <c r="S4296" s="1201"/>
      <c r="T4296" s="1201"/>
    </row>
    <row r="4297" spans="12:20">
      <c r="L4297" s="1179"/>
      <c r="M4297" s="1183"/>
      <c r="N4297" s="1183"/>
      <c r="O4297" s="1183"/>
      <c r="P4297" s="1201"/>
      <c r="Q4297" s="1201"/>
      <c r="R4297" s="1201"/>
      <c r="S4297" s="1201"/>
      <c r="T4297" s="1201"/>
    </row>
    <row r="4298" spans="12:20">
      <c r="L4298" s="1179"/>
      <c r="M4298" s="1183"/>
      <c r="N4298" s="1183"/>
      <c r="O4298" s="1183"/>
      <c r="P4298" s="1201"/>
      <c r="Q4298" s="1201"/>
      <c r="R4298" s="1201"/>
      <c r="S4298" s="1201"/>
      <c r="T4298" s="1201"/>
    </row>
    <row r="4299" spans="12:20">
      <c r="L4299" s="1179"/>
      <c r="M4299" s="1183"/>
      <c r="N4299" s="1183"/>
      <c r="O4299" s="1183"/>
      <c r="P4299" s="1201"/>
      <c r="Q4299" s="1201"/>
      <c r="R4299" s="1201"/>
      <c r="S4299" s="1201"/>
      <c r="T4299" s="1201"/>
    </row>
    <row r="4300" spans="12:20">
      <c r="L4300" s="1179"/>
      <c r="M4300" s="1183"/>
      <c r="N4300" s="1183"/>
      <c r="O4300" s="1183"/>
      <c r="P4300" s="1201"/>
      <c r="Q4300" s="1201"/>
      <c r="R4300" s="1201"/>
      <c r="S4300" s="1201"/>
      <c r="T4300" s="1201"/>
    </row>
    <row r="4301" spans="12:20">
      <c r="L4301" s="1179"/>
      <c r="M4301" s="1183"/>
      <c r="N4301" s="1183"/>
      <c r="O4301" s="1183"/>
      <c r="P4301" s="1201"/>
      <c r="Q4301" s="1201"/>
      <c r="R4301" s="1201"/>
      <c r="S4301" s="1201"/>
      <c r="T4301" s="1201"/>
    </row>
    <row r="4302" spans="12:20">
      <c r="L4302" s="1179"/>
      <c r="M4302" s="1183"/>
      <c r="N4302" s="1183"/>
      <c r="O4302" s="1183"/>
      <c r="P4302" s="1201"/>
      <c r="Q4302" s="1201"/>
      <c r="R4302" s="1201"/>
      <c r="S4302" s="1201"/>
      <c r="T4302" s="1201"/>
    </row>
    <row r="4303" spans="12:20">
      <c r="L4303" s="1179"/>
      <c r="M4303" s="1183"/>
      <c r="N4303" s="1183"/>
      <c r="O4303" s="1183"/>
      <c r="P4303" s="1201"/>
      <c r="Q4303" s="1201"/>
      <c r="R4303" s="1201"/>
      <c r="S4303" s="1201"/>
      <c r="T4303" s="1201"/>
    </row>
    <row r="4304" spans="12:20">
      <c r="L4304" s="1179"/>
      <c r="M4304" s="1183"/>
      <c r="N4304" s="1183"/>
      <c r="O4304" s="1183"/>
      <c r="P4304" s="1201"/>
      <c r="Q4304" s="1201"/>
      <c r="R4304" s="1201"/>
      <c r="S4304" s="1201"/>
      <c r="T4304" s="1201"/>
    </row>
    <row r="4305" spans="12:20">
      <c r="L4305" s="1179"/>
      <c r="M4305" s="1183"/>
      <c r="N4305" s="1183"/>
      <c r="O4305" s="1183"/>
      <c r="P4305" s="1201"/>
      <c r="Q4305" s="1201"/>
      <c r="R4305" s="1201"/>
      <c r="S4305" s="1201"/>
      <c r="T4305" s="1201"/>
    </row>
    <row r="4306" spans="12:20">
      <c r="L4306" s="1179"/>
      <c r="M4306" s="1183"/>
      <c r="N4306" s="1183"/>
      <c r="O4306" s="1183"/>
      <c r="P4306" s="1201"/>
      <c r="Q4306" s="1201"/>
      <c r="R4306" s="1201"/>
      <c r="S4306" s="1201"/>
      <c r="T4306" s="1201"/>
    </row>
    <row r="4307" spans="12:20">
      <c r="L4307" s="1179"/>
      <c r="M4307" s="1183"/>
      <c r="N4307" s="1183"/>
      <c r="O4307" s="1183"/>
      <c r="P4307" s="1201"/>
      <c r="Q4307" s="1201"/>
      <c r="R4307" s="1201"/>
      <c r="S4307" s="1201"/>
      <c r="T4307" s="1201"/>
    </row>
    <row r="4308" spans="12:20">
      <c r="L4308" s="1179"/>
      <c r="M4308" s="1183"/>
      <c r="N4308" s="1183"/>
      <c r="O4308" s="1183"/>
      <c r="P4308" s="1201"/>
      <c r="Q4308" s="1201"/>
      <c r="R4308" s="1201"/>
      <c r="S4308" s="1201"/>
      <c r="T4308" s="1201"/>
    </row>
    <row r="4309" spans="12:20">
      <c r="L4309" s="1179"/>
      <c r="M4309" s="1183"/>
      <c r="N4309" s="1183"/>
      <c r="O4309" s="1183"/>
      <c r="P4309" s="1201"/>
      <c r="Q4309" s="1201"/>
      <c r="R4309" s="1201"/>
      <c r="S4309" s="1201"/>
      <c r="T4309" s="1201"/>
    </row>
    <row r="4310" spans="12:20">
      <c r="L4310" s="1179"/>
      <c r="M4310" s="1183"/>
      <c r="N4310" s="1183"/>
      <c r="O4310" s="1183"/>
      <c r="P4310" s="1201"/>
      <c r="Q4310" s="1201"/>
      <c r="R4310" s="1201"/>
      <c r="S4310" s="1201"/>
      <c r="T4310" s="1201"/>
    </row>
    <row r="4311" spans="12:20">
      <c r="L4311" s="1179"/>
      <c r="M4311" s="1183"/>
      <c r="N4311" s="1183"/>
      <c r="O4311" s="1183"/>
      <c r="P4311" s="1201"/>
      <c r="Q4311" s="1201"/>
      <c r="R4311" s="1201"/>
      <c r="S4311" s="1201"/>
      <c r="T4311" s="1201"/>
    </row>
    <row r="4312" spans="12:20">
      <c r="L4312" s="1179"/>
      <c r="M4312" s="1183"/>
      <c r="N4312" s="1183"/>
      <c r="O4312" s="1183"/>
      <c r="P4312" s="1201"/>
      <c r="Q4312" s="1201"/>
      <c r="R4312" s="1201"/>
      <c r="S4312" s="1201"/>
      <c r="T4312" s="1201"/>
    </row>
    <row r="4313" spans="12:20">
      <c r="L4313" s="1179"/>
      <c r="M4313" s="1183"/>
      <c r="N4313" s="1183"/>
      <c r="O4313" s="1183"/>
      <c r="P4313" s="1201"/>
      <c r="Q4313" s="1201"/>
      <c r="R4313" s="1201"/>
      <c r="S4313" s="1201"/>
      <c r="T4313" s="1201"/>
    </row>
    <row r="4314" spans="12:20">
      <c r="L4314" s="1179"/>
      <c r="M4314" s="1183"/>
      <c r="N4314" s="1183"/>
      <c r="O4314" s="1183"/>
      <c r="P4314" s="1201"/>
      <c r="Q4314" s="1201"/>
      <c r="R4314" s="1201"/>
      <c r="S4314" s="1201"/>
      <c r="T4314" s="1201"/>
    </row>
    <row r="4315" spans="12:20">
      <c r="L4315" s="1179"/>
      <c r="M4315" s="1183"/>
      <c r="N4315" s="1183"/>
      <c r="O4315" s="1183"/>
      <c r="P4315" s="1201"/>
      <c r="Q4315" s="1201"/>
      <c r="R4315" s="1201"/>
      <c r="S4315" s="1201"/>
      <c r="T4315" s="1201"/>
    </row>
    <row r="4316" spans="12:20">
      <c r="L4316" s="1179"/>
      <c r="M4316" s="1183"/>
      <c r="N4316" s="1183"/>
      <c r="O4316" s="1183"/>
      <c r="P4316" s="1201"/>
      <c r="Q4316" s="1201"/>
      <c r="R4316" s="1201"/>
      <c r="S4316" s="1201"/>
      <c r="T4316" s="1201"/>
    </row>
    <row r="4317" spans="12:20">
      <c r="L4317" s="1179"/>
      <c r="M4317" s="1183"/>
      <c r="N4317" s="1183"/>
      <c r="O4317" s="1183"/>
      <c r="P4317" s="1201"/>
      <c r="Q4317" s="1201"/>
      <c r="R4317" s="1201"/>
      <c r="S4317" s="1201"/>
      <c r="T4317" s="1201"/>
    </row>
    <row r="4318" spans="12:20">
      <c r="L4318" s="1179"/>
      <c r="M4318" s="1183"/>
      <c r="N4318" s="1183"/>
      <c r="O4318" s="1183"/>
      <c r="P4318" s="1201"/>
      <c r="Q4318" s="1201"/>
      <c r="R4318" s="1201"/>
      <c r="S4318" s="1201"/>
      <c r="T4318" s="1201"/>
    </row>
    <row r="4319" spans="12:20">
      <c r="L4319" s="1179"/>
      <c r="M4319" s="1183"/>
      <c r="N4319" s="1183"/>
      <c r="O4319" s="1183"/>
      <c r="P4319" s="1201"/>
      <c r="Q4319" s="1201"/>
      <c r="R4319" s="1201"/>
      <c r="S4319" s="1201"/>
      <c r="T4319" s="1201"/>
    </row>
    <row r="4320" spans="12:20">
      <c r="L4320" s="1179"/>
      <c r="M4320" s="1183"/>
      <c r="N4320" s="1183"/>
      <c r="O4320" s="1183"/>
      <c r="P4320" s="1201"/>
      <c r="Q4320" s="1201"/>
      <c r="R4320" s="1201"/>
      <c r="S4320" s="1201"/>
      <c r="T4320" s="1201"/>
    </row>
    <row r="4321" spans="12:20">
      <c r="L4321" s="1179"/>
      <c r="M4321" s="1183"/>
      <c r="N4321" s="1183"/>
      <c r="O4321" s="1183"/>
      <c r="P4321" s="1201"/>
      <c r="Q4321" s="1201"/>
      <c r="R4321" s="1201"/>
      <c r="S4321" s="1201"/>
      <c r="T4321" s="1201"/>
    </row>
    <row r="4322" spans="12:20">
      <c r="L4322" s="1179"/>
      <c r="M4322" s="1183"/>
      <c r="N4322" s="1183"/>
      <c r="O4322" s="1183"/>
      <c r="P4322" s="1201"/>
      <c r="Q4322" s="1201"/>
      <c r="R4322" s="1201"/>
      <c r="S4322" s="1201"/>
      <c r="T4322" s="1201"/>
    </row>
    <row r="4323" spans="12:20">
      <c r="L4323" s="1179"/>
      <c r="M4323" s="1183"/>
      <c r="N4323" s="1183"/>
      <c r="O4323" s="1183"/>
      <c r="P4323" s="1201"/>
      <c r="Q4323" s="1201"/>
      <c r="R4323" s="1201"/>
      <c r="S4323" s="1201"/>
      <c r="T4323" s="1201"/>
    </row>
    <row r="4324" spans="12:20">
      <c r="L4324" s="1179"/>
      <c r="M4324" s="1183"/>
      <c r="N4324" s="1183"/>
      <c r="O4324" s="1183"/>
      <c r="P4324" s="1201"/>
      <c r="Q4324" s="1201"/>
      <c r="R4324" s="1201"/>
      <c r="S4324" s="1201"/>
      <c r="T4324" s="1201"/>
    </row>
    <row r="4325" spans="12:20">
      <c r="L4325" s="1179"/>
      <c r="M4325" s="1183"/>
      <c r="N4325" s="1183"/>
      <c r="O4325" s="1183"/>
      <c r="P4325" s="1201"/>
      <c r="Q4325" s="1201"/>
      <c r="R4325" s="1201"/>
      <c r="S4325" s="1201"/>
      <c r="T4325" s="1201"/>
    </row>
    <row r="4326" spans="12:20">
      <c r="L4326" s="1179"/>
      <c r="M4326" s="1183"/>
      <c r="N4326" s="1183"/>
      <c r="O4326" s="1183"/>
      <c r="P4326" s="1201"/>
      <c r="Q4326" s="1201"/>
      <c r="R4326" s="1201"/>
      <c r="S4326" s="1201"/>
      <c r="T4326" s="1201"/>
    </row>
    <row r="4327" spans="12:20">
      <c r="L4327" s="1179"/>
      <c r="M4327" s="1183"/>
      <c r="N4327" s="1183"/>
      <c r="O4327" s="1183"/>
      <c r="P4327" s="1201"/>
      <c r="Q4327" s="1201"/>
      <c r="R4327" s="1201"/>
      <c r="S4327" s="1201"/>
      <c r="T4327" s="1201"/>
    </row>
    <row r="4328" spans="12:20">
      <c r="L4328" s="1179"/>
      <c r="M4328" s="1183"/>
      <c r="N4328" s="1183"/>
      <c r="O4328" s="1183"/>
      <c r="P4328" s="1201"/>
      <c r="Q4328" s="1201"/>
      <c r="R4328" s="1201"/>
      <c r="S4328" s="1201"/>
      <c r="T4328" s="1201"/>
    </row>
    <row r="4329" spans="12:20">
      <c r="L4329" s="1179"/>
      <c r="M4329" s="1183"/>
      <c r="N4329" s="1183"/>
      <c r="O4329" s="1183"/>
      <c r="P4329" s="1201"/>
      <c r="Q4329" s="1201"/>
      <c r="R4329" s="1201"/>
      <c r="S4329" s="1201"/>
      <c r="T4329" s="1201"/>
    </row>
    <row r="4330" spans="12:20">
      <c r="L4330" s="1179"/>
      <c r="M4330" s="1183"/>
      <c r="N4330" s="1183"/>
      <c r="O4330" s="1183"/>
      <c r="P4330" s="1201"/>
      <c r="Q4330" s="1201"/>
      <c r="R4330" s="1201"/>
      <c r="S4330" s="1201"/>
      <c r="T4330" s="1201"/>
    </row>
    <row r="4331" spans="12:20">
      <c r="L4331" s="1179"/>
      <c r="M4331" s="1183"/>
      <c r="N4331" s="1183"/>
      <c r="O4331" s="1183"/>
      <c r="P4331" s="1201"/>
      <c r="Q4331" s="1201"/>
      <c r="R4331" s="1201"/>
      <c r="S4331" s="1201"/>
      <c r="T4331" s="1201"/>
    </row>
    <row r="4332" spans="12:20">
      <c r="L4332" s="1179"/>
      <c r="M4332" s="1183"/>
      <c r="N4332" s="1183"/>
      <c r="O4332" s="1183"/>
      <c r="P4332" s="1201"/>
      <c r="Q4332" s="1201"/>
      <c r="R4332" s="1201"/>
      <c r="S4332" s="1201"/>
      <c r="T4332" s="1201"/>
    </row>
    <row r="4333" spans="12:20">
      <c r="L4333" s="1179"/>
      <c r="M4333" s="1183"/>
      <c r="N4333" s="1183"/>
      <c r="O4333" s="1183"/>
      <c r="P4333" s="1201"/>
      <c r="Q4333" s="1201"/>
      <c r="R4333" s="1201"/>
      <c r="S4333" s="1201"/>
      <c r="T4333" s="1201"/>
    </row>
    <row r="4334" spans="12:20">
      <c r="L4334" s="1179"/>
      <c r="M4334" s="1183"/>
      <c r="N4334" s="1183"/>
      <c r="O4334" s="1183"/>
      <c r="P4334" s="1201"/>
      <c r="Q4334" s="1201"/>
      <c r="R4334" s="1201"/>
      <c r="S4334" s="1201"/>
      <c r="T4334" s="1201"/>
    </row>
    <row r="4335" spans="12:20">
      <c r="L4335" s="1179"/>
      <c r="M4335" s="1183"/>
      <c r="N4335" s="1183"/>
      <c r="O4335" s="1183"/>
      <c r="P4335" s="1201"/>
      <c r="Q4335" s="1201"/>
      <c r="R4335" s="1201"/>
      <c r="S4335" s="1201"/>
      <c r="T4335" s="1201"/>
    </row>
    <row r="4336" spans="12:20">
      <c r="L4336" s="1179"/>
      <c r="M4336" s="1183"/>
      <c r="N4336" s="1183"/>
      <c r="O4336" s="1183"/>
      <c r="P4336" s="1201"/>
      <c r="Q4336" s="1201"/>
      <c r="R4336" s="1201"/>
      <c r="S4336" s="1201"/>
      <c r="T4336" s="1201"/>
    </row>
    <row r="4337" spans="12:20">
      <c r="L4337" s="1179"/>
      <c r="M4337" s="1183"/>
      <c r="N4337" s="1183"/>
      <c r="O4337" s="1183"/>
      <c r="P4337" s="1201"/>
      <c r="Q4337" s="1201"/>
      <c r="R4337" s="1201"/>
      <c r="S4337" s="1201"/>
      <c r="T4337" s="1201"/>
    </row>
    <row r="4338" spans="12:20">
      <c r="L4338" s="1179"/>
      <c r="M4338" s="1183"/>
      <c r="N4338" s="1183"/>
      <c r="O4338" s="1183"/>
      <c r="P4338" s="1201"/>
      <c r="Q4338" s="1201"/>
      <c r="R4338" s="1201"/>
      <c r="S4338" s="1201"/>
      <c r="T4338" s="1201"/>
    </row>
    <row r="4339" spans="12:20">
      <c r="L4339" s="1179"/>
      <c r="M4339" s="1183"/>
      <c r="N4339" s="1183"/>
      <c r="O4339" s="1183"/>
      <c r="P4339" s="1201"/>
      <c r="Q4339" s="1201"/>
      <c r="R4339" s="1201"/>
      <c r="S4339" s="1201"/>
      <c r="T4339" s="1201"/>
    </row>
    <row r="4340" spans="12:20">
      <c r="L4340" s="1179"/>
      <c r="M4340" s="1183"/>
      <c r="N4340" s="1183"/>
      <c r="O4340" s="1183"/>
      <c r="P4340" s="1201"/>
      <c r="Q4340" s="1201"/>
      <c r="R4340" s="1201"/>
      <c r="S4340" s="1201"/>
      <c r="T4340" s="1201"/>
    </row>
    <row r="4341" spans="12:20">
      <c r="L4341" s="1179"/>
      <c r="M4341" s="1183"/>
      <c r="N4341" s="1183"/>
      <c r="O4341" s="1183"/>
      <c r="P4341" s="1201"/>
      <c r="Q4341" s="1201"/>
      <c r="R4341" s="1201"/>
      <c r="S4341" s="1201"/>
      <c r="T4341" s="1201"/>
    </row>
    <row r="4342" spans="12:20">
      <c r="L4342" s="1179"/>
      <c r="M4342" s="1183"/>
      <c r="N4342" s="1183"/>
      <c r="O4342" s="1183"/>
      <c r="P4342" s="1201"/>
      <c r="Q4342" s="1201"/>
      <c r="R4342" s="1201"/>
      <c r="S4342" s="1201"/>
      <c r="T4342" s="1201"/>
    </row>
    <row r="4343" spans="12:20">
      <c r="L4343" s="1179"/>
      <c r="M4343" s="1183"/>
      <c r="N4343" s="1183"/>
      <c r="O4343" s="1183"/>
      <c r="P4343" s="1201"/>
      <c r="Q4343" s="1201"/>
      <c r="R4343" s="1201"/>
      <c r="S4343" s="1201"/>
      <c r="T4343" s="1201"/>
    </row>
    <row r="4344" spans="12:20">
      <c r="L4344" s="1179"/>
      <c r="M4344" s="1183"/>
      <c r="N4344" s="1183"/>
      <c r="O4344" s="1183"/>
      <c r="P4344" s="1201"/>
      <c r="Q4344" s="1201"/>
      <c r="R4344" s="1201"/>
      <c r="S4344" s="1201"/>
      <c r="T4344" s="1201"/>
    </row>
    <row r="4345" spans="12:20">
      <c r="L4345" s="1179"/>
      <c r="M4345" s="1183"/>
      <c r="N4345" s="1183"/>
      <c r="O4345" s="1183"/>
      <c r="P4345" s="1201"/>
      <c r="Q4345" s="1201"/>
      <c r="R4345" s="1201"/>
      <c r="S4345" s="1201"/>
      <c r="T4345" s="1201"/>
    </row>
    <row r="4346" spans="12:20">
      <c r="L4346" s="1179"/>
      <c r="M4346" s="1183"/>
      <c r="N4346" s="1183"/>
      <c r="O4346" s="1183"/>
      <c r="P4346" s="1201"/>
      <c r="Q4346" s="1201"/>
      <c r="R4346" s="1201"/>
      <c r="S4346" s="1201"/>
      <c r="T4346" s="1201"/>
    </row>
    <row r="4347" spans="12:20">
      <c r="L4347" s="1179"/>
      <c r="M4347" s="1183"/>
      <c r="N4347" s="1183"/>
      <c r="O4347" s="1183"/>
      <c r="P4347" s="1201"/>
      <c r="Q4347" s="1201"/>
      <c r="R4347" s="1201"/>
      <c r="S4347" s="1201"/>
      <c r="T4347" s="1201"/>
    </row>
    <row r="4348" spans="12:20">
      <c r="L4348" s="1179"/>
      <c r="M4348" s="1183"/>
      <c r="N4348" s="1183"/>
      <c r="O4348" s="1183"/>
      <c r="P4348" s="1201"/>
      <c r="Q4348" s="1201"/>
      <c r="R4348" s="1201"/>
      <c r="S4348" s="1201"/>
      <c r="T4348" s="1201"/>
    </row>
    <row r="4349" spans="12:20">
      <c r="L4349" s="1179"/>
      <c r="M4349" s="1183"/>
      <c r="N4349" s="1183"/>
      <c r="O4349" s="1183"/>
      <c r="P4349" s="1201"/>
      <c r="Q4349" s="1201"/>
      <c r="R4349" s="1201"/>
      <c r="S4349" s="1201"/>
      <c r="T4349" s="1201"/>
    </row>
    <row r="4350" spans="12:20">
      <c r="L4350" s="1179"/>
      <c r="M4350" s="1183"/>
      <c r="N4350" s="1183"/>
      <c r="O4350" s="1183"/>
      <c r="P4350" s="1201"/>
      <c r="Q4350" s="1201"/>
      <c r="R4350" s="1201"/>
      <c r="S4350" s="1201"/>
      <c r="T4350" s="1201"/>
    </row>
    <row r="4351" spans="12:20">
      <c r="L4351" s="1179"/>
      <c r="M4351" s="1183"/>
      <c r="N4351" s="1183"/>
      <c r="O4351" s="1183"/>
      <c r="P4351" s="1201"/>
      <c r="Q4351" s="1201"/>
      <c r="R4351" s="1201"/>
      <c r="S4351" s="1201"/>
      <c r="T4351" s="1201"/>
    </row>
    <row r="4352" spans="12:20">
      <c r="L4352" s="1179"/>
      <c r="M4352" s="1183"/>
      <c r="N4352" s="1183"/>
      <c r="O4352" s="1183"/>
      <c r="P4352" s="1201"/>
      <c r="Q4352" s="1201"/>
      <c r="R4352" s="1201"/>
      <c r="S4352" s="1201"/>
      <c r="T4352" s="1201"/>
    </row>
    <row r="4353" spans="12:20">
      <c r="L4353" s="1179"/>
      <c r="M4353" s="1183"/>
      <c r="N4353" s="1183"/>
      <c r="O4353" s="1183"/>
      <c r="P4353" s="1201"/>
      <c r="Q4353" s="1201"/>
      <c r="R4353" s="1201"/>
      <c r="S4353" s="1201"/>
      <c r="T4353" s="1201"/>
    </row>
    <row r="4354" spans="12:20">
      <c r="L4354" s="1179"/>
      <c r="M4354" s="1183"/>
      <c r="N4354" s="1183"/>
      <c r="O4354" s="1183"/>
      <c r="P4354" s="1201"/>
      <c r="Q4354" s="1201"/>
      <c r="R4354" s="1201"/>
      <c r="S4354" s="1201"/>
      <c r="T4354" s="1201"/>
    </row>
    <row r="4355" spans="12:20">
      <c r="L4355" s="1179"/>
      <c r="M4355" s="1183"/>
      <c r="N4355" s="1183"/>
      <c r="O4355" s="1183"/>
      <c r="P4355" s="1201"/>
      <c r="Q4355" s="1201"/>
      <c r="R4355" s="1201"/>
      <c r="S4355" s="1201"/>
      <c r="T4355" s="1201"/>
    </row>
    <row r="4356" spans="12:20">
      <c r="L4356" s="1179"/>
      <c r="M4356" s="1183"/>
      <c r="N4356" s="1183"/>
      <c r="O4356" s="1183"/>
      <c r="P4356" s="1201"/>
      <c r="Q4356" s="1201"/>
      <c r="R4356" s="1201"/>
      <c r="S4356" s="1201"/>
      <c r="T4356" s="1201"/>
    </row>
    <row r="4357" spans="12:20">
      <c r="L4357" s="1179"/>
      <c r="M4357" s="1183"/>
      <c r="N4357" s="1183"/>
      <c r="O4357" s="1183"/>
      <c r="P4357" s="1201"/>
      <c r="Q4357" s="1201"/>
      <c r="R4357" s="1201"/>
      <c r="S4357" s="1201"/>
      <c r="T4357" s="1201"/>
    </row>
    <row r="4358" spans="12:20">
      <c r="L4358" s="1179"/>
      <c r="M4358" s="1183"/>
      <c r="N4358" s="1183"/>
      <c r="O4358" s="1183"/>
      <c r="P4358" s="1201"/>
      <c r="Q4358" s="1201"/>
      <c r="R4358" s="1201"/>
      <c r="S4358" s="1201"/>
      <c r="T4358" s="1201"/>
    </row>
    <row r="4359" spans="12:20">
      <c r="L4359" s="1179"/>
      <c r="M4359" s="1183"/>
      <c r="N4359" s="1183"/>
      <c r="O4359" s="1183"/>
      <c r="P4359" s="1201"/>
      <c r="Q4359" s="1201"/>
      <c r="R4359" s="1201"/>
      <c r="S4359" s="1201"/>
      <c r="T4359" s="1201"/>
    </row>
    <row r="4360" spans="12:20">
      <c r="L4360" s="1179"/>
      <c r="M4360" s="1183"/>
      <c r="N4360" s="1183"/>
      <c r="O4360" s="1183"/>
      <c r="P4360" s="1201"/>
      <c r="Q4360" s="1201"/>
      <c r="R4360" s="1201"/>
      <c r="S4360" s="1201"/>
      <c r="T4360" s="1201"/>
    </row>
    <row r="4361" spans="12:20">
      <c r="L4361" s="1179"/>
      <c r="M4361" s="1183"/>
      <c r="N4361" s="1183"/>
      <c r="O4361" s="1183"/>
      <c r="P4361" s="1201"/>
      <c r="Q4361" s="1201"/>
      <c r="R4361" s="1201"/>
      <c r="S4361" s="1201"/>
      <c r="T4361" s="1201"/>
    </row>
    <row r="4362" spans="12:20">
      <c r="L4362" s="1179"/>
      <c r="M4362" s="1183"/>
      <c r="N4362" s="1183"/>
      <c r="O4362" s="1183"/>
      <c r="P4362" s="1201"/>
      <c r="Q4362" s="1201"/>
      <c r="R4362" s="1201"/>
      <c r="S4362" s="1201"/>
      <c r="T4362" s="1201"/>
    </row>
    <row r="4363" spans="12:20">
      <c r="L4363" s="1179"/>
      <c r="M4363" s="1183"/>
      <c r="N4363" s="1183"/>
      <c r="O4363" s="1183"/>
      <c r="P4363" s="1201"/>
      <c r="Q4363" s="1201"/>
      <c r="R4363" s="1201"/>
      <c r="S4363" s="1201"/>
      <c r="T4363" s="1201"/>
    </row>
    <row r="4364" spans="12:20">
      <c r="L4364" s="1179"/>
      <c r="M4364" s="1183"/>
      <c r="N4364" s="1183"/>
      <c r="O4364" s="1183"/>
      <c r="P4364" s="1201"/>
      <c r="Q4364" s="1201"/>
      <c r="R4364" s="1201"/>
      <c r="S4364" s="1201"/>
      <c r="T4364" s="1201"/>
    </row>
    <row r="4365" spans="12:20">
      <c r="L4365" s="1179"/>
      <c r="M4365" s="1183"/>
      <c r="N4365" s="1183"/>
      <c r="O4365" s="1183"/>
      <c r="P4365" s="1201"/>
      <c r="Q4365" s="1201"/>
      <c r="R4365" s="1201"/>
      <c r="S4365" s="1201"/>
      <c r="T4365" s="1201"/>
    </row>
    <row r="4366" spans="12:20">
      <c r="L4366" s="1179"/>
      <c r="M4366" s="1183"/>
      <c r="N4366" s="1183"/>
      <c r="O4366" s="1183"/>
      <c r="P4366" s="1201"/>
      <c r="Q4366" s="1201"/>
      <c r="R4366" s="1201"/>
      <c r="S4366" s="1201"/>
      <c r="T4366" s="1201"/>
    </row>
    <row r="4367" spans="12:20">
      <c r="L4367" s="1179"/>
      <c r="M4367" s="1183"/>
      <c r="N4367" s="1183"/>
      <c r="O4367" s="1183"/>
      <c r="P4367" s="1201"/>
      <c r="Q4367" s="1201"/>
      <c r="R4367" s="1201"/>
      <c r="S4367" s="1201"/>
      <c r="T4367" s="1201"/>
    </row>
    <row r="4368" spans="12:20">
      <c r="L4368" s="1179"/>
      <c r="M4368" s="1183"/>
      <c r="N4368" s="1183"/>
      <c r="O4368" s="1183"/>
      <c r="P4368" s="1201"/>
      <c r="Q4368" s="1201"/>
      <c r="R4368" s="1201"/>
      <c r="S4368" s="1201"/>
      <c r="T4368" s="1201"/>
    </row>
    <row r="4369" spans="12:20">
      <c r="L4369" s="1179"/>
      <c r="M4369" s="1183"/>
      <c r="N4369" s="1183"/>
      <c r="O4369" s="1183"/>
      <c r="P4369" s="1201"/>
      <c r="Q4369" s="1201"/>
      <c r="R4369" s="1201"/>
      <c r="S4369" s="1201"/>
      <c r="T4369" s="1201"/>
    </row>
    <row r="4370" spans="12:20">
      <c r="L4370" s="1179"/>
      <c r="M4370" s="1183"/>
      <c r="N4370" s="1183"/>
      <c r="O4370" s="1183"/>
      <c r="P4370" s="1201"/>
      <c r="Q4370" s="1201"/>
      <c r="R4370" s="1201"/>
      <c r="S4370" s="1201"/>
      <c r="T4370" s="1201"/>
    </row>
    <row r="4371" spans="12:20">
      <c r="L4371" s="1179"/>
      <c r="M4371" s="1183"/>
      <c r="N4371" s="1183"/>
      <c r="O4371" s="1183"/>
      <c r="P4371" s="1201"/>
      <c r="Q4371" s="1201"/>
      <c r="R4371" s="1201"/>
      <c r="S4371" s="1201"/>
      <c r="T4371" s="1201"/>
    </row>
    <row r="4372" spans="12:20">
      <c r="L4372" s="1179"/>
      <c r="M4372" s="1183"/>
      <c r="N4372" s="1183"/>
      <c r="O4372" s="1183"/>
      <c r="P4372" s="1201"/>
      <c r="Q4372" s="1201"/>
      <c r="R4372" s="1201"/>
      <c r="S4372" s="1201"/>
      <c r="T4372" s="1201"/>
    </row>
    <row r="4373" spans="12:20">
      <c r="L4373" s="1179"/>
      <c r="M4373" s="1183"/>
      <c r="N4373" s="1183"/>
      <c r="O4373" s="1183"/>
      <c r="P4373" s="1201"/>
      <c r="Q4373" s="1201"/>
      <c r="R4373" s="1201"/>
      <c r="S4373" s="1201"/>
      <c r="T4373" s="1201"/>
    </row>
    <row r="4374" spans="12:20">
      <c r="L4374" s="1179"/>
      <c r="M4374" s="1183"/>
      <c r="N4374" s="1183"/>
      <c r="O4374" s="1183"/>
      <c r="P4374" s="1201"/>
      <c r="Q4374" s="1201"/>
      <c r="R4374" s="1201"/>
      <c r="S4374" s="1201"/>
      <c r="T4374" s="1201"/>
    </row>
    <row r="4375" spans="12:20">
      <c r="L4375" s="1179"/>
      <c r="M4375" s="1183"/>
      <c r="N4375" s="1183"/>
      <c r="O4375" s="1183"/>
      <c r="P4375" s="1201"/>
      <c r="Q4375" s="1201"/>
      <c r="R4375" s="1201"/>
      <c r="S4375" s="1201"/>
      <c r="T4375" s="1201"/>
    </row>
    <row r="4376" spans="12:20">
      <c r="L4376" s="1179"/>
      <c r="M4376" s="1183"/>
      <c r="N4376" s="1183"/>
      <c r="O4376" s="1183"/>
      <c r="P4376" s="1201"/>
      <c r="Q4376" s="1201"/>
      <c r="R4376" s="1201"/>
      <c r="S4376" s="1201"/>
      <c r="T4376" s="1201"/>
    </row>
    <row r="4377" spans="12:20">
      <c r="L4377" s="1179"/>
      <c r="M4377" s="1183"/>
      <c r="N4377" s="1183"/>
      <c r="O4377" s="1183"/>
      <c r="P4377" s="1201"/>
      <c r="Q4377" s="1201"/>
      <c r="R4377" s="1201"/>
      <c r="S4377" s="1201"/>
      <c r="T4377" s="1201"/>
    </row>
    <row r="4378" spans="12:20">
      <c r="L4378" s="1179"/>
      <c r="M4378" s="1183"/>
      <c r="N4378" s="1183"/>
      <c r="O4378" s="1183"/>
      <c r="P4378" s="1201"/>
      <c r="Q4378" s="1201"/>
      <c r="R4378" s="1201"/>
      <c r="S4378" s="1201"/>
      <c r="T4378" s="1201"/>
    </row>
    <row r="4379" spans="12:20">
      <c r="L4379" s="1179"/>
      <c r="M4379" s="1183"/>
      <c r="N4379" s="1183"/>
      <c r="O4379" s="1183"/>
      <c r="P4379" s="1201"/>
      <c r="Q4379" s="1201"/>
      <c r="R4379" s="1201"/>
      <c r="S4379" s="1201"/>
      <c r="T4379" s="1201"/>
    </row>
    <row r="4380" spans="12:20">
      <c r="L4380" s="1179"/>
      <c r="M4380" s="1183"/>
      <c r="N4380" s="1183"/>
      <c r="O4380" s="1183"/>
      <c r="P4380" s="1201"/>
      <c r="Q4380" s="1201"/>
      <c r="R4380" s="1201"/>
      <c r="S4380" s="1201"/>
      <c r="T4380" s="1201"/>
    </row>
    <row r="4381" spans="12:20">
      <c r="L4381" s="1179"/>
      <c r="M4381" s="1183"/>
      <c r="N4381" s="1183"/>
      <c r="O4381" s="1183"/>
      <c r="P4381" s="1201"/>
      <c r="Q4381" s="1201"/>
      <c r="R4381" s="1201"/>
      <c r="S4381" s="1201"/>
      <c r="T4381" s="1201"/>
    </row>
    <row r="4382" spans="12:20">
      <c r="L4382" s="1179"/>
      <c r="M4382" s="1183"/>
      <c r="N4382" s="1183"/>
      <c r="O4382" s="1183"/>
      <c r="P4382" s="1201"/>
      <c r="Q4382" s="1201"/>
      <c r="R4382" s="1201"/>
      <c r="S4382" s="1201"/>
      <c r="T4382" s="1201"/>
    </row>
    <row r="4383" spans="12:20">
      <c r="L4383" s="1179"/>
      <c r="M4383" s="1183"/>
      <c r="N4383" s="1183"/>
      <c r="O4383" s="1183"/>
      <c r="P4383" s="1201"/>
      <c r="Q4383" s="1201"/>
      <c r="R4383" s="1201"/>
      <c r="S4383" s="1201"/>
      <c r="T4383" s="1201"/>
    </row>
    <row r="4384" spans="12:20">
      <c r="L4384" s="1179"/>
      <c r="M4384" s="1183"/>
      <c r="N4384" s="1183"/>
      <c r="O4384" s="1183"/>
      <c r="P4384" s="1201"/>
      <c r="Q4384" s="1201"/>
      <c r="R4384" s="1201"/>
      <c r="S4384" s="1201"/>
      <c r="T4384" s="1201"/>
    </row>
    <row r="4385" spans="12:20">
      <c r="L4385" s="1179"/>
      <c r="M4385" s="1183"/>
      <c r="N4385" s="1183"/>
      <c r="O4385" s="1183"/>
      <c r="P4385" s="1201"/>
      <c r="Q4385" s="1201"/>
      <c r="R4385" s="1201"/>
      <c r="S4385" s="1201"/>
      <c r="T4385" s="1201"/>
    </row>
    <row r="4386" spans="12:20">
      <c r="L4386" s="1179"/>
      <c r="M4386" s="1183"/>
      <c r="N4386" s="1183"/>
      <c r="O4386" s="1183"/>
      <c r="P4386" s="1201"/>
      <c r="Q4386" s="1201"/>
      <c r="R4386" s="1201"/>
      <c r="S4386" s="1201"/>
      <c r="T4386" s="1201"/>
    </row>
    <row r="4387" spans="12:20">
      <c r="L4387" s="1179"/>
      <c r="M4387" s="1183"/>
      <c r="N4387" s="1183"/>
      <c r="O4387" s="1183"/>
      <c r="P4387" s="1201"/>
      <c r="Q4387" s="1201"/>
      <c r="R4387" s="1201"/>
      <c r="S4387" s="1201"/>
      <c r="T4387" s="1201"/>
    </row>
    <row r="4388" spans="12:20">
      <c r="L4388" s="1179"/>
      <c r="M4388" s="1183"/>
      <c r="N4388" s="1183"/>
      <c r="O4388" s="1183"/>
      <c r="P4388" s="1201"/>
      <c r="Q4388" s="1201"/>
      <c r="R4388" s="1201"/>
      <c r="S4388" s="1201"/>
      <c r="T4388" s="1201"/>
    </row>
    <row r="4389" spans="12:20">
      <c r="L4389" s="1179"/>
      <c r="M4389" s="1183"/>
      <c r="N4389" s="1183"/>
      <c r="O4389" s="1183"/>
      <c r="P4389" s="1201"/>
      <c r="Q4389" s="1201"/>
      <c r="R4389" s="1201"/>
      <c r="S4389" s="1201"/>
      <c r="T4389" s="1201"/>
    </row>
    <row r="4390" spans="12:20">
      <c r="L4390" s="1179"/>
      <c r="M4390" s="1183"/>
      <c r="N4390" s="1183"/>
      <c r="O4390" s="1183"/>
      <c r="P4390" s="1201"/>
      <c r="Q4390" s="1201"/>
      <c r="R4390" s="1201"/>
      <c r="S4390" s="1201"/>
      <c r="T4390" s="1201"/>
    </row>
    <row r="4391" spans="12:20">
      <c r="L4391" s="1179"/>
      <c r="M4391" s="1183"/>
      <c r="N4391" s="1183"/>
      <c r="O4391" s="1183"/>
      <c r="P4391" s="1201"/>
      <c r="Q4391" s="1201"/>
      <c r="R4391" s="1201"/>
      <c r="S4391" s="1201"/>
      <c r="T4391" s="1201"/>
    </row>
    <row r="4392" spans="12:20">
      <c r="L4392" s="1179"/>
      <c r="M4392" s="1183"/>
      <c r="N4392" s="1183"/>
      <c r="O4392" s="1183"/>
      <c r="P4392" s="1201"/>
      <c r="Q4392" s="1201"/>
      <c r="R4392" s="1201"/>
      <c r="S4392" s="1201"/>
      <c r="T4392" s="1201"/>
    </row>
    <row r="4393" spans="12:20">
      <c r="L4393" s="1179"/>
      <c r="M4393" s="1183"/>
      <c r="N4393" s="1183"/>
      <c r="O4393" s="1183"/>
      <c r="P4393" s="1201"/>
      <c r="Q4393" s="1201"/>
      <c r="R4393" s="1201"/>
      <c r="S4393" s="1201"/>
      <c r="T4393" s="1201"/>
    </row>
    <row r="4394" spans="12:20">
      <c r="L4394" s="1179"/>
      <c r="M4394" s="1183"/>
      <c r="N4394" s="1183"/>
      <c r="O4394" s="1183"/>
      <c r="P4394" s="1201"/>
      <c r="Q4394" s="1201"/>
      <c r="R4394" s="1201"/>
      <c r="S4394" s="1201"/>
      <c r="T4394" s="1201"/>
    </row>
    <row r="4395" spans="12:20">
      <c r="L4395" s="1179"/>
      <c r="M4395" s="1183"/>
      <c r="N4395" s="1183"/>
      <c r="O4395" s="1183"/>
      <c r="P4395" s="1201"/>
      <c r="Q4395" s="1201"/>
      <c r="R4395" s="1201"/>
      <c r="S4395" s="1201"/>
      <c r="T4395" s="1201"/>
    </row>
    <row r="4396" spans="12:20">
      <c r="L4396" s="1179"/>
      <c r="M4396" s="1183"/>
      <c r="N4396" s="1183"/>
      <c r="O4396" s="1183"/>
      <c r="P4396" s="1201"/>
      <c r="Q4396" s="1201"/>
      <c r="R4396" s="1201"/>
      <c r="S4396" s="1201"/>
      <c r="T4396" s="1201"/>
    </row>
    <row r="4397" spans="12:20">
      <c r="L4397" s="1179"/>
      <c r="M4397" s="1183"/>
      <c r="N4397" s="1183"/>
      <c r="O4397" s="1183"/>
      <c r="P4397" s="1201"/>
      <c r="Q4397" s="1201"/>
      <c r="R4397" s="1201"/>
      <c r="S4397" s="1201"/>
      <c r="T4397" s="1201"/>
    </row>
    <row r="4398" spans="12:20">
      <c r="L4398" s="1179"/>
      <c r="M4398" s="1183"/>
      <c r="N4398" s="1183"/>
      <c r="O4398" s="1183"/>
      <c r="P4398" s="1201"/>
      <c r="Q4398" s="1201"/>
      <c r="R4398" s="1201"/>
      <c r="S4398" s="1201"/>
      <c r="T4398" s="1201"/>
    </row>
    <row r="4399" spans="12:20">
      <c r="L4399" s="1179"/>
      <c r="M4399" s="1183"/>
      <c r="N4399" s="1183"/>
      <c r="O4399" s="1183"/>
      <c r="P4399" s="1201"/>
      <c r="Q4399" s="1201"/>
      <c r="R4399" s="1201"/>
      <c r="S4399" s="1201"/>
      <c r="T4399" s="1201"/>
    </row>
    <row r="4400" spans="12:20">
      <c r="L4400" s="1179"/>
      <c r="M4400" s="1183"/>
      <c r="N4400" s="1183"/>
      <c r="O4400" s="1183"/>
      <c r="P4400" s="1201"/>
      <c r="Q4400" s="1201"/>
      <c r="R4400" s="1201"/>
      <c r="S4400" s="1201"/>
      <c r="T4400" s="1201"/>
    </row>
    <row r="4401" spans="12:20">
      <c r="L4401" s="1179"/>
      <c r="M4401" s="1183"/>
      <c r="N4401" s="1183"/>
      <c r="O4401" s="1183"/>
      <c r="P4401" s="1201"/>
      <c r="Q4401" s="1201"/>
      <c r="R4401" s="1201"/>
      <c r="S4401" s="1201"/>
      <c r="T4401" s="1201"/>
    </row>
    <row r="4402" spans="12:20">
      <c r="L4402" s="1179"/>
      <c r="M4402" s="1183"/>
      <c r="N4402" s="1183"/>
      <c r="O4402" s="1183"/>
      <c r="P4402" s="1201"/>
      <c r="Q4402" s="1201"/>
      <c r="R4402" s="1201"/>
      <c r="S4402" s="1201"/>
      <c r="T4402" s="1201"/>
    </row>
    <row r="4403" spans="12:20">
      <c r="L4403" s="1179"/>
      <c r="M4403" s="1183"/>
      <c r="N4403" s="1183"/>
      <c r="O4403" s="1183"/>
      <c r="P4403" s="1201"/>
      <c r="Q4403" s="1201"/>
      <c r="R4403" s="1201"/>
      <c r="S4403" s="1201"/>
      <c r="T4403" s="1201"/>
    </row>
    <row r="4404" spans="12:20">
      <c r="L4404" s="1179"/>
      <c r="M4404" s="1183"/>
      <c r="N4404" s="1183"/>
      <c r="O4404" s="1183"/>
      <c r="P4404" s="1201"/>
      <c r="Q4404" s="1201"/>
      <c r="R4404" s="1201"/>
      <c r="S4404" s="1201"/>
      <c r="T4404" s="1201"/>
    </row>
    <row r="4405" spans="12:20">
      <c r="L4405" s="1179"/>
      <c r="M4405" s="1183"/>
      <c r="N4405" s="1183"/>
      <c r="O4405" s="1183"/>
      <c r="P4405" s="1201"/>
      <c r="Q4405" s="1201"/>
      <c r="R4405" s="1201"/>
      <c r="S4405" s="1201"/>
      <c r="T4405" s="1201"/>
    </row>
    <row r="4406" spans="12:20">
      <c r="L4406" s="1179"/>
      <c r="M4406" s="1183"/>
      <c r="N4406" s="1183"/>
      <c r="O4406" s="1183"/>
      <c r="P4406" s="1201"/>
      <c r="Q4406" s="1201"/>
      <c r="R4406" s="1201"/>
      <c r="S4406" s="1201"/>
      <c r="T4406" s="1201"/>
    </row>
    <row r="4407" spans="12:20">
      <c r="L4407" s="1179"/>
      <c r="M4407" s="1183"/>
      <c r="N4407" s="1183"/>
      <c r="O4407" s="1183"/>
      <c r="P4407" s="1201"/>
      <c r="Q4407" s="1201"/>
      <c r="R4407" s="1201"/>
      <c r="S4407" s="1201"/>
      <c r="T4407" s="1201"/>
    </row>
    <row r="4408" spans="12:20">
      <c r="L4408" s="1179"/>
      <c r="M4408" s="1183"/>
      <c r="N4408" s="1183"/>
      <c r="O4408" s="1183"/>
      <c r="P4408" s="1201"/>
      <c r="Q4408" s="1201"/>
      <c r="R4408" s="1201"/>
      <c r="S4408" s="1201"/>
      <c r="T4408" s="1201"/>
    </row>
    <row r="4409" spans="12:20">
      <c r="L4409" s="1179"/>
      <c r="M4409" s="1183"/>
      <c r="N4409" s="1183"/>
      <c r="O4409" s="1183"/>
      <c r="P4409" s="1201"/>
      <c r="Q4409" s="1201"/>
      <c r="R4409" s="1201"/>
      <c r="S4409" s="1201"/>
      <c r="T4409" s="1201"/>
    </row>
    <row r="4410" spans="12:20">
      <c r="L4410" s="1179"/>
      <c r="M4410" s="1183"/>
      <c r="N4410" s="1183"/>
      <c r="O4410" s="1183"/>
      <c r="P4410" s="1201"/>
      <c r="Q4410" s="1201"/>
      <c r="R4410" s="1201"/>
      <c r="S4410" s="1201"/>
      <c r="T4410" s="1201"/>
    </row>
    <row r="4411" spans="12:20">
      <c r="L4411" s="1179"/>
      <c r="M4411" s="1183"/>
      <c r="N4411" s="1183"/>
      <c r="O4411" s="1183"/>
      <c r="P4411" s="1201"/>
      <c r="Q4411" s="1201"/>
      <c r="R4411" s="1201"/>
      <c r="S4411" s="1201"/>
      <c r="T4411" s="1201"/>
    </row>
    <row r="4412" spans="12:20">
      <c r="L4412" s="1179"/>
      <c r="M4412" s="1183"/>
      <c r="N4412" s="1183"/>
      <c r="O4412" s="1183"/>
      <c r="P4412" s="1201"/>
      <c r="Q4412" s="1201"/>
      <c r="R4412" s="1201"/>
      <c r="S4412" s="1201"/>
      <c r="T4412" s="1201"/>
    </row>
    <row r="4413" spans="12:20">
      <c r="L4413" s="1179"/>
      <c r="M4413" s="1183"/>
      <c r="N4413" s="1183"/>
      <c r="O4413" s="1183"/>
      <c r="P4413" s="1201"/>
      <c r="Q4413" s="1201"/>
      <c r="R4413" s="1201"/>
      <c r="S4413" s="1201"/>
      <c r="T4413" s="1201"/>
    </row>
    <row r="4414" spans="12:20">
      <c r="L4414" s="1179"/>
      <c r="M4414" s="1183"/>
      <c r="N4414" s="1183"/>
      <c r="O4414" s="1183"/>
      <c r="P4414" s="1201"/>
      <c r="Q4414" s="1201"/>
      <c r="R4414" s="1201"/>
      <c r="S4414" s="1201"/>
      <c r="T4414" s="1201"/>
    </row>
    <row r="4415" spans="12:20">
      <c r="L4415" s="1179"/>
      <c r="M4415" s="1183"/>
      <c r="N4415" s="1183"/>
      <c r="O4415" s="1183"/>
      <c r="P4415" s="1201"/>
      <c r="Q4415" s="1201"/>
      <c r="R4415" s="1201"/>
      <c r="S4415" s="1201"/>
      <c r="T4415" s="1201"/>
    </row>
    <row r="4416" spans="12:20">
      <c r="L4416" s="1179"/>
      <c r="M4416" s="1183"/>
      <c r="N4416" s="1183"/>
      <c r="O4416" s="1183"/>
      <c r="P4416" s="1201"/>
      <c r="Q4416" s="1201"/>
      <c r="R4416" s="1201"/>
      <c r="S4416" s="1201"/>
      <c r="T4416" s="1201"/>
    </row>
    <row r="4417" spans="12:20">
      <c r="L4417" s="1179"/>
      <c r="M4417" s="1183"/>
      <c r="N4417" s="1183"/>
      <c r="O4417" s="1183"/>
      <c r="P4417" s="1201"/>
      <c r="Q4417" s="1201"/>
      <c r="R4417" s="1201"/>
      <c r="S4417" s="1201"/>
      <c r="T4417" s="1201"/>
    </row>
    <row r="4418" spans="12:20">
      <c r="L4418" s="1179"/>
      <c r="M4418" s="1183"/>
      <c r="N4418" s="1183"/>
      <c r="O4418" s="1183"/>
      <c r="P4418" s="1201"/>
      <c r="Q4418" s="1201"/>
      <c r="R4418" s="1201"/>
      <c r="S4418" s="1201"/>
      <c r="T4418" s="1201"/>
    </row>
    <row r="4419" spans="12:20">
      <c r="L4419" s="1179"/>
      <c r="M4419" s="1183"/>
      <c r="N4419" s="1183"/>
      <c r="O4419" s="1183"/>
      <c r="P4419" s="1201"/>
      <c r="Q4419" s="1201"/>
      <c r="R4419" s="1201"/>
      <c r="S4419" s="1201"/>
      <c r="T4419" s="1201"/>
    </row>
    <row r="4420" spans="12:20">
      <c r="L4420" s="1179"/>
      <c r="M4420" s="1183"/>
      <c r="N4420" s="1183"/>
      <c r="O4420" s="1183"/>
      <c r="P4420" s="1201"/>
      <c r="Q4420" s="1201"/>
      <c r="R4420" s="1201"/>
      <c r="S4420" s="1201"/>
      <c r="T4420" s="1201"/>
    </row>
    <row r="4421" spans="12:20">
      <c r="L4421" s="1179"/>
      <c r="M4421" s="1183"/>
      <c r="N4421" s="1183"/>
      <c r="O4421" s="1183"/>
      <c r="P4421" s="1201"/>
      <c r="Q4421" s="1201"/>
      <c r="R4421" s="1201"/>
      <c r="S4421" s="1201"/>
      <c r="T4421" s="1201"/>
    </row>
    <row r="4422" spans="12:20">
      <c r="L4422" s="1179"/>
      <c r="M4422" s="1183"/>
      <c r="N4422" s="1183"/>
      <c r="O4422" s="1183"/>
      <c r="P4422" s="1201"/>
      <c r="Q4422" s="1201"/>
      <c r="R4422" s="1201"/>
      <c r="S4422" s="1201"/>
      <c r="T4422" s="1201"/>
    </row>
    <row r="4423" spans="12:20">
      <c r="L4423" s="1179"/>
      <c r="M4423" s="1183"/>
      <c r="N4423" s="1183"/>
      <c r="O4423" s="1183"/>
      <c r="P4423" s="1201"/>
      <c r="Q4423" s="1201"/>
      <c r="R4423" s="1201"/>
      <c r="S4423" s="1201"/>
      <c r="T4423" s="1201"/>
    </row>
    <row r="4424" spans="12:20">
      <c r="L4424" s="1179"/>
      <c r="M4424" s="1183"/>
      <c r="N4424" s="1183"/>
      <c r="O4424" s="1183"/>
      <c r="P4424" s="1201"/>
      <c r="Q4424" s="1201"/>
      <c r="R4424" s="1201"/>
      <c r="S4424" s="1201"/>
      <c r="T4424" s="1201"/>
    </row>
    <row r="4425" spans="12:20">
      <c r="L4425" s="1179"/>
      <c r="M4425" s="1183"/>
      <c r="N4425" s="1183"/>
      <c r="O4425" s="1183"/>
      <c r="P4425" s="1201"/>
      <c r="Q4425" s="1201"/>
      <c r="R4425" s="1201"/>
      <c r="S4425" s="1201"/>
      <c r="T4425" s="1201"/>
    </row>
    <row r="4426" spans="12:20">
      <c r="L4426" s="1179"/>
      <c r="M4426" s="1183"/>
      <c r="N4426" s="1183"/>
      <c r="O4426" s="1183"/>
      <c r="P4426" s="1201"/>
      <c r="Q4426" s="1201"/>
      <c r="R4426" s="1201"/>
      <c r="S4426" s="1201"/>
      <c r="T4426" s="1201"/>
    </row>
    <row r="4427" spans="12:20">
      <c r="L4427" s="1179"/>
      <c r="M4427" s="1183"/>
      <c r="N4427" s="1183"/>
      <c r="O4427" s="1183"/>
      <c r="P4427" s="1201"/>
      <c r="Q4427" s="1201"/>
      <c r="R4427" s="1201"/>
      <c r="S4427" s="1201"/>
      <c r="T4427" s="1201"/>
    </row>
    <row r="4428" spans="12:20">
      <c r="L4428" s="1179"/>
      <c r="M4428" s="1183"/>
      <c r="N4428" s="1183"/>
      <c r="O4428" s="1183"/>
      <c r="P4428" s="1201"/>
      <c r="Q4428" s="1201"/>
      <c r="R4428" s="1201"/>
      <c r="S4428" s="1201"/>
      <c r="T4428" s="1201"/>
    </row>
    <row r="4429" spans="12:20">
      <c r="L4429" s="1179"/>
      <c r="M4429" s="1183"/>
      <c r="N4429" s="1183"/>
      <c r="O4429" s="1183"/>
      <c r="P4429" s="1201"/>
      <c r="Q4429" s="1201"/>
      <c r="R4429" s="1201"/>
      <c r="S4429" s="1201"/>
      <c r="T4429" s="1201"/>
    </row>
    <row r="4430" spans="12:20">
      <c r="L4430" s="1179"/>
      <c r="M4430" s="1183"/>
      <c r="N4430" s="1183"/>
      <c r="O4430" s="1183"/>
      <c r="P4430" s="1201"/>
      <c r="Q4430" s="1201"/>
      <c r="R4430" s="1201"/>
      <c r="S4430" s="1201"/>
      <c r="T4430" s="1201"/>
    </row>
    <row r="4431" spans="12:20">
      <c r="L4431" s="1179"/>
      <c r="M4431" s="1183"/>
      <c r="N4431" s="1183"/>
      <c r="O4431" s="1183"/>
      <c r="P4431" s="1201"/>
      <c r="Q4431" s="1201"/>
      <c r="R4431" s="1201"/>
      <c r="S4431" s="1201"/>
      <c r="T4431" s="1201"/>
    </row>
    <row r="4432" spans="12:20">
      <c r="L4432" s="1179"/>
      <c r="M4432" s="1183"/>
      <c r="N4432" s="1183"/>
      <c r="O4432" s="1183"/>
      <c r="P4432" s="1201"/>
      <c r="Q4432" s="1201"/>
      <c r="R4432" s="1201"/>
      <c r="S4432" s="1201"/>
      <c r="T4432" s="1201"/>
    </row>
    <row r="4433" spans="12:20">
      <c r="L4433" s="1179"/>
      <c r="M4433" s="1183"/>
      <c r="N4433" s="1183"/>
      <c r="O4433" s="1183"/>
      <c r="P4433" s="1201"/>
      <c r="Q4433" s="1201"/>
      <c r="R4433" s="1201"/>
      <c r="S4433" s="1201"/>
      <c r="T4433" s="1201"/>
    </row>
    <row r="4434" spans="12:20">
      <c r="L4434" s="1179"/>
      <c r="M4434" s="1183"/>
      <c r="N4434" s="1183"/>
      <c r="O4434" s="1183"/>
      <c r="P4434" s="1201"/>
      <c r="Q4434" s="1201"/>
      <c r="R4434" s="1201"/>
      <c r="S4434" s="1201"/>
      <c r="T4434" s="1201"/>
    </row>
    <row r="4435" spans="12:20">
      <c r="L4435" s="1179"/>
      <c r="M4435" s="1183"/>
      <c r="N4435" s="1183"/>
      <c r="O4435" s="1183"/>
      <c r="P4435" s="1201"/>
      <c r="Q4435" s="1201"/>
      <c r="R4435" s="1201"/>
      <c r="S4435" s="1201"/>
      <c r="T4435" s="1201"/>
    </row>
    <row r="4436" spans="12:20">
      <c r="L4436" s="1179"/>
      <c r="M4436" s="1183"/>
      <c r="N4436" s="1183"/>
      <c r="O4436" s="1183"/>
      <c r="P4436" s="1201"/>
      <c r="Q4436" s="1201"/>
      <c r="R4436" s="1201"/>
      <c r="S4436" s="1201"/>
      <c r="T4436" s="1201"/>
    </row>
    <row r="4437" spans="12:20">
      <c r="L4437" s="1179"/>
      <c r="M4437" s="1183"/>
      <c r="N4437" s="1183"/>
      <c r="O4437" s="1183"/>
      <c r="P4437" s="1201"/>
      <c r="Q4437" s="1201"/>
      <c r="R4437" s="1201"/>
      <c r="S4437" s="1201"/>
      <c r="T4437" s="1201"/>
    </row>
    <row r="4438" spans="12:20">
      <c r="L4438" s="1179"/>
      <c r="M4438" s="1183"/>
      <c r="N4438" s="1183"/>
      <c r="O4438" s="1183"/>
      <c r="P4438" s="1201"/>
      <c r="Q4438" s="1201"/>
      <c r="R4438" s="1201"/>
      <c r="S4438" s="1201"/>
      <c r="T4438" s="1201"/>
    </row>
    <row r="4439" spans="12:20">
      <c r="L4439" s="1179"/>
      <c r="M4439" s="1183"/>
      <c r="N4439" s="1183"/>
      <c r="O4439" s="1183"/>
      <c r="P4439" s="1201"/>
      <c r="Q4439" s="1201"/>
      <c r="R4439" s="1201"/>
      <c r="S4439" s="1201"/>
      <c r="T4439" s="1201"/>
    </row>
    <row r="4440" spans="12:20">
      <c r="L4440" s="1179"/>
      <c r="M4440" s="1183"/>
      <c r="N4440" s="1183"/>
      <c r="O4440" s="1183"/>
      <c r="P4440" s="1201"/>
      <c r="Q4440" s="1201"/>
      <c r="R4440" s="1201"/>
      <c r="S4440" s="1201"/>
      <c r="T4440" s="1201"/>
    </row>
    <row r="4441" spans="12:20">
      <c r="L4441" s="1179"/>
      <c r="M4441" s="1183"/>
      <c r="N4441" s="1183"/>
      <c r="O4441" s="1183"/>
      <c r="P4441" s="1201"/>
      <c r="Q4441" s="1201"/>
      <c r="R4441" s="1201"/>
      <c r="S4441" s="1201"/>
      <c r="T4441" s="1201"/>
    </row>
    <row r="4442" spans="12:20">
      <c r="L4442" s="1179"/>
      <c r="M4442" s="1183"/>
      <c r="N4442" s="1183"/>
      <c r="O4442" s="1183"/>
      <c r="P4442" s="1201"/>
      <c r="Q4442" s="1201"/>
      <c r="R4442" s="1201"/>
      <c r="S4442" s="1201"/>
      <c r="T4442" s="1201"/>
    </row>
    <row r="4443" spans="12:20">
      <c r="L4443" s="1179"/>
      <c r="M4443" s="1183"/>
      <c r="N4443" s="1183"/>
      <c r="O4443" s="1183"/>
      <c r="P4443" s="1201"/>
      <c r="Q4443" s="1201"/>
      <c r="R4443" s="1201"/>
      <c r="S4443" s="1201"/>
      <c r="T4443" s="1201"/>
    </row>
    <row r="4444" spans="12:20">
      <c r="L4444" s="1179"/>
      <c r="M4444" s="1183"/>
      <c r="N4444" s="1183"/>
      <c r="O4444" s="1183"/>
      <c r="P4444" s="1201"/>
      <c r="Q4444" s="1201"/>
      <c r="R4444" s="1201"/>
      <c r="S4444" s="1201"/>
      <c r="T4444" s="1201"/>
    </row>
    <row r="4445" spans="12:20">
      <c r="L4445" s="1179"/>
      <c r="M4445" s="1183"/>
      <c r="N4445" s="1183"/>
      <c r="O4445" s="1183"/>
      <c r="P4445" s="1201"/>
      <c r="Q4445" s="1201"/>
      <c r="R4445" s="1201"/>
      <c r="S4445" s="1201"/>
      <c r="T4445" s="1201"/>
    </row>
    <row r="4446" spans="12:20">
      <c r="L4446" s="1179"/>
      <c r="M4446" s="1183"/>
      <c r="N4446" s="1183"/>
      <c r="O4446" s="1183"/>
      <c r="P4446" s="1201"/>
      <c r="Q4446" s="1201"/>
      <c r="R4446" s="1201"/>
      <c r="S4446" s="1201"/>
      <c r="T4446" s="1201"/>
    </row>
    <row r="4447" spans="12:20">
      <c r="L4447" s="1179"/>
      <c r="M4447" s="1183"/>
      <c r="N4447" s="1183"/>
      <c r="O4447" s="1183"/>
      <c r="P4447" s="1201"/>
      <c r="Q4447" s="1201"/>
      <c r="R4447" s="1201"/>
      <c r="S4447" s="1201"/>
      <c r="T4447" s="1201"/>
    </row>
    <row r="4448" spans="12:20">
      <c r="L4448" s="1179"/>
      <c r="M4448" s="1183"/>
      <c r="N4448" s="1183"/>
      <c r="O4448" s="1183"/>
      <c r="P4448" s="1201"/>
      <c r="Q4448" s="1201"/>
      <c r="R4448" s="1201"/>
      <c r="S4448" s="1201"/>
      <c r="T4448" s="1201"/>
    </row>
    <row r="4449" spans="12:20">
      <c r="L4449" s="1179"/>
      <c r="M4449" s="1183"/>
      <c r="N4449" s="1183"/>
      <c r="O4449" s="1183"/>
      <c r="P4449" s="1201"/>
      <c r="Q4449" s="1201"/>
      <c r="R4449" s="1201"/>
      <c r="S4449" s="1201"/>
      <c r="T4449" s="1201"/>
    </row>
    <row r="4450" spans="12:20">
      <c r="L4450" s="1179"/>
      <c r="M4450" s="1183"/>
      <c r="N4450" s="1183"/>
      <c r="O4450" s="1183"/>
      <c r="P4450" s="1201"/>
      <c r="Q4450" s="1201"/>
      <c r="R4450" s="1201"/>
      <c r="S4450" s="1201"/>
      <c r="T4450" s="1201"/>
    </row>
    <row r="4451" spans="12:20">
      <c r="L4451" s="1179"/>
      <c r="M4451" s="1183"/>
      <c r="N4451" s="1183"/>
      <c r="O4451" s="1183"/>
      <c r="P4451" s="1201"/>
      <c r="Q4451" s="1201"/>
      <c r="R4451" s="1201"/>
      <c r="S4451" s="1201"/>
      <c r="T4451" s="1201"/>
    </row>
    <row r="4452" spans="12:20">
      <c r="L4452" s="1179"/>
      <c r="M4452" s="1183"/>
      <c r="N4452" s="1183"/>
      <c r="O4452" s="1183"/>
      <c r="P4452" s="1201"/>
      <c r="Q4452" s="1201"/>
      <c r="R4452" s="1201"/>
      <c r="S4452" s="1201"/>
      <c r="T4452" s="1201"/>
    </row>
    <row r="4453" spans="12:20">
      <c r="L4453" s="1179"/>
      <c r="M4453" s="1183"/>
      <c r="N4453" s="1183"/>
      <c r="O4453" s="1183"/>
      <c r="P4453" s="1201"/>
      <c r="Q4453" s="1201"/>
      <c r="R4453" s="1201"/>
      <c r="S4453" s="1201"/>
      <c r="T4453" s="1201"/>
    </row>
    <row r="4454" spans="12:20">
      <c r="L4454" s="1179"/>
      <c r="M4454" s="1183"/>
      <c r="N4454" s="1183"/>
      <c r="O4454" s="1183"/>
      <c r="P4454" s="1201"/>
      <c r="Q4454" s="1201"/>
      <c r="R4454" s="1201"/>
      <c r="S4454" s="1201"/>
      <c r="T4454" s="1201"/>
    </row>
    <row r="4455" spans="12:20">
      <c r="L4455" s="1179"/>
      <c r="M4455" s="1183"/>
      <c r="N4455" s="1183"/>
      <c r="O4455" s="1183"/>
      <c r="P4455" s="1201"/>
      <c r="Q4455" s="1201"/>
      <c r="R4455" s="1201"/>
      <c r="S4455" s="1201"/>
      <c r="T4455" s="1201"/>
    </row>
    <row r="4456" spans="12:20">
      <c r="L4456" s="1179"/>
      <c r="M4456" s="1183"/>
      <c r="N4456" s="1183"/>
      <c r="O4456" s="1183"/>
      <c r="P4456" s="1201"/>
      <c r="Q4456" s="1201"/>
      <c r="R4456" s="1201"/>
      <c r="S4456" s="1201"/>
      <c r="T4456" s="1201"/>
    </row>
    <row r="4457" spans="12:20">
      <c r="L4457" s="1179"/>
      <c r="M4457" s="1183"/>
      <c r="N4457" s="1183"/>
      <c r="O4457" s="1183"/>
      <c r="P4457" s="1201"/>
      <c r="Q4457" s="1201"/>
      <c r="R4457" s="1201"/>
      <c r="S4457" s="1201"/>
      <c r="T4457" s="1201"/>
    </row>
    <row r="4458" spans="12:20">
      <c r="L4458" s="1179"/>
      <c r="M4458" s="1183"/>
      <c r="N4458" s="1183"/>
      <c r="O4458" s="1183"/>
      <c r="P4458" s="1201"/>
      <c r="Q4458" s="1201"/>
      <c r="R4458" s="1201"/>
      <c r="S4458" s="1201"/>
      <c r="T4458" s="1201"/>
    </row>
    <row r="4459" spans="12:20">
      <c r="L4459" s="1179"/>
      <c r="M4459" s="1183"/>
      <c r="N4459" s="1183"/>
      <c r="O4459" s="1183"/>
      <c r="P4459" s="1201"/>
      <c r="Q4459" s="1201"/>
      <c r="R4459" s="1201"/>
      <c r="S4459" s="1201"/>
      <c r="T4459" s="1201"/>
    </row>
    <row r="4460" spans="12:20">
      <c r="L4460" s="1179"/>
      <c r="M4460" s="1183"/>
      <c r="N4460" s="1183"/>
      <c r="O4460" s="1183"/>
      <c r="P4460" s="1201"/>
      <c r="Q4460" s="1201"/>
      <c r="R4460" s="1201"/>
      <c r="S4460" s="1201"/>
      <c r="T4460" s="1201"/>
    </row>
    <row r="4461" spans="12:20">
      <c r="L4461" s="1179"/>
      <c r="M4461" s="1183"/>
      <c r="N4461" s="1183"/>
      <c r="O4461" s="1183"/>
      <c r="P4461" s="1201"/>
      <c r="Q4461" s="1201"/>
      <c r="R4461" s="1201"/>
      <c r="S4461" s="1201"/>
      <c r="T4461" s="1201"/>
    </row>
    <row r="4462" spans="12:20">
      <c r="L4462" s="1179"/>
      <c r="M4462" s="1183"/>
      <c r="N4462" s="1183"/>
      <c r="O4462" s="1183"/>
      <c r="P4462" s="1201"/>
      <c r="Q4462" s="1201"/>
      <c r="R4462" s="1201"/>
      <c r="S4462" s="1201"/>
      <c r="T4462" s="1201"/>
    </row>
    <row r="4463" spans="12:20">
      <c r="L4463" s="1179"/>
      <c r="M4463" s="1183"/>
      <c r="N4463" s="1183"/>
      <c r="O4463" s="1183"/>
      <c r="P4463" s="1201"/>
      <c r="Q4463" s="1201"/>
      <c r="R4463" s="1201"/>
      <c r="S4463" s="1201"/>
      <c r="T4463" s="1201"/>
    </row>
    <row r="4464" spans="12:20">
      <c r="L4464" s="1179"/>
      <c r="M4464" s="1183"/>
      <c r="N4464" s="1183"/>
      <c r="O4464" s="1183"/>
      <c r="P4464" s="1201"/>
      <c r="Q4464" s="1201"/>
      <c r="R4464" s="1201"/>
      <c r="S4464" s="1201"/>
      <c r="T4464" s="1201"/>
    </row>
    <row r="4465" spans="12:20">
      <c r="L4465" s="1179"/>
      <c r="M4465" s="1183"/>
      <c r="N4465" s="1183"/>
      <c r="O4465" s="1183"/>
      <c r="P4465" s="1201"/>
      <c r="Q4465" s="1201"/>
      <c r="R4465" s="1201"/>
      <c r="S4465" s="1201"/>
      <c r="T4465" s="1201"/>
    </row>
    <row r="4466" spans="12:20">
      <c r="L4466" s="1179"/>
      <c r="M4466" s="1183"/>
      <c r="N4466" s="1183"/>
      <c r="O4466" s="1183"/>
      <c r="P4466" s="1201"/>
      <c r="Q4466" s="1201"/>
      <c r="R4466" s="1201"/>
      <c r="S4466" s="1201"/>
      <c r="T4466" s="1201"/>
    </row>
    <row r="4467" spans="12:20">
      <c r="L4467" s="1179"/>
      <c r="M4467" s="1183"/>
      <c r="N4467" s="1183"/>
      <c r="O4467" s="1183"/>
      <c r="P4467" s="1201"/>
      <c r="Q4467" s="1201"/>
      <c r="R4467" s="1201"/>
      <c r="S4467" s="1201"/>
      <c r="T4467" s="1201"/>
    </row>
    <row r="4468" spans="12:20">
      <c r="L4468" s="1179"/>
      <c r="M4468" s="1183"/>
      <c r="N4468" s="1183"/>
      <c r="O4468" s="1183"/>
      <c r="P4468" s="1201"/>
      <c r="Q4468" s="1201"/>
      <c r="R4468" s="1201"/>
      <c r="S4468" s="1201"/>
      <c r="T4468" s="1201"/>
    </row>
    <row r="4469" spans="12:20">
      <c r="L4469" s="1179"/>
      <c r="M4469" s="1183"/>
      <c r="N4469" s="1183"/>
      <c r="O4469" s="1183"/>
      <c r="P4469" s="1201"/>
      <c r="Q4469" s="1201"/>
      <c r="R4469" s="1201"/>
      <c r="S4469" s="1201"/>
      <c r="T4469" s="1201"/>
    </row>
    <row r="4470" spans="12:20">
      <c r="L4470" s="1179"/>
      <c r="M4470" s="1183"/>
      <c r="N4470" s="1183"/>
      <c r="O4470" s="1183"/>
      <c r="P4470" s="1201"/>
      <c r="Q4470" s="1201"/>
      <c r="R4470" s="1201"/>
      <c r="S4470" s="1201"/>
      <c r="T4470" s="1201"/>
    </row>
    <row r="4471" spans="12:20">
      <c r="L4471" s="1179"/>
      <c r="M4471" s="1183"/>
      <c r="N4471" s="1183"/>
      <c r="O4471" s="1183"/>
      <c r="P4471" s="1201"/>
      <c r="Q4471" s="1201"/>
      <c r="R4471" s="1201"/>
      <c r="S4471" s="1201"/>
      <c r="T4471" s="1201"/>
    </row>
    <row r="4472" spans="12:20">
      <c r="L4472" s="1179"/>
      <c r="M4472" s="1183"/>
      <c r="N4472" s="1183"/>
      <c r="O4472" s="1183"/>
      <c r="P4472" s="1201"/>
      <c r="Q4472" s="1201"/>
      <c r="R4472" s="1201"/>
      <c r="S4472" s="1201"/>
      <c r="T4472" s="1201"/>
    </row>
    <row r="4473" spans="12:20">
      <c r="L4473" s="1179"/>
      <c r="M4473" s="1183"/>
      <c r="N4473" s="1183"/>
      <c r="O4473" s="1183"/>
      <c r="P4473" s="1201"/>
      <c r="Q4473" s="1201"/>
      <c r="R4473" s="1201"/>
      <c r="S4473" s="1201"/>
      <c r="T4473" s="1201"/>
    </row>
    <row r="4474" spans="12:20">
      <c r="L4474" s="1179"/>
      <c r="M4474" s="1183"/>
      <c r="N4474" s="1183"/>
      <c r="O4474" s="1183"/>
      <c r="P4474" s="1201"/>
      <c r="Q4474" s="1201"/>
      <c r="R4474" s="1201"/>
      <c r="S4474" s="1201"/>
      <c r="T4474" s="1201"/>
    </row>
    <row r="4475" spans="12:20">
      <c r="L4475" s="1179"/>
      <c r="M4475" s="1183"/>
      <c r="N4475" s="1183"/>
      <c r="O4475" s="1183"/>
      <c r="P4475" s="1201"/>
      <c r="Q4475" s="1201"/>
      <c r="R4475" s="1201"/>
      <c r="S4475" s="1201"/>
      <c r="T4475" s="1201"/>
    </row>
    <row r="4476" spans="12:20">
      <c r="L4476" s="1179"/>
      <c r="M4476" s="1183"/>
      <c r="N4476" s="1183"/>
      <c r="O4476" s="1183"/>
      <c r="P4476" s="1201"/>
      <c r="Q4476" s="1201"/>
      <c r="R4476" s="1201"/>
      <c r="S4476" s="1201"/>
      <c r="T4476" s="1201"/>
    </row>
    <row r="4477" spans="12:20">
      <c r="L4477" s="1179"/>
      <c r="M4477" s="1183"/>
      <c r="N4477" s="1183"/>
      <c r="O4477" s="1183"/>
      <c r="P4477" s="1201"/>
      <c r="Q4477" s="1201"/>
      <c r="R4477" s="1201"/>
      <c r="S4477" s="1201"/>
      <c r="T4477" s="1201"/>
    </row>
    <row r="4478" spans="12:20">
      <c r="L4478" s="1179"/>
      <c r="M4478" s="1183"/>
      <c r="N4478" s="1183"/>
      <c r="O4478" s="1183"/>
      <c r="P4478" s="1201"/>
      <c r="Q4478" s="1201"/>
      <c r="R4478" s="1201"/>
      <c r="S4478" s="1201"/>
      <c r="T4478" s="1201"/>
    </row>
    <row r="4479" spans="12:20">
      <c r="L4479" s="1179"/>
      <c r="M4479" s="1183"/>
      <c r="N4479" s="1183"/>
      <c r="O4479" s="1183"/>
      <c r="P4479" s="1201"/>
      <c r="Q4479" s="1201"/>
      <c r="R4479" s="1201"/>
      <c r="S4479" s="1201"/>
      <c r="T4479" s="1201"/>
    </row>
    <row r="4480" spans="12:20">
      <c r="L4480" s="1179"/>
      <c r="M4480" s="1183"/>
      <c r="N4480" s="1183"/>
      <c r="O4480" s="1183"/>
      <c r="P4480" s="1201"/>
      <c r="Q4480" s="1201"/>
      <c r="R4480" s="1201"/>
      <c r="S4480" s="1201"/>
      <c r="T4480" s="1201"/>
    </row>
    <row r="4481" spans="12:20">
      <c r="L4481" s="1179"/>
      <c r="M4481" s="1183"/>
      <c r="N4481" s="1183"/>
      <c r="O4481" s="1183"/>
      <c r="P4481" s="1201"/>
      <c r="Q4481" s="1201"/>
      <c r="R4481" s="1201"/>
      <c r="S4481" s="1201"/>
      <c r="T4481" s="1201"/>
    </row>
    <row r="4482" spans="12:20">
      <c r="L4482" s="1179"/>
      <c r="M4482" s="1183"/>
      <c r="N4482" s="1183"/>
      <c r="O4482" s="1183"/>
      <c r="P4482" s="1201"/>
      <c r="Q4482" s="1201"/>
      <c r="R4482" s="1201"/>
      <c r="S4482" s="1201"/>
      <c r="T4482" s="1201"/>
    </row>
    <row r="4483" spans="12:20">
      <c r="L4483" s="1179"/>
      <c r="M4483" s="1183"/>
      <c r="N4483" s="1183"/>
      <c r="O4483" s="1183"/>
      <c r="P4483" s="1201"/>
      <c r="Q4483" s="1201"/>
      <c r="R4483" s="1201"/>
      <c r="S4483" s="1201"/>
      <c r="T4483" s="1201"/>
    </row>
    <row r="4484" spans="12:20">
      <c r="L4484" s="1179"/>
      <c r="M4484" s="1183"/>
      <c r="N4484" s="1183"/>
      <c r="O4484" s="1183"/>
      <c r="P4484" s="1201"/>
      <c r="Q4484" s="1201"/>
      <c r="R4484" s="1201"/>
      <c r="S4484" s="1201"/>
      <c r="T4484" s="1201"/>
    </row>
    <row r="4485" spans="12:20">
      <c r="L4485" s="1179"/>
      <c r="M4485" s="1183"/>
      <c r="N4485" s="1183"/>
      <c r="O4485" s="1183"/>
      <c r="P4485" s="1201"/>
      <c r="Q4485" s="1201"/>
      <c r="R4485" s="1201"/>
      <c r="S4485" s="1201"/>
      <c r="T4485" s="1201"/>
    </row>
    <row r="4486" spans="12:20">
      <c r="L4486" s="1179"/>
      <c r="M4486" s="1183"/>
      <c r="N4486" s="1183"/>
      <c r="O4486" s="1183"/>
      <c r="P4486" s="1201"/>
      <c r="Q4486" s="1201"/>
      <c r="R4486" s="1201"/>
      <c r="S4486" s="1201"/>
      <c r="T4486" s="1201"/>
    </row>
    <row r="4487" spans="12:20">
      <c r="L4487" s="1179"/>
      <c r="M4487" s="1183"/>
      <c r="N4487" s="1183"/>
      <c r="O4487" s="1183"/>
      <c r="P4487" s="1201"/>
      <c r="Q4487" s="1201"/>
      <c r="R4487" s="1201"/>
      <c r="S4487" s="1201"/>
      <c r="T4487" s="1201"/>
    </row>
    <row r="4488" spans="12:20">
      <c r="L4488" s="1179"/>
      <c r="M4488" s="1183"/>
      <c r="N4488" s="1183"/>
      <c r="O4488" s="1183"/>
      <c r="P4488" s="1201"/>
      <c r="Q4488" s="1201"/>
      <c r="R4488" s="1201"/>
      <c r="S4488" s="1201"/>
      <c r="T4488" s="1201"/>
    </row>
    <row r="4489" spans="12:20">
      <c r="L4489" s="1179"/>
      <c r="M4489" s="1183"/>
      <c r="N4489" s="1183"/>
      <c r="O4489" s="1183"/>
      <c r="P4489" s="1201"/>
      <c r="Q4489" s="1201"/>
      <c r="R4489" s="1201"/>
      <c r="S4489" s="1201"/>
      <c r="T4489" s="1201"/>
    </row>
    <row r="4490" spans="12:20">
      <c r="L4490" s="1179"/>
      <c r="M4490" s="1183"/>
      <c r="N4490" s="1183"/>
      <c r="O4490" s="1183"/>
      <c r="P4490" s="1201"/>
      <c r="Q4490" s="1201"/>
      <c r="R4490" s="1201"/>
      <c r="S4490" s="1201"/>
      <c r="T4490" s="1201"/>
    </row>
    <row r="4491" spans="12:20">
      <c r="L4491" s="1179"/>
      <c r="M4491" s="1183"/>
      <c r="N4491" s="1183"/>
      <c r="O4491" s="1183"/>
      <c r="P4491" s="1201"/>
      <c r="Q4491" s="1201"/>
      <c r="R4491" s="1201"/>
      <c r="S4491" s="1201"/>
      <c r="T4491" s="1201"/>
    </row>
    <row r="4492" spans="12:20">
      <c r="L4492" s="1179"/>
      <c r="M4492" s="1183"/>
      <c r="N4492" s="1183"/>
      <c r="O4492" s="1183"/>
      <c r="P4492" s="1201"/>
      <c r="Q4492" s="1201"/>
      <c r="R4492" s="1201"/>
      <c r="S4492" s="1201"/>
      <c r="T4492" s="1201"/>
    </row>
    <row r="4493" spans="12:20">
      <c r="L4493" s="1179"/>
      <c r="M4493" s="1183"/>
      <c r="N4493" s="1183"/>
      <c r="O4493" s="1183"/>
      <c r="P4493" s="1201"/>
      <c r="Q4493" s="1201"/>
      <c r="R4493" s="1201"/>
      <c r="S4493" s="1201"/>
      <c r="T4493" s="1201"/>
    </row>
    <row r="4494" spans="12:20">
      <c r="L4494" s="1179"/>
      <c r="M4494" s="1183"/>
      <c r="N4494" s="1183"/>
      <c r="O4494" s="1183"/>
      <c r="P4494" s="1201"/>
      <c r="Q4494" s="1201"/>
      <c r="R4494" s="1201"/>
      <c r="S4494" s="1201"/>
      <c r="T4494" s="1201"/>
    </row>
    <row r="4495" spans="12:20">
      <c r="L4495" s="1179"/>
      <c r="M4495" s="1183"/>
      <c r="N4495" s="1183"/>
      <c r="O4495" s="1183"/>
      <c r="P4495" s="1201"/>
      <c r="Q4495" s="1201"/>
      <c r="R4495" s="1201"/>
      <c r="S4495" s="1201"/>
      <c r="T4495" s="1201"/>
    </row>
    <row r="4496" spans="12:20">
      <c r="L4496" s="1179"/>
      <c r="M4496" s="1183"/>
      <c r="N4496" s="1183"/>
      <c r="O4496" s="1183"/>
      <c r="P4496" s="1201"/>
      <c r="Q4496" s="1201"/>
      <c r="R4496" s="1201"/>
      <c r="S4496" s="1201"/>
      <c r="T4496" s="1201"/>
    </row>
    <row r="4497" spans="12:20">
      <c r="L4497" s="1179"/>
      <c r="M4497" s="1183"/>
      <c r="N4497" s="1183"/>
      <c r="O4497" s="1183"/>
      <c r="P4497" s="1201"/>
      <c r="Q4497" s="1201"/>
      <c r="R4497" s="1201"/>
      <c r="S4497" s="1201"/>
      <c r="T4497" s="1201"/>
    </row>
    <row r="4498" spans="12:20">
      <c r="L4498" s="1179"/>
      <c r="M4498" s="1183"/>
      <c r="N4498" s="1183"/>
      <c r="O4498" s="1183"/>
      <c r="P4498" s="1201"/>
      <c r="Q4498" s="1201"/>
      <c r="R4498" s="1201"/>
      <c r="S4498" s="1201"/>
      <c r="T4498" s="1201"/>
    </row>
    <row r="4499" spans="12:20">
      <c r="L4499" s="1179"/>
      <c r="M4499" s="1183"/>
      <c r="N4499" s="1183"/>
      <c r="O4499" s="1183"/>
      <c r="P4499" s="1201"/>
      <c r="Q4499" s="1201"/>
      <c r="R4499" s="1201"/>
      <c r="S4499" s="1201"/>
      <c r="T4499" s="1201"/>
    </row>
    <row r="4500" spans="12:20">
      <c r="L4500" s="1179"/>
      <c r="M4500" s="1183"/>
      <c r="N4500" s="1183"/>
      <c r="O4500" s="1183"/>
      <c r="P4500" s="1201"/>
      <c r="Q4500" s="1201"/>
      <c r="R4500" s="1201"/>
      <c r="S4500" s="1201"/>
      <c r="T4500" s="1201"/>
    </row>
    <row r="4501" spans="12:20">
      <c r="L4501" s="1179"/>
      <c r="M4501" s="1183"/>
      <c r="N4501" s="1183"/>
      <c r="O4501" s="1183"/>
      <c r="P4501" s="1201"/>
      <c r="Q4501" s="1201"/>
      <c r="R4501" s="1201"/>
      <c r="S4501" s="1201"/>
      <c r="T4501" s="1201"/>
    </row>
    <row r="4502" spans="12:20">
      <c r="L4502" s="1179"/>
      <c r="M4502" s="1183"/>
      <c r="N4502" s="1183"/>
      <c r="O4502" s="1183"/>
      <c r="P4502" s="1201"/>
      <c r="Q4502" s="1201"/>
      <c r="R4502" s="1201"/>
      <c r="S4502" s="1201"/>
      <c r="T4502" s="1201"/>
    </row>
    <row r="4503" spans="12:20">
      <c r="L4503" s="1179"/>
      <c r="M4503" s="1183"/>
      <c r="N4503" s="1183"/>
      <c r="O4503" s="1183"/>
      <c r="P4503" s="1201"/>
      <c r="Q4503" s="1201"/>
      <c r="R4503" s="1201"/>
      <c r="S4503" s="1201"/>
      <c r="T4503" s="1201"/>
    </row>
    <row r="4504" spans="12:20">
      <c r="L4504" s="1179"/>
      <c r="M4504" s="1183"/>
      <c r="N4504" s="1183"/>
      <c r="O4504" s="1183"/>
      <c r="P4504" s="1201"/>
      <c r="Q4504" s="1201"/>
      <c r="R4504" s="1201"/>
      <c r="S4504" s="1201"/>
      <c r="T4504" s="1201"/>
    </row>
    <row r="4505" spans="12:20">
      <c r="L4505" s="1179"/>
      <c r="M4505" s="1183"/>
      <c r="N4505" s="1183"/>
      <c r="O4505" s="1183"/>
      <c r="P4505" s="1201"/>
      <c r="Q4505" s="1201"/>
      <c r="R4505" s="1201"/>
      <c r="S4505" s="1201"/>
      <c r="T4505" s="1201"/>
    </row>
    <row r="4506" spans="12:20">
      <c r="L4506" s="1179"/>
      <c r="M4506" s="1183"/>
      <c r="N4506" s="1183"/>
      <c r="O4506" s="1183"/>
      <c r="P4506" s="1201"/>
      <c r="Q4506" s="1201"/>
      <c r="R4506" s="1201"/>
      <c r="S4506" s="1201"/>
      <c r="T4506" s="1201"/>
    </row>
    <row r="4507" spans="12:20">
      <c r="L4507" s="1179"/>
      <c r="M4507" s="1183"/>
      <c r="N4507" s="1183"/>
      <c r="O4507" s="1183"/>
      <c r="P4507" s="1201"/>
      <c r="Q4507" s="1201"/>
      <c r="R4507" s="1201"/>
      <c r="S4507" s="1201"/>
      <c r="T4507" s="1201"/>
    </row>
    <row r="4508" spans="12:20">
      <c r="L4508" s="1179"/>
      <c r="M4508" s="1183"/>
      <c r="N4508" s="1183"/>
      <c r="O4508" s="1183"/>
      <c r="P4508" s="1201"/>
      <c r="Q4508" s="1201"/>
      <c r="R4508" s="1201"/>
      <c r="S4508" s="1201"/>
      <c r="T4508" s="1201"/>
    </row>
    <row r="4509" spans="12:20">
      <c r="L4509" s="1179"/>
      <c r="M4509" s="1183"/>
      <c r="N4509" s="1183"/>
      <c r="O4509" s="1183"/>
      <c r="P4509" s="1201"/>
      <c r="Q4509" s="1201"/>
      <c r="R4509" s="1201"/>
      <c r="S4509" s="1201"/>
      <c r="T4509" s="1201"/>
    </row>
    <row r="4510" spans="12:20">
      <c r="L4510" s="1179"/>
      <c r="M4510" s="1183"/>
      <c r="N4510" s="1183"/>
      <c r="O4510" s="1183"/>
      <c r="P4510" s="1201"/>
      <c r="Q4510" s="1201"/>
      <c r="R4510" s="1201"/>
      <c r="S4510" s="1201"/>
      <c r="T4510" s="1201"/>
    </row>
    <row r="4511" spans="12:20">
      <c r="L4511" s="1179"/>
      <c r="M4511" s="1183"/>
      <c r="N4511" s="1183"/>
      <c r="O4511" s="1183"/>
      <c r="P4511" s="1201"/>
      <c r="Q4511" s="1201"/>
      <c r="R4511" s="1201"/>
      <c r="S4511" s="1201"/>
      <c r="T4511" s="1201"/>
    </row>
    <row r="4512" spans="12:20">
      <c r="L4512" s="1179"/>
      <c r="M4512" s="1183"/>
      <c r="N4512" s="1183"/>
      <c r="O4512" s="1183"/>
      <c r="P4512" s="1201"/>
      <c r="Q4512" s="1201"/>
      <c r="R4512" s="1201"/>
      <c r="S4512" s="1201"/>
      <c r="T4512" s="1201"/>
    </row>
    <row r="4513" spans="12:20">
      <c r="L4513" s="1179"/>
      <c r="M4513" s="1183"/>
      <c r="N4513" s="1183"/>
      <c r="O4513" s="1183"/>
      <c r="P4513" s="1201"/>
      <c r="Q4513" s="1201"/>
      <c r="R4513" s="1201"/>
      <c r="S4513" s="1201"/>
      <c r="T4513" s="1201"/>
    </row>
    <row r="4514" spans="12:20">
      <c r="L4514" s="1179"/>
      <c r="M4514" s="1183"/>
      <c r="N4514" s="1183"/>
      <c r="O4514" s="1183"/>
      <c r="P4514" s="1201"/>
      <c r="Q4514" s="1201"/>
      <c r="R4514" s="1201"/>
      <c r="S4514" s="1201"/>
      <c r="T4514" s="1201"/>
    </row>
    <row r="4515" spans="12:20">
      <c r="L4515" s="1179"/>
      <c r="M4515" s="1183"/>
      <c r="N4515" s="1183"/>
      <c r="O4515" s="1183"/>
      <c r="P4515" s="1201"/>
      <c r="Q4515" s="1201"/>
      <c r="R4515" s="1201"/>
      <c r="S4515" s="1201"/>
      <c r="T4515" s="1201"/>
    </row>
    <row r="4516" spans="12:20">
      <c r="L4516" s="1179"/>
      <c r="M4516" s="1183"/>
      <c r="N4516" s="1183"/>
      <c r="O4516" s="1183"/>
      <c r="P4516" s="1201"/>
      <c r="Q4516" s="1201"/>
      <c r="R4516" s="1201"/>
      <c r="S4516" s="1201"/>
      <c r="T4516" s="1201"/>
    </row>
    <row r="4517" spans="12:20">
      <c r="L4517" s="1179"/>
      <c r="M4517" s="1183"/>
      <c r="N4517" s="1183"/>
      <c r="O4517" s="1183"/>
      <c r="P4517" s="1201"/>
      <c r="Q4517" s="1201"/>
      <c r="R4517" s="1201"/>
      <c r="S4517" s="1201"/>
      <c r="T4517" s="1201"/>
    </row>
    <row r="4518" spans="12:20">
      <c r="L4518" s="1179"/>
      <c r="M4518" s="1183"/>
      <c r="N4518" s="1183"/>
      <c r="O4518" s="1183"/>
      <c r="P4518" s="1201"/>
      <c r="Q4518" s="1201"/>
      <c r="R4518" s="1201"/>
      <c r="S4518" s="1201"/>
      <c r="T4518" s="1201"/>
    </row>
    <row r="4519" spans="12:20">
      <c r="L4519" s="1179"/>
      <c r="M4519" s="1183"/>
      <c r="N4519" s="1183"/>
      <c r="O4519" s="1183"/>
      <c r="P4519" s="1201"/>
      <c r="Q4519" s="1201"/>
      <c r="R4519" s="1201"/>
      <c r="S4519" s="1201"/>
      <c r="T4519" s="1201"/>
    </row>
    <row r="4520" spans="12:20">
      <c r="L4520" s="1179"/>
      <c r="M4520" s="1183"/>
      <c r="N4520" s="1183"/>
      <c r="O4520" s="1183"/>
      <c r="P4520" s="1201"/>
      <c r="Q4520" s="1201"/>
      <c r="R4520" s="1201"/>
      <c r="S4520" s="1201"/>
      <c r="T4520" s="1201"/>
    </row>
    <row r="4521" spans="12:20">
      <c r="L4521" s="1179"/>
      <c r="M4521" s="1183"/>
      <c r="N4521" s="1183"/>
      <c r="O4521" s="1183"/>
      <c r="P4521" s="1201"/>
      <c r="Q4521" s="1201"/>
      <c r="R4521" s="1201"/>
      <c r="S4521" s="1201"/>
      <c r="T4521" s="1201"/>
    </row>
    <row r="4522" spans="12:20">
      <c r="L4522" s="1179"/>
      <c r="M4522" s="1183"/>
      <c r="N4522" s="1183"/>
      <c r="O4522" s="1183"/>
      <c r="P4522" s="1201"/>
      <c r="Q4522" s="1201"/>
      <c r="R4522" s="1201"/>
      <c r="S4522" s="1201"/>
      <c r="T4522" s="1201"/>
    </row>
    <row r="4523" spans="12:20">
      <c r="L4523" s="1179"/>
      <c r="M4523" s="1183"/>
      <c r="N4523" s="1183"/>
      <c r="O4523" s="1183"/>
      <c r="P4523" s="1201"/>
      <c r="Q4523" s="1201"/>
      <c r="R4523" s="1201"/>
      <c r="S4523" s="1201"/>
      <c r="T4523" s="1201"/>
    </row>
    <row r="4524" spans="12:20">
      <c r="L4524" s="1179"/>
      <c r="M4524" s="1183"/>
      <c r="N4524" s="1183"/>
      <c r="O4524" s="1183"/>
      <c r="P4524" s="1201"/>
      <c r="Q4524" s="1201"/>
      <c r="R4524" s="1201"/>
      <c r="S4524" s="1201"/>
      <c r="T4524" s="1201"/>
    </row>
    <row r="4525" spans="12:20">
      <c r="L4525" s="1179"/>
      <c r="M4525" s="1183"/>
      <c r="N4525" s="1183"/>
      <c r="O4525" s="1183"/>
      <c r="P4525" s="1201"/>
      <c r="Q4525" s="1201"/>
      <c r="R4525" s="1201"/>
      <c r="S4525" s="1201"/>
      <c r="T4525" s="1201"/>
    </row>
    <row r="4526" spans="12:20">
      <c r="L4526" s="1179"/>
      <c r="M4526" s="1183"/>
      <c r="N4526" s="1183"/>
      <c r="O4526" s="1183"/>
      <c r="P4526" s="1201"/>
      <c r="Q4526" s="1201"/>
      <c r="R4526" s="1201"/>
      <c r="S4526" s="1201"/>
      <c r="T4526" s="1201"/>
    </row>
    <row r="4527" spans="12:20">
      <c r="L4527" s="1179"/>
      <c r="M4527" s="1183"/>
      <c r="N4527" s="1183"/>
      <c r="O4527" s="1183"/>
      <c r="P4527" s="1201"/>
      <c r="Q4527" s="1201"/>
      <c r="R4527" s="1201"/>
      <c r="S4527" s="1201"/>
      <c r="T4527" s="1201"/>
    </row>
    <row r="4528" spans="12:20">
      <c r="L4528" s="1179"/>
      <c r="M4528" s="1183"/>
      <c r="N4528" s="1183"/>
      <c r="O4528" s="1183"/>
      <c r="P4528" s="1201"/>
      <c r="Q4528" s="1201"/>
      <c r="R4528" s="1201"/>
      <c r="S4528" s="1201"/>
      <c r="T4528" s="1201"/>
    </row>
    <row r="4529" spans="12:20">
      <c r="L4529" s="1179"/>
      <c r="M4529" s="1183"/>
      <c r="N4529" s="1183"/>
      <c r="O4529" s="1183"/>
      <c r="P4529" s="1201"/>
      <c r="Q4529" s="1201"/>
      <c r="R4529" s="1201"/>
      <c r="S4529" s="1201"/>
      <c r="T4529" s="1201"/>
    </row>
    <row r="4530" spans="12:20">
      <c r="L4530" s="1179"/>
      <c r="M4530" s="1183"/>
      <c r="N4530" s="1183"/>
      <c r="O4530" s="1183"/>
      <c r="P4530" s="1201"/>
      <c r="Q4530" s="1201"/>
      <c r="R4530" s="1201"/>
      <c r="S4530" s="1201"/>
      <c r="T4530" s="1201"/>
    </row>
    <row r="4531" spans="12:20">
      <c r="L4531" s="1179"/>
      <c r="M4531" s="1183"/>
      <c r="N4531" s="1183"/>
      <c r="O4531" s="1183"/>
      <c r="P4531" s="1201"/>
      <c r="Q4531" s="1201"/>
      <c r="R4531" s="1201"/>
      <c r="S4531" s="1201"/>
      <c r="T4531" s="1201"/>
    </row>
    <row r="4532" spans="12:20">
      <c r="L4532" s="1179"/>
      <c r="M4532" s="1183"/>
      <c r="N4532" s="1183"/>
      <c r="O4532" s="1183"/>
      <c r="P4532" s="1201"/>
      <c r="Q4532" s="1201"/>
      <c r="R4532" s="1201"/>
      <c r="S4532" s="1201"/>
      <c r="T4532" s="1201"/>
    </row>
    <row r="4533" spans="12:20">
      <c r="L4533" s="1179"/>
      <c r="M4533" s="1183"/>
      <c r="N4533" s="1183"/>
      <c r="O4533" s="1183"/>
      <c r="P4533" s="1201"/>
      <c r="Q4533" s="1201"/>
      <c r="R4533" s="1201"/>
      <c r="S4533" s="1201"/>
      <c r="T4533" s="1201"/>
    </row>
    <row r="4534" spans="12:20">
      <c r="L4534" s="1179"/>
      <c r="M4534" s="1183"/>
      <c r="N4534" s="1183"/>
      <c r="O4534" s="1183"/>
      <c r="P4534" s="1201"/>
      <c r="Q4534" s="1201"/>
      <c r="R4534" s="1201"/>
      <c r="S4534" s="1201"/>
      <c r="T4534" s="1201"/>
    </row>
    <row r="4535" spans="12:20">
      <c r="L4535" s="1179"/>
      <c r="M4535" s="1183"/>
      <c r="N4535" s="1183"/>
      <c r="O4535" s="1183"/>
      <c r="P4535" s="1201"/>
      <c r="Q4535" s="1201"/>
      <c r="R4535" s="1201"/>
      <c r="S4535" s="1201"/>
      <c r="T4535" s="1201"/>
    </row>
    <row r="4536" spans="12:20">
      <c r="L4536" s="1179"/>
      <c r="M4536" s="1183"/>
      <c r="N4536" s="1183"/>
      <c r="O4536" s="1183"/>
      <c r="P4536" s="1201"/>
      <c r="Q4536" s="1201"/>
      <c r="R4536" s="1201"/>
      <c r="S4536" s="1201"/>
      <c r="T4536" s="1201"/>
    </row>
    <row r="4537" spans="12:20">
      <c r="L4537" s="1179"/>
      <c r="M4537" s="1183"/>
      <c r="N4537" s="1183"/>
      <c r="O4537" s="1183"/>
      <c r="P4537" s="1201"/>
      <c r="Q4537" s="1201"/>
      <c r="R4537" s="1201"/>
      <c r="S4537" s="1201"/>
      <c r="T4537" s="1201"/>
    </row>
    <row r="4538" spans="12:20">
      <c r="L4538" s="1179"/>
      <c r="M4538" s="1183"/>
      <c r="N4538" s="1183"/>
      <c r="O4538" s="1183"/>
      <c r="P4538" s="1201"/>
      <c r="Q4538" s="1201"/>
      <c r="R4538" s="1201"/>
      <c r="S4538" s="1201"/>
      <c r="T4538" s="1201"/>
    </row>
    <row r="4539" spans="12:20">
      <c r="L4539" s="1179"/>
      <c r="M4539" s="1183"/>
      <c r="N4539" s="1183"/>
      <c r="O4539" s="1183"/>
      <c r="P4539" s="1201"/>
      <c r="Q4539" s="1201"/>
      <c r="R4539" s="1201"/>
      <c r="S4539" s="1201"/>
      <c r="T4539" s="1201"/>
    </row>
    <row r="4540" spans="12:20">
      <c r="L4540" s="1179"/>
      <c r="M4540" s="1183"/>
      <c r="N4540" s="1183"/>
      <c r="O4540" s="1183"/>
      <c r="P4540" s="1201"/>
      <c r="Q4540" s="1201"/>
      <c r="R4540" s="1201"/>
      <c r="S4540" s="1201"/>
      <c r="T4540" s="1201"/>
    </row>
    <row r="4541" spans="12:20">
      <c r="L4541" s="1179"/>
      <c r="M4541" s="1183"/>
      <c r="N4541" s="1183"/>
      <c r="O4541" s="1183"/>
      <c r="P4541" s="1201"/>
      <c r="Q4541" s="1201"/>
      <c r="R4541" s="1201"/>
      <c r="S4541" s="1201"/>
      <c r="T4541" s="1201"/>
    </row>
    <row r="4542" spans="12:20">
      <c r="L4542" s="1179"/>
      <c r="M4542" s="1183"/>
      <c r="N4542" s="1183"/>
      <c r="O4542" s="1183"/>
      <c r="P4542" s="1201"/>
      <c r="Q4542" s="1201"/>
      <c r="R4542" s="1201"/>
      <c r="S4542" s="1201"/>
      <c r="T4542" s="1201"/>
    </row>
    <row r="4543" spans="12:20">
      <c r="L4543" s="1179"/>
      <c r="M4543" s="1183"/>
      <c r="N4543" s="1183"/>
      <c r="O4543" s="1183"/>
      <c r="P4543" s="1201"/>
      <c r="Q4543" s="1201"/>
      <c r="R4543" s="1201"/>
      <c r="S4543" s="1201"/>
      <c r="T4543" s="1201"/>
    </row>
    <row r="4544" spans="12:20">
      <c r="L4544" s="1179"/>
      <c r="M4544" s="1183"/>
      <c r="N4544" s="1183"/>
      <c r="O4544" s="1183"/>
      <c r="P4544" s="1201"/>
      <c r="Q4544" s="1201"/>
      <c r="R4544" s="1201"/>
      <c r="S4544" s="1201"/>
      <c r="T4544" s="1201"/>
    </row>
    <row r="4545" spans="12:20">
      <c r="L4545" s="1179"/>
      <c r="M4545" s="1183"/>
      <c r="N4545" s="1183"/>
      <c r="O4545" s="1183"/>
      <c r="P4545" s="1201"/>
      <c r="Q4545" s="1201"/>
      <c r="R4545" s="1201"/>
      <c r="S4545" s="1201"/>
      <c r="T4545" s="1201"/>
    </row>
    <row r="4546" spans="12:20">
      <c r="L4546" s="1179"/>
      <c r="M4546" s="1183"/>
      <c r="N4546" s="1183"/>
      <c r="O4546" s="1183"/>
      <c r="P4546" s="1201"/>
      <c r="Q4546" s="1201"/>
      <c r="R4546" s="1201"/>
      <c r="S4546" s="1201"/>
      <c r="T4546" s="1201"/>
    </row>
    <row r="4547" spans="12:20">
      <c r="L4547" s="1179"/>
      <c r="M4547" s="1183"/>
      <c r="N4547" s="1183"/>
      <c r="O4547" s="1183"/>
      <c r="P4547" s="1201"/>
      <c r="Q4547" s="1201"/>
      <c r="R4547" s="1201"/>
      <c r="S4547" s="1201"/>
      <c r="T4547" s="1201"/>
    </row>
    <row r="4548" spans="12:20">
      <c r="L4548" s="1179"/>
      <c r="M4548" s="1183"/>
      <c r="N4548" s="1183"/>
      <c r="O4548" s="1183"/>
      <c r="P4548" s="1201"/>
      <c r="Q4548" s="1201"/>
      <c r="R4548" s="1201"/>
      <c r="S4548" s="1201"/>
      <c r="T4548" s="1201"/>
    </row>
    <row r="4549" spans="12:20">
      <c r="L4549" s="1179"/>
      <c r="M4549" s="1183"/>
      <c r="N4549" s="1183"/>
      <c r="O4549" s="1183"/>
      <c r="P4549" s="1201"/>
      <c r="Q4549" s="1201"/>
      <c r="R4549" s="1201"/>
      <c r="S4549" s="1201"/>
      <c r="T4549" s="1201"/>
    </row>
    <row r="4550" spans="12:20">
      <c r="L4550" s="1179"/>
      <c r="M4550" s="1183"/>
      <c r="N4550" s="1183"/>
      <c r="O4550" s="1183"/>
      <c r="P4550" s="1201"/>
      <c r="Q4550" s="1201"/>
      <c r="R4550" s="1201"/>
      <c r="S4550" s="1201"/>
      <c r="T4550" s="1201"/>
    </row>
    <row r="4551" spans="12:20">
      <c r="L4551" s="1179"/>
      <c r="M4551" s="1183"/>
      <c r="N4551" s="1183"/>
      <c r="O4551" s="1183"/>
      <c r="P4551" s="1201"/>
      <c r="Q4551" s="1201"/>
      <c r="R4551" s="1201"/>
      <c r="S4551" s="1201"/>
      <c r="T4551" s="1201"/>
    </row>
    <row r="4552" spans="12:20">
      <c r="L4552" s="1179"/>
      <c r="M4552" s="1183"/>
      <c r="N4552" s="1183"/>
      <c r="O4552" s="1183"/>
      <c r="P4552" s="1201"/>
      <c r="Q4552" s="1201"/>
      <c r="R4552" s="1201"/>
      <c r="S4552" s="1201"/>
      <c r="T4552" s="1201"/>
    </row>
    <row r="4553" spans="12:20">
      <c r="L4553" s="1179"/>
      <c r="M4553" s="1183"/>
      <c r="N4553" s="1183"/>
      <c r="O4553" s="1183"/>
      <c r="P4553" s="1201"/>
      <c r="Q4553" s="1201"/>
      <c r="R4553" s="1201"/>
      <c r="S4553" s="1201"/>
      <c r="T4553" s="1201"/>
    </row>
    <row r="4554" spans="12:20">
      <c r="L4554" s="1179"/>
      <c r="M4554" s="1183"/>
      <c r="N4554" s="1183"/>
      <c r="O4554" s="1183"/>
      <c r="P4554" s="1201"/>
      <c r="Q4554" s="1201"/>
      <c r="R4554" s="1201"/>
      <c r="S4554" s="1201"/>
      <c r="T4554" s="1201"/>
    </row>
    <row r="4555" spans="12:20">
      <c r="L4555" s="1179"/>
      <c r="M4555" s="1183"/>
      <c r="N4555" s="1183"/>
      <c r="O4555" s="1183"/>
      <c r="P4555" s="1201"/>
      <c r="Q4555" s="1201"/>
      <c r="R4555" s="1201"/>
      <c r="S4555" s="1201"/>
      <c r="T4555" s="1201"/>
    </row>
    <row r="4556" spans="12:20">
      <c r="L4556" s="1179"/>
      <c r="M4556" s="1183"/>
      <c r="N4556" s="1183"/>
      <c r="O4556" s="1183"/>
      <c r="P4556" s="1201"/>
      <c r="Q4556" s="1201"/>
      <c r="R4556" s="1201"/>
      <c r="S4556" s="1201"/>
      <c r="T4556" s="1201"/>
    </row>
    <row r="4557" spans="12:20">
      <c r="L4557" s="1179"/>
      <c r="M4557" s="1183"/>
      <c r="N4557" s="1183"/>
      <c r="O4557" s="1183"/>
      <c r="P4557" s="1201"/>
      <c r="Q4557" s="1201"/>
      <c r="R4557" s="1201"/>
      <c r="S4557" s="1201"/>
      <c r="T4557" s="1201"/>
    </row>
    <row r="4558" spans="12:20">
      <c r="L4558" s="1179"/>
      <c r="M4558" s="1183"/>
      <c r="N4558" s="1183"/>
      <c r="O4558" s="1183"/>
      <c r="P4558" s="1201"/>
      <c r="Q4558" s="1201"/>
      <c r="R4558" s="1201"/>
      <c r="S4558" s="1201"/>
      <c r="T4558" s="1201"/>
    </row>
    <row r="4559" spans="12:20">
      <c r="L4559" s="1179"/>
      <c r="M4559" s="1183"/>
      <c r="N4559" s="1183"/>
      <c r="O4559" s="1183"/>
      <c r="P4559" s="1201"/>
      <c r="Q4559" s="1201"/>
      <c r="R4559" s="1201"/>
      <c r="S4559" s="1201"/>
      <c r="T4559" s="1201"/>
    </row>
    <row r="4560" spans="12:20">
      <c r="L4560" s="1179"/>
      <c r="M4560" s="1183"/>
      <c r="N4560" s="1183"/>
      <c r="O4560" s="1183"/>
      <c r="P4560" s="1201"/>
      <c r="Q4560" s="1201"/>
      <c r="R4560" s="1201"/>
      <c r="S4560" s="1201"/>
      <c r="T4560" s="1201"/>
    </row>
    <row r="4561" spans="12:20">
      <c r="L4561" s="1179"/>
      <c r="M4561" s="1183"/>
      <c r="N4561" s="1183"/>
      <c r="O4561" s="1183"/>
      <c r="P4561" s="1201"/>
      <c r="Q4561" s="1201"/>
      <c r="R4561" s="1201"/>
      <c r="S4561" s="1201"/>
      <c r="T4561" s="1201"/>
    </row>
    <row r="4562" spans="12:20">
      <c r="L4562" s="1179"/>
      <c r="M4562" s="1183"/>
      <c r="N4562" s="1183"/>
      <c r="O4562" s="1183"/>
      <c r="P4562" s="1201"/>
      <c r="Q4562" s="1201"/>
      <c r="R4562" s="1201"/>
      <c r="S4562" s="1201"/>
      <c r="T4562" s="1201"/>
    </row>
    <row r="4563" spans="12:20">
      <c r="L4563" s="1179"/>
      <c r="M4563" s="1183"/>
      <c r="N4563" s="1183"/>
      <c r="O4563" s="1183"/>
      <c r="P4563" s="1201"/>
      <c r="Q4563" s="1201"/>
      <c r="R4563" s="1201"/>
      <c r="S4563" s="1201"/>
      <c r="T4563" s="1201"/>
    </row>
    <row r="4564" spans="12:20">
      <c r="L4564" s="1179"/>
      <c r="M4564" s="1183"/>
      <c r="N4564" s="1183"/>
      <c r="O4564" s="1183"/>
      <c r="P4564" s="1201"/>
      <c r="Q4564" s="1201"/>
      <c r="R4564" s="1201"/>
      <c r="S4564" s="1201"/>
      <c r="T4564" s="1201"/>
    </row>
    <row r="4565" spans="12:20">
      <c r="L4565" s="1179"/>
      <c r="M4565" s="1183"/>
      <c r="N4565" s="1183"/>
      <c r="O4565" s="1183"/>
      <c r="P4565" s="1201"/>
      <c r="Q4565" s="1201"/>
      <c r="R4565" s="1201"/>
      <c r="S4565" s="1201"/>
      <c r="T4565" s="1201"/>
    </row>
    <row r="4566" spans="12:20">
      <c r="L4566" s="1179"/>
      <c r="M4566" s="1183"/>
      <c r="N4566" s="1183"/>
      <c r="O4566" s="1183"/>
      <c r="P4566" s="1201"/>
      <c r="Q4566" s="1201"/>
      <c r="R4566" s="1201"/>
      <c r="S4566" s="1201"/>
      <c r="T4566" s="1201"/>
    </row>
    <row r="4567" spans="12:20">
      <c r="L4567" s="1179"/>
      <c r="M4567" s="1183"/>
      <c r="N4567" s="1183"/>
      <c r="O4567" s="1183"/>
      <c r="P4567" s="1201"/>
      <c r="Q4567" s="1201"/>
      <c r="R4567" s="1201"/>
      <c r="S4567" s="1201"/>
      <c r="T4567" s="1201"/>
    </row>
    <row r="4568" spans="12:20">
      <c r="L4568" s="1179"/>
      <c r="M4568" s="1183"/>
      <c r="N4568" s="1183"/>
      <c r="O4568" s="1183"/>
      <c r="P4568" s="1201"/>
      <c r="Q4568" s="1201"/>
      <c r="R4568" s="1201"/>
      <c r="S4568" s="1201"/>
      <c r="T4568" s="1201"/>
    </row>
    <row r="4569" spans="12:20">
      <c r="L4569" s="1179"/>
      <c r="M4569" s="1183"/>
      <c r="N4569" s="1183"/>
      <c r="O4569" s="1183"/>
      <c r="P4569" s="1201"/>
      <c r="Q4569" s="1201"/>
      <c r="R4569" s="1201"/>
      <c r="S4569" s="1201"/>
      <c r="T4569" s="1201"/>
    </row>
    <row r="4570" spans="12:20">
      <c r="L4570" s="1179"/>
      <c r="M4570" s="1183"/>
      <c r="N4570" s="1183"/>
      <c r="O4570" s="1183"/>
      <c r="P4570" s="1201"/>
      <c r="Q4570" s="1201"/>
      <c r="R4570" s="1201"/>
      <c r="S4570" s="1201"/>
      <c r="T4570" s="1201"/>
    </row>
    <row r="4571" spans="12:20">
      <c r="L4571" s="1179"/>
      <c r="M4571" s="1183"/>
      <c r="N4571" s="1183"/>
      <c r="O4571" s="1183"/>
      <c r="P4571" s="1201"/>
      <c r="Q4571" s="1201"/>
      <c r="R4571" s="1201"/>
      <c r="S4571" s="1201"/>
      <c r="T4571" s="1201"/>
    </row>
    <row r="4572" spans="12:20">
      <c r="L4572" s="1179"/>
      <c r="M4572" s="1183"/>
      <c r="N4572" s="1183"/>
      <c r="O4572" s="1183"/>
      <c r="P4572" s="1201"/>
      <c r="Q4572" s="1201"/>
      <c r="R4572" s="1201"/>
      <c r="S4572" s="1201"/>
      <c r="T4572" s="1201"/>
    </row>
    <row r="4573" spans="12:20">
      <c r="L4573" s="1179"/>
      <c r="M4573" s="1183"/>
      <c r="N4573" s="1183"/>
      <c r="O4573" s="1183"/>
      <c r="P4573" s="1201"/>
      <c r="Q4573" s="1201"/>
      <c r="R4573" s="1201"/>
      <c r="S4573" s="1201"/>
      <c r="T4573" s="1201"/>
    </row>
    <row r="4574" spans="12:20">
      <c r="L4574" s="1179"/>
      <c r="M4574" s="1183"/>
      <c r="N4574" s="1183"/>
      <c r="O4574" s="1183"/>
      <c r="P4574" s="1201"/>
      <c r="Q4574" s="1201"/>
      <c r="R4574" s="1201"/>
      <c r="S4574" s="1201"/>
      <c r="T4574" s="1201"/>
    </row>
    <row r="4575" spans="12:20">
      <c r="L4575" s="1179"/>
      <c r="M4575" s="1183"/>
      <c r="N4575" s="1183"/>
      <c r="O4575" s="1183"/>
      <c r="P4575" s="1201"/>
      <c r="Q4575" s="1201"/>
      <c r="R4575" s="1201"/>
      <c r="S4575" s="1201"/>
      <c r="T4575" s="1201"/>
    </row>
    <row r="4576" spans="12:20">
      <c r="L4576" s="1179"/>
      <c r="M4576" s="1183"/>
      <c r="N4576" s="1183"/>
      <c r="O4576" s="1183"/>
      <c r="P4576" s="1201"/>
      <c r="Q4576" s="1201"/>
      <c r="R4576" s="1201"/>
      <c r="S4576" s="1201"/>
      <c r="T4576" s="1201"/>
    </row>
    <row r="4577" spans="12:20">
      <c r="L4577" s="1179"/>
      <c r="M4577" s="1183"/>
      <c r="N4577" s="1183"/>
      <c r="O4577" s="1183"/>
      <c r="P4577" s="1201"/>
      <c r="Q4577" s="1201"/>
      <c r="R4577" s="1201"/>
      <c r="S4577" s="1201"/>
      <c r="T4577" s="1201"/>
    </row>
    <row r="4578" spans="12:20">
      <c r="L4578" s="1179"/>
      <c r="M4578" s="1183"/>
      <c r="N4578" s="1183"/>
      <c r="O4578" s="1183"/>
      <c r="P4578" s="1201"/>
      <c r="Q4578" s="1201"/>
      <c r="R4578" s="1201"/>
      <c r="S4578" s="1201"/>
      <c r="T4578" s="1201"/>
    </row>
    <row r="4579" spans="12:20">
      <c r="L4579" s="1179"/>
      <c r="M4579" s="1183"/>
      <c r="N4579" s="1183"/>
      <c r="O4579" s="1183"/>
      <c r="P4579" s="1201"/>
      <c r="Q4579" s="1201"/>
      <c r="R4579" s="1201"/>
      <c r="S4579" s="1201"/>
      <c r="T4579" s="1201"/>
    </row>
    <row r="4580" spans="12:20">
      <c r="L4580" s="1179"/>
      <c r="M4580" s="1183"/>
      <c r="N4580" s="1183"/>
      <c r="O4580" s="1183"/>
      <c r="P4580" s="1201"/>
      <c r="Q4580" s="1201"/>
      <c r="R4580" s="1201"/>
      <c r="S4580" s="1201"/>
      <c r="T4580" s="1201"/>
    </row>
    <row r="4581" spans="12:20">
      <c r="L4581" s="1179"/>
      <c r="M4581" s="1183"/>
      <c r="N4581" s="1183"/>
      <c r="O4581" s="1183"/>
      <c r="P4581" s="1201"/>
      <c r="Q4581" s="1201"/>
      <c r="R4581" s="1201"/>
      <c r="S4581" s="1201"/>
      <c r="T4581" s="1201"/>
    </row>
    <row r="4582" spans="12:20">
      <c r="L4582" s="1179"/>
      <c r="M4582" s="1183"/>
      <c r="N4582" s="1183"/>
      <c r="O4582" s="1183"/>
      <c r="P4582" s="1201"/>
      <c r="Q4582" s="1201"/>
      <c r="R4582" s="1201"/>
      <c r="S4582" s="1201"/>
      <c r="T4582" s="1201"/>
    </row>
    <row r="4583" spans="12:20">
      <c r="L4583" s="1179"/>
      <c r="M4583" s="1183"/>
      <c r="N4583" s="1183"/>
      <c r="O4583" s="1183"/>
      <c r="P4583" s="1201"/>
      <c r="Q4583" s="1201"/>
      <c r="R4583" s="1201"/>
      <c r="S4583" s="1201"/>
      <c r="T4583" s="1201"/>
    </row>
    <row r="4584" spans="12:20">
      <c r="L4584" s="1179"/>
      <c r="M4584" s="1183"/>
      <c r="N4584" s="1183"/>
      <c r="O4584" s="1183"/>
      <c r="P4584" s="1201"/>
      <c r="Q4584" s="1201"/>
      <c r="R4584" s="1201"/>
      <c r="S4584" s="1201"/>
      <c r="T4584" s="1201"/>
    </row>
    <row r="4585" spans="12:20">
      <c r="L4585" s="1179"/>
      <c r="M4585" s="1183"/>
      <c r="N4585" s="1183"/>
      <c r="O4585" s="1183"/>
      <c r="P4585" s="1201"/>
      <c r="Q4585" s="1201"/>
      <c r="R4585" s="1201"/>
      <c r="S4585" s="1201"/>
      <c r="T4585" s="1201"/>
    </row>
    <row r="4586" spans="12:20">
      <c r="L4586" s="1179"/>
      <c r="M4586" s="1183"/>
      <c r="N4586" s="1183"/>
      <c r="O4586" s="1183"/>
      <c r="P4586" s="1201"/>
      <c r="Q4586" s="1201"/>
      <c r="R4586" s="1201"/>
      <c r="S4586" s="1201"/>
      <c r="T4586" s="1201"/>
    </row>
    <row r="4587" spans="12:20">
      <c r="L4587" s="1179"/>
      <c r="M4587" s="1183"/>
      <c r="N4587" s="1183"/>
      <c r="O4587" s="1183"/>
      <c r="P4587" s="1201"/>
      <c r="Q4587" s="1201"/>
      <c r="R4587" s="1201"/>
      <c r="S4587" s="1201"/>
      <c r="T4587" s="1201"/>
    </row>
    <row r="4588" spans="12:20">
      <c r="L4588" s="1179"/>
      <c r="M4588" s="1183"/>
      <c r="N4588" s="1183"/>
      <c r="O4588" s="1183"/>
      <c r="P4588" s="1201"/>
      <c r="Q4588" s="1201"/>
      <c r="R4588" s="1201"/>
      <c r="S4588" s="1201"/>
      <c r="T4588" s="1201"/>
    </row>
    <row r="4589" spans="12:20">
      <c r="L4589" s="1179"/>
      <c r="M4589" s="1183"/>
      <c r="N4589" s="1183"/>
      <c r="O4589" s="1183"/>
      <c r="P4589" s="1201"/>
      <c r="Q4589" s="1201"/>
      <c r="R4589" s="1201"/>
      <c r="S4589" s="1201"/>
      <c r="T4589" s="1201"/>
    </row>
    <row r="4590" spans="12:20">
      <c r="L4590" s="1179"/>
      <c r="M4590" s="1183"/>
      <c r="N4590" s="1183"/>
      <c r="O4590" s="1183"/>
      <c r="P4590" s="1201"/>
      <c r="Q4590" s="1201"/>
      <c r="R4590" s="1201"/>
      <c r="S4590" s="1201"/>
      <c r="T4590" s="1201"/>
    </row>
    <row r="4591" spans="12:20">
      <c r="L4591" s="1179"/>
      <c r="M4591" s="1183"/>
      <c r="N4591" s="1183"/>
      <c r="O4591" s="1183"/>
      <c r="P4591" s="1201"/>
      <c r="Q4591" s="1201"/>
      <c r="R4591" s="1201"/>
      <c r="S4591" s="1201"/>
      <c r="T4591" s="1201"/>
    </row>
    <row r="4592" spans="12:20">
      <c r="L4592" s="1179"/>
      <c r="M4592" s="1183"/>
      <c r="N4592" s="1183"/>
      <c r="O4592" s="1183"/>
      <c r="P4592" s="1201"/>
      <c r="Q4592" s="1201"/>
      <c r="R4592" s="1201"/>
      <c r="S4592" s="1201"/>
      <c r="T4592" s="1201"/>
    </row>
    <row r="4593" spans="12:20">
      <c r="L4593" s="1179"/>
      <c r="M4593" s="1183"/>
      <c r="N4593" s="1183"/>
      <c r="O4593" s="1183"/>
      <c r="P4593" s="1201"/>
      <c r="Q4593" s="1201"/>
      <c r="R4593" s="1201"/>
      <c r="S4593" s="1201"/>
      <c r="T4593" s="1201"/>
    </row>
    <row r="4594" spans="12:20">
      <c r="L4594" s="1179"/>
      <c r="M4594" s="1183"/>
      <c r="N4594" s="1183"/>
      <c r="O4594" s="1183"/>
      <c r="P4594" s="1201"/>
      <c r="Q4594" s="1201"/>
      <c r="R4594" s="1201"/>
      <c r="S4594" s="1201"/>
      <c r="T4594" s="1201"/>
    </row>
    <row r="4595" spans="12:20">
      <c r="L4595" s="1179"/>
      <c r="M4595" s="1183"/>
      <c r="N4595" s="1183"/>
      <c r="O4595" s="1183"/>
      <c r="P4595" s="1201"/>
      <c r="Q4595" s="1201"/>
      <c r="R4595" s="1201"/>
      <c r="S4595" s="1201"/>
      <c r="T4595" s="1201"/>
    </row>
    <row r="4596" spans="12:20">
      <c r="L4596" s="1179"/>
      <c r="M4596" s="1183"/>
      <c r="N4596" s="1183"/>
      <c r="O4596" s="1183"/>
      <c r="P4596" s="1201"/>
      <c r="Q4596" s="1201"/>
      <c r="R4596" s="1201"/>
      <c r="S4596" s="1201"/>
      <c r="T4596" s="1201"/>
    </row>
    <row r="4597" spans="12:20">
      <c r="L4597" s="1179"/>
      <c r="M4597" s="1183"/>
      <c r="N4597" s="1183"/>
      <c r="O4597" s="1183"/>
      <c r="P4597" s="1201"/>
      <c r="Q4597" s="1201"/>
      <c r="R4597" s="1201"/>
      <c r="S4597" s="1201"/>
      <c r="T4597" s="1201"/>
    </row>
    <row r="4598" spans="12:20">
      <c r="L4598" s="1179"/>
      <c r="M4598" s="1183"/>
      <c r="N4598" s="1183"/>
      <c r="O4598" s="1183"/>
      <c r="P4598" s="1201"/>
      <c r="Q4598" s="1201"/>
      <c r="R4598" s="1201"/>
      <c r="S4598" s="1201"/>
      <c r="T4598" s="1201"/>
    </row>
    <row r="4599" spans="12:20">
      <c r="L4599" s="1179"/>
      <c r="M4599" s="1183"/>
      <c r="N4599" s="1183"/>
      <c r="O4599" s="1183"/>
      <c r="P4599" s="1201"/>
      <c r="Q4599" s="1201"/>
      <c r="R4599" s="1201"/>
      <c r="S4599" s="1201"/>
      <c r="T4599" s="1201"/>
    </row>
    <row r="4600" spans="12:20">
      <c r="L4600" s="1179"/>
      <c r="M4600" s="1183"/>
      <c r="N4600" s="1183"/>
      <c r="O4600" s="1183"/>
      <c r="P4600" s="1201"/>
      <c r="Q4600" s="1201"/>
      <c r="R4600" s="1201"/>
      <c r="S4600" s="1201"/>
      <c r="T4600" s="1201"/>
    </row>
    <row r="4601" spans="12:20">
      <c r="L4601" s="1179"/>
      <c r="M4601" s="1183"/>
      <c r="N4601" s="1183"/>
      <c r="O4601" s="1183"/>
      <c r="P4601" s="1201"/>
      <c r="Q4601" s="1201"/>
      <c r="R4601" s="1201"/>
      <c r="S4601" s="1201"/>
      <c r="T4601" s="1201"/>
    </row>
    <row r="4602" spans="12:20">
      <c r="L4602" s="1179"/>
      <c r="M4602" s="1183"/>
      <c r="N4602" s="1183"/>
      <c r="O4602" s="1183"/>
      <c r="P4602" s="1201"/>
      <c r="Q4602" s="1201"/>
      <c r="R4602" s="1201"/>
      <c r="S4602" s="1201"/>
      <c r="T4602" s="1201"/>
    </row>
    <row r="4603" spans="12:20">
      <c r="L4603" s="1179"/>
      <c r="M4603" s="1183"/>
      <c r="N4603" s="1183"/>
      <c r="O4603" s="1183"/>
      <c r="P4603" s="1201"/>
      <c r="Q4603" s="1201"/>
      <c r="R4603" s="1201"/>
      <c r="S4603" s="1201"/>
      <c r="T4603" s="1201"/>
    </row>
    <row r="4604" spans="12:20">
      <c r="L4604" s="1179"/>
      <c r="M4604" s="1183"/>
      <c r="N4604" s="1183"/>
      <c r="O4604" s="1183"/>
      <c r="P4604" s="1201"/>
      <c r="Q4604" s="1201"/>
      <c r="R4604" s="1201"/>
      <c r="S4604" s="1201"/>
      <c r="T4604" s="1201"/>
    </row>
    <row r="4605" spans="12:20">
      <c r="L4605" s="1179"/>
      <c r="M4605" s="1183"/>
      <c r="N4605" s="1183"/>
      <c r="O4605" s="1183"/>
      <c r="P4605" s="1201"/>
      <c r="Q4605" s="1201"/>
      <c r="R4605" s="1201"/>
      <c r="S4605" s="1201"/>
      <c r="T4605" s="1201"/>
    </row>
    <row r="4606" spans="12:20">
      <c r="L4606" s="1179"/>
      <c r="M4606" s="1183"/>
      <c r="N4606" s="1183"/>
      <c r="O4606" s="1183"/>
      <c r="P4606" s="1201"/>
      <c r="Q4606" s="1201"/>
      <c r="R4606" s="1201"/>
      <c r="S4606" s="1201"/>
      <c r="T4606" s="1201"/>
    </row>
    <row r="4607" spans="12:20">
      <c r="L4607" s="1179"/>
      <c r="M4607" s="1183"/>
      <c r="N4607" s="1183"/>
      <c r="O4607" s="1183"/>
      <c r="P4607" s="1201"/>
      <c r="Q4607" s="1201"/>
      <c r="R4607" s="1201"/>
      <c r="S4607" s="1201"/>
      <c r="T4607" s="1201"/>
    </row>
    <row r="4608" spans="12:20">
      <c r="L4608" s="1179"/>
      <c r="M4608" s="1183"/>
      <c r="N4608" s="1183"/>
      <c r="O4608" s="1183"/>
      <c r="P4608" s="1201"/>
      <c r="Q4608" s="1201"/>
      <c r="R4608" s="1201"/>
      <c r="S4608" s="1201"/>
      <c r="T4608" s="1201"/>
    </row>
    <row r="4609" spans="12:20">
      <c r="L4609" s="1179"/>
      <c r="M4609" s="1183"/>
      <c r="N4609" s="1183"/>
      <c r="O4609" s="1183"/>
      <c r="P4609" s="1201"/>
      <c r="Q4609" s="1201"/>
      <c r="R4609" s="1201"/>
      <c r="S4609" s="1201"/>
      <c r="T4609" s="1201"/>
    </row>
    <row r="4610" spans="12:20">
      <c r="L4610" s="1179"/>
      <c r="M4610" s="1183"/>
      <c r="N4610" s="1183"/>
      <c r="O4610" s="1183"/>
      <c r="P4610" s="1201"/>
      <c r="Q4610" s="1201"/>
      <c r="R4610" s="1201"/>
      <c r="S4610" s="1201"/>
      <c r="T4610" s="1201"/>
    </row>
    <row r="4611" spans="12:20">
      <c r="L4611" s="1179"/>
      <c r="M4611" s="1183"/>
      <c r="N4611" s="1183"/>
      <c r="O4611" s="1183"/>
      <c r="P4611" s="1201"/>
      <c r="Q4611" s="1201"/>
      <c r="R4611" s="1201"/>
      <c r="S4611" s="1201"/>
      <c r="T4611" s="1201"/>
    </row>
    <row r="4612" spans="12:20">
      <c r="L4612" s="1179"/>
      <c r="M4612" s="1183"/>
      <c r="N4612" s="1183"/>
      <c r="O4612" s="1183"/>
      <c r="P4612" s="1201"/>
      <c r="Q4612" s="1201"/>
      <c r="R4612" s="1201"/>
      <c r="S4612" s="1201"/>
      <c r="T4612" s="1201"/>
    </row>
    <row r="4613" spans="12:20">
      <c r="L4613" s="1179"/>
      <c r="M4613" s="1183"/>
      <c r="N4613" s="1183"/>
      <c r="O4613" s="1183"/>
      <c r="P4613" s="1201"/>
      <c r="Q4613" s="1201"/>
      <c r="R4613" s="1201"/>
      <c r="S4613" s="1201"/>
      <c r="T4613" s="1201"/>
    </row>
    <row r="4614" spans="12:20">
      <c r="L4614" s="1179"/>
      <c r="M4614" s="1183"/>
      <c r="N4614" s="1183"/>
      <c r="O4614" s="1183"/>
      <c r="P4614" s="1201"/>
      <c r="Q4614" s="1201"/>
      <c r="R4614" s="1201"/>
      <c r="S4614" s="1201"/>
      <c r="T4614" s="1201"/>
    </row>
    <row r="4615" spans="12:20">
      <c r="L4615" s="1179"/>
      <c r="M4615" s="1183"/>
      <c r="N4615" s="1183"/>
      <c r="O4615" s="1183"/>
      <c r="P4615" s="1201"/>
      <c r="Q4615" s="1201"/>
      <c r="R4615" s="1201"/>
      <c r="S4615" s="1201"/>
      <c r="T4615" s="1201"/>
    </row>
    <row r="4616" spans="12:20">
      <c r="L4616" s="1179"/>
      <c r="M4616" s="1183"/>
      <c r="N4616" s="1183"/>
      <c r="O4616" s="1183"/>
      <c r="P4616" s="1201"/>
      <c r="Q4616" s="1201"/>
      <c r="R4616" s="1201"/>
      <c r="S4616" s="1201"/>
      <c r="T4616" s="1201"/>
    </row>
    <row r="4617" spans="12:20">
      <c r="L4617" s="1179"/>
      <c r="M4617" s="1183"/>
      <c r="N4617" s="1183"/>
      <c r="O4617" s="1183"/>
      <c r="P4617" s="1201"/>
      <c r="Q4617" s="1201"/>
      <c r="R4617" s="1201"/>
      <c r="S4617" s="1201"/>
      <c r="T4617" s="1201"/>
    </row>
    <row r="4618" spans="12:20">
      <c r="L4618" s="1179"/>
      <c r="M4618" s="1183"/>
      <c r="N4618" s="1183"/>
      <c r="O4618" s="1183"/>
      <c r="P4618" s="1201"/>
      <c r="Q4618" s="1201"/>
      <c r="R4618" s="1201"/>
      <c r="S4618" s="1201"/>
      <c r="T4618" s="1201"/>
    </row>
    <row r="4619" spans="12:20">
      <c r="L4619" s="1179"/>
      <c r="M4619" s="1183"/>
      <c r="N4619" s="1183"/>
      <c r="O4619" s="1183"/>
      <c r="P4619" s="1201"/>
      <c r="Q4619" s="1201"/>
      <c r="R4619" s="1201"/>
      <c r="S4619" s="1201"/>
      <c r="T4619" s="1201"/>
    </row>
    <row r="4620" spans="12:20">
      <c r="L4620" s="1179"/>
      <c r="M4620" s="1183"/>
      <c r="N4620" s="1183"/>
      <c r="O4620" s="1183"/>
      <c r="P4620" s="1201"/>
      <c r="Q4620" s="1201"/>
      <c r="R4620" s="1201"/>
      <c r="S4620" s="1201"/>
      <c r="T4620" s="1201"/>
    </row>
    <row r="4621" spans="12:20">
      <c r="L4621" s="1179"/>
      <c r="M4621" s="1183"/>
      <c r="N4621" s="1183"/>
      <c r="O4621" s="1183"/>
      <c r="P4621" s="1201"/>
      <c r="Q4621" s="1201"/>
      <c r="R4621" s="1201"/>
      <c r="S4621" s="1201"/>
      <c r="T4621" s="1201"/>
    </row>
    <row r="4622" spans="12:20">
      <c r="L4622" s="1179"/>
      <c r="M4622" s="1183"/>
      <c r="N4622" s="1183"/>
      <c r="O4622" s="1183"/>
      <c r="P4622" s="1201"/>
      <c r="Q4622" s="1201"/>
      <c r="R4622" s="1201"/>
      <c r="S4622" s="1201"/>
      <c r="T4622" s="1201"/>
    </row>
    <row r="4623" spans="12:20">
      <c r="L4623" s="1179"/>
      <c r="M4623" s="1183"/>
      <c r="N4623" s="1183"/>
      <c r="O4623" s="1183"/>
      <c r="P4623" s="1201"/>
      <c r="Q4623" s="1201"/>
      <c r="R4623" s="1201"/>
      <c r="S4623" s="1201"/>
      <c r="T4623" s="1201"/>
    </row>
    <row r="4624" spans="12:20">
      <c r="L4624" s="1179"/>
      <c r="M4624" s="1183"/>
      <c r="N4624" s="1183"/>
      <c r="O4624" s="1183"/>
      <c r="P4624" s="1201"/>
      <c r="Q4624" s="1201"/>
      <c r="R4624" s="1201"/>
      <c r="S4624" s="1201"/>
      <c r="T4624" s="1201"/>
    </row>
    <row r="4625" spans="12:20">
      <c r="L4625" s="1179"/>
      <c r="M4625" s="1183"/>
      <c r="N4625" s="1183"/>
      <c r="O4625" s="1183"/>
      <c r="P4625" s="1201"/>
      <c r="Q4625" s="1201"/>
      <c r="R4625" s="1201"/>
      <c r="S4625" s="1201"/>
      <c r="T4625" s="1201"/>
    </row>
    <row r="4626" spans="12:20">
      <c r="L4626" s="1179"/>
      <c r="M4626" s="1183"/>
      <c r="N4626" s="1183"/>
      <c r="O4626" s="1183"/>
      <c r="P4626" s="1201"/>
      <c r="Q4626" s="1201"/>
      <c r="R4626" s="1201"/>
      <c r="S4626" s="1201"/>
      <c r="T4626" s="1201"/>
    </row>
    <row r="4627" spans="12:20">
      <c r="L4627" s="1179"/>
      <c r="M4627" s="1183"/>
      <c r="N4627" s="1183"/>
      <c r="O4627" s="1183"/>
      <c r="P4627" s="1201"/>
      <c r="Q4627" s="1201"/>
      <c r="R4627" s="1201"/>
      <c r="S4627" s="1201"/>
      <c r="T4627" s="1201"/>
    </row>
    <row r="4628" spans="12:20">
      <c r="L4628" s="1179"/>
      <c r="M4628" s="1183"/>
      <c r="N4628" s="1183"/>
      <c r="O4628" s="1183"/>
      <c r="P4628" s="1201"/>
      <c r="Q4628" s="1201"/>
      <c r="R4628" s="1201"/>
      <c r="S4628" s="1201"/>
      <c r="T4628" s="1201"/>
    </row>
    <row r="4629" spans="12:20">
      <c r="L4629" s="1179"/>
      <c r="M4629" s="1183"/>
      <c r="N4629" s="1183"/>
      <c r="O4629" s="1183"/>
      <c r="P4629" s="1201"/>
      <c r="Q4629" s="1201"/>
      <c r="R4629" s="1201"/>
      <c r="S4629" s="1201"/>
      <c r="T4629" s="1201"/>
    </row>
    <row r="4630" spans="12:20">
      <c r="L4630" s="1179"/>
      <c r="M4630" s="1183"/>
      <c r="N4630" s="1183"/>
      <c r="O4630" s="1183"/>
      <c r="P4630" s="1201"/>
      <c r="Q4630" s="1201"/>
      <c r="R4630" s="1201"/>
      <c r="S4630" s="1201"/>
      <c r="T4630" s="1201"/>
    </row>
    <row r="4631" spans="12:20">
      <c r="L4631" s="1179"/>
      <c r="M4631" s="1183"/>
      <c r="N4631" s="1183"/>
      <c r="O4631" s="1183"/>
      <c r="P4631" s="1201"/>
      <c r="Q4631" s="1201"/>
      <c r="R4631" s="1201"/>
      <c r="S4631" s="1201"/>
      <c r="T4631" s="1201"/>
    </row>
    <row r="4632" spans="12:20">
      <c r="L4632" s="1179"/>
      <c r="M4632" s="1183"/>
      <c r="N4632" s="1183"/>
      <c r="O4632" s="1183"/>
      <c r="P4632" s="1201"/>
      <c r="Q4632" s="1201"/>
      <c r="R4632" s="1201"/>
      <c r="S4632" s="1201"/>
      <c r="T4632" s="1201"/>
    </row>
    <row r="4633" spans="12:20">
      <c r="L4633" s="1179"/>
      <c r="M4633" s="1183"/>
      <c r="N4633" s="1183"/>
      <c r="O4633" s="1183"/>
      <c r="P4633" s="1201"/>
      <c r="Q4633" s="1201"/>
      <c r="R4633" s="1201"/>
      <c r="S4633" s="1201"/>
      <c r="T4633" s="1201"/>
    </row>
    <row r="4634" spans="12:20">
      <c r="L4634" s="1179"/>
      <c r="M4634" s="1183"/>
      <c r="N4634" s="1183"/>
      <c r="O4634" s="1183"/>
      <c r="P4634" s="1201"/>
      <c r="Q4634" s="1201"/>
      <c r="R4634" s="1201"/>
      <c r="S4634" s="1201"/>
      <c r="T4634" s="1201"/>
    </row>
    <row r="4635" spans="12:20">
      <c r="L4635" s="1179"/>
      <c r="M4635" s="1183"/>
      <c r="N4635" s="1183"/>
      <c r="O4635" s="1183"/>
      <c r="P4635" s="1201"/>
      <c r="Q4635" s="1201"/>
      <c r="R4635" s="1201"/>
      <c r="S4635" s="1201"/>
      <c r="T4635" s="1201"/>
    </row>
    <row r="4636" spans="12:20">
      <c r="L4636" s="1179"/>
      <c r="M4636" s="1183"/>
      <c r="N4636" s="1183"/>
      <c r="O4636" s="1183"/>
      <c r="P4636" s="1201"/>
      <c r="Q4636" s="1201"/>
      <c r="R4636" s="1201"/>
      <c r="S4636" s="1201"/>
      <c r="T4636" s="1201"/>
    </row>
    <row r="4637" spans="12:20">
      <c r="L4637" s="1179"/>
      <c r="M4637" s="1183"/>
      <c r="N4637" s="1183"/>
      <c r="O4637" s="1183"/>
      <c r="P4637" s="1201"/>
      <c r="Q4637" s="1201"/>
      <c r="R4637" s="1201"/>
      <c r="S4637" s="1201"/>
      <c r="T4637" s="1201"/>
    </row>
    <row r="4638" spans="12:20">
      <c r="L4638" s="1179"/>
      <c r="M4638" s="1183"/>
      <c r="N4638" s="1183"/>
      <c r="O4638" s="1183"/>
      <c r="P4638" s="1201"/>
      <c r="Q4638" s="1201"/>
      <c r="R4638" s="1201"/>
      <c r="S4638" s="1201"/>
      <c r="T4638" s="1201"/>
    </row>
    <row r="4639" spans="12:20">
      <c r="L4639" s="1179"/>
      <c r="M4639" s="1183"/>
      <c r="N4639" s="1183"/>
      <c r="O4639" s="1183"/>
      <c r="P4639" s="1201"/>
      <c r="Q4639" s="1201"/>
      <c r="R4639" s="1201"/>
      <c r="S4639" s="1201"/>
      <c r="T4639" s="1201"/>
    </row>
    <row r="4640" spans="12:20">
      <c r="L4640" s="1179"/>
      <c r="M4640" s="1183"/>
      <c r="N4640" s="1183"/>
      <c r="O4640" s="1183"/>
      <c r="P4640" s="1201"/>
      <c r="Q4640" s="1201"/>
      <c r="R4640" s="1201"/>
      <c r="S4640" s="1201"/>
      <c r="T4640" s="1201"/>
    </row>
    <row r="4641" spans="12:20">
      <c r="L4641" s="1179"/>
      <c r="M4641" s="1183"/>
      <c r="N4641" s="1183"/>
      <c r="O4641" s="1183"/>
      <c r="P4641" s="1201"/>
      <c r="Q4641" s="1201"/>
      <c r="R4641" s="1201"/>
      <c r="S4641" s="1201"/>
      <c r="T4641" s="1201"/>
    </row>
    <row r="4642" spans="12:20">
      <c r="L4642" s="1179"/>
      <c r="M4642" s="1183"/>
      <c r="N4642" s="1183"/>
      <c r="O4642" s="1183"/>
      <c r="P4642" s="1201"/>
      <c r="Q4642" s="1201"/>
      <c r="R4642" s="1201"/>
      <c r="S4642" s="1201"/>
      <c r="T4642" s="1201"/>
    </row>
    <row r="4643" spans="12:20">
      <c r="L4643" s="1179"/>
      <c r="M4643" s="1183"/>
      <c r="N4643" s="1183"/>
      <c r="O4643" s="1183"/>
      <c r="P4643" s="1201"/>
      <c r="Q4643" s="1201"/>
      <c r="R4643" s="1201"/>
      <c r="S4643" s="1201"/>
      <c r="T4643" s="1201"/>
    </row>
    <row r="4644" spans="12:20">
      <c r="L4644" s="1179"/>
      <c r="M4644" s="1183"/>
      <c r="N4644" s="1183"/>
      <c r="O4644" s="1183"/>
      <c r="P4644" s="1201"/>
      <c r="Q4644" s="1201"/>
      <c r="R4644" s="1201"/>
      <c r="S4644" s="1201"/>
      <c r="T4644" s="1201"/>
    </row>
    <row r="4645" spans="12:20">
      <c r="L4645" s="1179"/>
      <c r="M4645" s="1183"/>
      <c r="N4645" s="1183"/>
      <c r="O4645" s="1183"/>
      <c r="P4645" s="1201"/>
      <c r="Q4645" s="1201"/>
      <c r="R4645" s="1201"/>
      <c r="S4645" s="1201"/>
      <c r="T4645" s="1201"/>
    </row>
    <row r="4646" spans="12:20">
      <c r="L4646" s="1179"/>
      <c r="M4646" s="1183"/>
      <c r="N4646" s="1183"/>
      <c r="O4646" s="1183"/>
      <c r="P4646" s="1201"/>
      <c r="Q4646" s="1201"/>
      <c r="R4646" s="1201"/>
      <c r="S4646" s="1201"/>
      <c r="T4646" s="1201"/>
    </row>
    <row r="4647" spans="12:20">
      <c r="L4647" s="1179"/>
      <c r="M4647" s="1183"/>
      <c r="N4647" s="1183"/>
      <c r="O4647" s="1183"/>
      <c r="P4647" s="1201"/>
      <c r="Q4647" s="1201"/>
      <c r="R4647" s="1201"/>
      <c r="S4647" s="1201"/>
      <c r="T4647" s="1201"/>
    </row>
    <row r="4648" spans="12:20">
      <c r="L4648" s="1179"/>
      <c r="M4648" s="1183"/>
      <c r="N4648" s="1183"/>
      <c r="O4648" s="1183"/>
      <c r="P4648" s="1201"/>
      <c r="Q4648" s="1201"/>
      <c r="R4648" s="1201"/>
      <c r="S4648" s="1201"/>
      <c r="T4648" s="1201"/>
    </row>
    <row r="4649" spans="12:20">
      <c r="L4649" s="1179"/>
      <c r="M4649" s="1183"/>
      <c r="N4649" s="1183"/>
      <c r="O4649" s="1183"/>
      <c r="P4649" s="1201"/>
      <c r="Q4649" s="1201"/>
      <c r="R4649" s="1201"/>
      <c r="S4649" s="1201"/>
      <c r="T4649" s="1201"/>
    </row>
    <row r="4650" spans="12:20">
      <c r="L4650" s="1179"/>
      <c r="M4650" s="1183"/>
      <c r="N4650" s="1183"/>
      <c r="O4650" s="1183"/>
      <c r="P4650" s="1201"/>
      <c r="Q4650" s="1201"/>
      <c r="R4650" s="1201"/>
      <c r="S4650" s="1201"/>
      <c r="T4650" s="1201"/>
    </row>
    <row r="4651" spans="12:20">
      <c r="L4651" s="1179"/>
      <c r="M4651" s="1183"/>
      <c r="N4651" s="1183"/>
      <c r="O4651" s="1183"/>
      <c r="P4651" s="1201"/>
      <c r="Q4651" s="1201"/>
      <c r="R4651" s="1201"/>
      <c r="S4651" s="1201"/>
      <c r="T4651" s="1201"/>
    </row>
    <row r="4652" spans="12:20">
      <c r="L4652" s="1179"/>
      <c r="M4652" s="1183"/>
      <c r="N4652" s="1183"/>
      <c r="O4652" s="1183"/>
      <c r="P4652" s="1201"/>
      <c r="Q4652" s="1201"/>
      <c r="R4652" s="1201"/>
      <c r="S4652" s="1201"/>
      <c r="T4652" s="1201"/>
    </row>
    <row r="4653" spans="12:20">
      <c r="L4653" s="1179"/>
      <c r="M4653" s="1183"/>
      <c r="N4653" s="1183"/>
      <c r="O4653" s="1183"/>
      <c r="P4653" s="1201"/>
      <c r="Q4653" s="1201"/>
      <c r="R4653" s="1201"/>
      <c r="S4653" s="1201"/>
      <c r="T4653" s="1201"/>
    </row>
    <row r="4654" spans="12:20">
      <c r="L4654" s="1179"/>
      <c r="M4654" s="1183"/>
      <c r="N4654" s="1183"/>
      <c r="O4654" s="1183"/>
      <c r="P4654" s="1201"/>
      <c r="Q4654" s="1201"/>
      <c r="R4654" s="1201"/>
      <c r="S4654" s="1201"/>
      <c r="T4654" s="1201"/>
    </row>
    <row r="4655" spans="12:20">
      <c r="L4655" s="1179"/>
      <c r="M4655" s="1183"/>
      <c r="N4655" s="1183"/>
      <c r="O4655" s="1183"/>
      <c r="P4655" s="1201"/>
      <c r="Q4655" s="1201"/>
      <c r="R4655" s="1201"/>
      <c r="S4655" s="1201"/>
      <c r="T4655" s="1201"/>
    </row>
    <row r="4656" spans="12:20">
      <c r="L4656" s="1179"/>
      <c r="M4656" s="1183"/>
      <c r="N4656" s="1183"/>
      <c r="O4656" s="1183"/>
      <c r="P4656" s="1201"/>
      <c r="Q4656" s="1201"/>
      <c r="R4656" s="1201"/>
      <c r="S4656" s="1201"/>
      <c r="T4656" s="1201"/>
    </row>
    <row r="4657" spans="12:20">
      <c r="L4657" s="1179"/>
      <c r="M4657" s="1183"/>
      <c r="N4657" s="1183"/>
      <c r="O4657" s="1183"/>
      <c r="P4657" s="1201"/>
      <c r="Q4657" s="1201"/>
      <c r="R4657" s="1201"/>
      <c r="S4657" s="1201"/>
      <c r="T4657" s="1201"/>
    </row>
    <row r="4658" spans="12:20">
      <c r="L4658" s="1179"/>
      <c r="M4658" s="1183"/>
      <c r="N4658" s="1183"/>
      <c r="O4658" s="1183"/>
      <c r="P4658" s="1201"/>
      <c r="Q4658" s="1201"/>
      <c r="R4658" s="1201"/>
      <c r="S4658" s="1201"/>
      <c r="T4658" s="1201"/>
    </row>
    <row r="4659" spans="12:20">
      <c r="L4659" s="1179"/>
      <c r="M4659" s="1183"/>
      <c r="N4659" s="1183"/>
      <c r="O4659" s="1183"/>
      <c r="P4659" s="1201"/>
      <c r="Q4659" s="1201"/>
      <c r="R4659" s="1201"/>
      <c r="S4659" s="1201"/>
      <c r="T4659" s="1201"/>
    </row>
    <row r="4660" spans="12:20">
      <c r="L4660" s="1179"/>
      <c r="M4660" s="1183"/>
      <c r="N4660" s="1183"/>
      <c r="O4660" s="1183"/>
      <c r="P4660" s="1201"/>
      <c r="Q4660" s="1201"/>
      <c r="R4660" s="1201"/>
      <c r="S4660" s="1201"/>
      <c r="T4660" s="1201"/>
    </row>
    <row r="4661" spans="12:20">
      <c r="L4661" s="1179"/>
      <c r="M4661" s="1183"/>
      <c r="N4661" s="1183"/>
      <c r="O4661" s="1183"/>
      <c r="P4661" s="1201"/>
      <c r="Q4661" s="1201"/>
      <c r="R4661" s="1201"/>
      <c r="S4661" s="1201"/>
      <c r="T4661" s="1201"/>
    </row>
    <row r="4662" spans="12:20">
      <c r="L4662" s="1179"/>
      <c r="M4662" s="1183"/>
      <c r="N4662" s="1183"/>
      <c r="O4662" s="1183"/>
      <c r="P4662" s="1201"/>
      <c r="Q4662" s="1201"/>
      <c r="R4662" s="1201"/>
      <c r="S4662" s="1201"/>
      <c r="T4662" s="1201"/>
    </row>
    <row r="4663" spans="12:20">
      <c r="L4663" s="1179"/>
      <c r="M4663" s="1183"/>
      <c r="N4663" s="1183"/>
      <c r="O4663" s="1183"/>
      <c r="P4663" s="1201"/>
      <c r="Q4663" s="1201"/>
      <c r="R4663" s="1201"/>
      <c r="S4663" s="1201"/>
      <c r="T4663" s="1201"/>
    </row>
    <row r="4664" spans="12:20">
      <c r="L4664" s="1179"/>
      <c r="M4664" s="1183"/>
      <c r="N4664" s="1183"/>
      <c r="O4664" s="1183"/>
      <c r="P4664" s="1201"/>
      <c r="Q4664" s="1201"/>
      <c r="R4664" s="1201"/>
      <c r="S4664" s="1201"/>
      <c r="T4664" s="1201"/>
    </row>
    <row r="4665" spans="12:20">
      <c r="L4665" s="1179"/>
      <c r="M4665" s="1183"/>
      <c r="N4665" s="1183"/>
      <c r="O4665" s="1183"/>
      <c r="P4665" s="1201"/>
      <c r="Q4665" s="1201"/>
      <c r="R4665" s="1201"/>
      <c r="S4665" s="1201"/>
      <c r="T4665" s="1201"/>
    </row>
    <row r="4666" spans="12:20">
      <c r="L4666" s="1179"/>
      <c r="M4666" s="1183"/>
      <c r="N4666" s="1183"/>
      <c r="O4666" s="1183"/>
      <c r="P4666" s="1201"/>
      <c r="Q4666" s="1201"/>
      <c r="R4666" s="1201"/>
      <c r="S4666" s="1201"/>
      <c r="T4666" s="1201"/>
    </row>
    <row r="4667" spans="12:20">
      <c r="L4667" s="1179"/>
      <c r="M4667" s="1183"/>
      <c r="N4667" s="1183"/>
      <c r="O4667" s="1183"/>
      <c r="P4667" s="1201"/>
      <c r="Q4667" s="1201"/>
      <c r="R4667" s="1201"/>
      <c r="S4667" s="1201"/>
      <c r="T4667" s="1201"/>
    </row>
    <row r="4668" spans="12:20">
      <c r="L4668" s="1179"/>
      <c r="M4668" s="1183"/>
      <c r="N4668" s="1183"/>
      <c r="O4668" s="1183"/>
      <c r="P4668" s="1201"/>
      <c r="Q4668" s="1201"/>
      <c r="R4668" s="1201"/>
      <c r="S4668" s="1201"/>
      <c r="T4668" s="1201"/>
    </row>
    <row r="4669" spans="12:20">
      <c r="L4669" s="1179"/>
      <c r="M4669" s="1183"/>
      <c r="N4669" s="1183"/>
      <c r="O4669" s="1183"/>
      <c r="P4669" s="1201"/>
      <c r="Q4669" s="1201"/>
      <c r="R4669" s="1201"/>
      <c r="S4669" s="1201"/>
      <c r="T4669" s="1201"/>
    </row>
    <row r="4670" spans="12:20">
      <c r="L4670" s="1179"/>
      <c r="M4670" s="1183"/>
      <c r="N4670" s="1183"/>
      <c r="O4670" s="1183"/>
      <c r="P4670" s="1201"/>
      <c r="Q4670" s="1201"/>
      <c r="R4670" s="1201"/>
      <c r="S4670" s="1201"/>
      <c r="T4670" s="1201"/>
    </row>
    <row r="4671" spans="12:20">
      <c r="L4671" s="1179"/>
      <c r="M4671" s="1183"/>
      <c r="N4671" s="1183"/>
      <c r="O4671" s="1183"/>
      <c r="P4671" s="1201"/>
      <c r="Q4671" s="1201"/>
      <c r="R4671" s="1201"/>
      <c r="S4671" s="1201"/>
      <c r="T4671" s="1201"/>
    </row>
    <row r="4672" spans="12:20">
      <c r="L4672" s="1179"/>
      <c r="M4672" s="1183"/>
      <c r="N4672" s="1183"/>
      <c r="O4672" s="1183"/>
      <c r="P4672" s="1201"/>
      <c r="Q4672" s="1201"/>
      <c r="R4672" s="1201"/>
      <c r="S4672" s="1201"/>
      <c r="T4672" s="1201"/>
    </row>
    <row r="4673" spans="12:20">
      <c r="L4673" s="1179"/>
      <c r="M4673" s="1183"/>
      <c r="N4673" s="1183"/>
      <c r="O4673" s="1183"/>
      <c r="P4673" s="1201"/>
      <c r="Q4673" s="1201"/>
      <c r="R4673" s="1201"/>
      <c r="S4673" s="1201"/>
      <c r="T4673" s="1201"/>
    </row>
    <row r="4674" spans="12:20">
      <c r="L4674" s="1179"/>
      <c r="M4674" s="1183"/>
      <c r="N4674" s="1183"/>
      <c r="O4674" s="1183"/>
      <c r="P4674" s="1201"/>
      <c r="Q4674" s="1201"/>
      <c r="R4674" s="1201"/>
      <c r="S4674" s="1201"/>
      <c r="T4674" s="1201"/>
    </row>
    <row r="4675" spans="12:20">
      <c r="L4675" s="1179"/>
      <c r="M4675" s="1183"/>
      <c r="N4675" s="1183"/>
      <c r="O4675" s="1183"/>
      <c r="P4675" s="1201"/>
      <c r="Q4675" s="1201"/>
      <c r="R4675" s="1201"/>
      <c r="S4675" s="1201"/>
      <c r="T4675" s="1201"/>
    </row>
    <row r="4676" spans="12:20">
      <c r="L4676" s="1179"/>
      <c r="M4676" s="1183"/>
      <c r="N4676" s="1183"/>
      <c r="O4676" s="1183"/>
      <c r="P4676" s="1201"/>
      <c r="Q4676" s="1201"/>
      <c r="R4676" s="1201"/>
      <c r="S4676" s="1201"/>
      <c r="T4676" s="1201"/>
    </row>
    <row r="4677" spans="12:20">
      <c r="L4677" s="1179"/>
      <c r="M4677" s="1183"/>
      <c r="N4677" s="1183"/>
      <c r="O4677" s="1183"/>
      <c r="P4677" s="1201"/>
      <c r="Q4677" s="1201"/>
      <c r="R4677" s="1201"/>
      <c r="S4677" s="1201"/>
      <c r="T4677" s="1201"/>
    </row>
    <row r="4678" spans="12:20">
      <c r="L4678" s="1179"/>
      <c r="M4678" s="1183"/>
      <c r="N4678" s="1183"/>
      <c r="O4678" s="1183"/>
      <c r="P4678" s="1201"/>
      <c r="Q4678" s="1201"/>
      <c r="R4678" s="1201"/>
      <c r="S4678" s="1201"/>
      <c r="T4678" s="1201"/>
    </row>
    <row r="4679" spans="12:20">
      <c r="L4679" s="1179"/>
      <c r="M4679" s="1183"/>
      <c r="N4679" s="1183"/>
      <c r="O4679" s="1183"/>
      <c r="P4679" s="1201"/>
      <c r="Q4679" s="1201"/>
      <c r="R4679" s="1201"/>
      <c r="S4679" s="1201"/>
      <c r="T4679" s="1201"/>
    </row>
    <row r="4680" spans="12:20">
      <c r="L4680" s="1179"/>
      <c r="M4680" s="1183"/>
      <c r="N4680" s="1183"/>
      <c r="O4680" s="1183"/>
      <c r="P4680" s="1201"/>
      <c r="Q4680" s="1201"/>
      <c r="R4680" s="1201"/>
      <c r="S4680" s="1201"/>
      <c r="T4680" s="1201"/>
    </row>
    <row r="4681" spans="12:20">
      <c r="L4681" s="1179"/>
      <c r="M4681" s="1183"/>
      <c r="N4681" s="1183"/>
      <c r="O4681" s="1183"/>
      <c r="P4681" s="1201"/>
      <c r="Q4681" s="1201"/>
      <c r="R4681" s="1201"/>
      <c r="S4681" s="1201"/>
      <c r="T4681" s="1201"/>
    </row>
    <row r="4682" spans="12:20">
      <c r="L4682" s="1179"/>
      <c r="M4682" s="1183"/>
      <c r="N4682" s="1183"/>
      <c r="O4682" s="1183"/>
      <c r="P4682" s="1201"/>
      <c r="Q4682" s="1201"/>
      <c r="R4682" s="1201"/>
      <c r="S4682" s="1201"/>
      <c r="T4682" s="1201"/>
    </row>
    <row r="4683" spans="12:20">
      <c r="L4683" s="1179"/>
      <c r="M4683" s="1183"/>
      <c r="N4683" s="1183"/>
      <c r="O4683" s="1183"/>
      <c r="P4683" s="1201"/>
      <c r="Q4683" s="1201"/>
      <c r="R4683" s="1201"/>
      <c r="S4683" s="1201"/>
      <c r="T4683" s="1201"/>
    </row>
    <row r="4684" spans="12:20">
      <c r="L4684" s="1179"/>
      <c r="M4684" s="1183"/>
      <c r="N4684" s="1183"/>
      <c r="O4684" s="1183"/>
      <c r="P4684" s="1201"/>
      <c r="Q4684" s="1201"/>
      <c r="R4684" s="1201"/>
      <c r="S4684" s="1201"/>
      <c r="T4684" s="1201"/>
    </row>
    <row r="4685" spans="12:20">
      <c r="L4685" s="1179"/>
      <c r="M4685" s="1183"/>
      <c r="N4685" s="1183"/>
      <c r="O4685" s="1183"/>
      <c r="P4685" s="1201"/>
      <c r="Q4685" s="1201"/>
      <c r="R4685" s="1201"/>
      <c r="S4685" s="1201"/>
      <c r="T4685" s="1201"/>
    </row>
    <row r="4686" spans="12:20">
      <c r="L4686" s="1179"/>
      <c r="M4686" s="1183"/>
      <c r="N4686" s="1183"/>
      <c r="O4686" s="1183"/>
      <c r="P4686" s="1201"/>
      <c r="Q4686" s="1201"/>
      <c r="R4686" s="1201"/>
      <c r="S4686" s="1201"/>
      <c r="T4686" s="1201"/>
    </row>
    <row r="4687" spans="12:20">
      <c r="L4687" s="1179"/>
      <c r="M4687" s="1183"/>
      <c r="N4687" s="1183"/>
      <c r="O4687" s="1183"/>
      <c r="P4687" s="1201"/>
      <c r="Q4687" s="1201"/>
      <c r="R4687" s="1201"/>
      <c r="S4687" s="1201"/>
      <c r="T4687" s="1201"/>
    </row>
    <row r="4688" spans="12:20">
      <c r="L4688" s="1179"/>
      <c r="M4688" s="1183"/>
      <c r="N4688" s="1183"/>
      <c r="O4688" s="1183"/>
      <c r="P4688" s="1201"/>
      <c r="Q4688" s="1201"/>
      <c r="R4688" s="1201"/>
      <c r="S4688" s="1201"/>
      <c r="T4688" s="1201"/>
    </row>
    <row r="4689" spans="12:20">
      <c r="L4689" s="1179"/>
      <c r="M4689" s="1183"/>
      <c r="N4689" s="1183"/>
      <c r="O4689" s="1183"/>
      <c r="P4689" s="1201"/>
      <c r="Q4689" s="1201"/>
      <c r="R4689" s="1201"/>
      <c r="S4689" s="1201"/>
      <c r="T4689" s="1201"/>
    </row>
    <row r="4690" spans="12:20">
      <c r="L4690" s="1179"/>
      <c r="M4690" s="1183"/>
      <c r="N4690" s="1183"/>
      <c r="O4690" s="1183"/>
      <c r="P4690" s="1201"/>
      <c r="Q4690" s="1201"/>
      <c r="R4690" s="1201"/>
      <c r="S4690" s="1201"/>
      <c r="T4690" s="1201"/>
    </row>
    <row r="4691" spans="12:20">
      <c r="L4691" s="1179"/>
      <c r="M4691" s="1183"/>
      <c r="N4691" s="1183"/>
      <c r="O4691" s="1183"/>
      <c r="P4691" s="1201"/>
      <c r="Q4691" s="1201"/>
      <c r="R4691" s="1201"/>
      <c r="S4691" s="1201"/>
      <c r="T4691" s="1201"/>
    </row>
    <row r="4692" spans="12:20">
      <c r="L4692" s="1179"/>
      <c r="M4692" s="1183"/>
      <c r="N4692" s="1183"/>
      <c r="O4692" s="1183"/>
      <c r="P4692" s="1201"/>
      <c r="Q4692" s="1201"/>
      <c r="R4692" s="1201"/>
      <c r="S4692" s="1201"/>
      <c r="T4692" s="1201"/>
    </row>
    <row r="4693" spans="12:20">
      <c r="L4693" s="1179"/>
      <c r="M4693" s="1183"/>
      <c r="N4693" s="1183"/>
      <c r="O4693" s="1183"/>
      <c r="P4693" s="1201"/>
      <c r="Q4693" s="1201"/>
      <c r="R4693" s="1201"/>
      <c r="S4693" s="1201"/>
      <c r="T4693" s="1201"/>
    </row>
    <row r="4694" spans="12:20">
      <c r="L4694" s="1179"/>
      <c r="M4694" s="1183"/>
      <c r="N4694" s="1183"/>
      <c r="O4694" s="1183"/>
      <c r="P4694" s="1201"/>
      <c r="Q4694" s="1201"/>
      <c r="R4694" s="1201"/>
      <c r="S4694" s="1201"/>
      <c r="T4694" s="1201"/>
    </row>
    <row r="4695" spans="12:20">
      <c r="L4695" s="1179"/>
      <c r="M4695" s="1183"/>
      <c r="N4695" s="1183"/>
      <c r="O4695" s="1183"/>
      <c r="P4695" s="1201"/>
      <c r="Q4695" s="1201"/>
      <c r="R4695" s="1201"/>
      <c r="S4695" s="1201"/>
      <c r="T4695" s="1201"/>
    </row>
    <row r="4696" spans="12:20">
      <c r="L4696" s="1179"/>
      <c r="M4696" s="1183"/>
      <c r="N4696" s="1183"/>
      <c r="O4696" s="1183"/>
      <c r="P4696" s="1201"/>
      <c r="Q4696" s="1201"/>
      <c r="R4696" s="1201"/>
      <c r="S4696" s="1201"/>
      <c r="T4696" s="1201"/>
    </row>
    <row r="4697" spans="12:20">
      <c r="L4697" s="1179"/>
      <c r="M4697" s="1183"/>
      <c r="N4697" s="1183"/>
      <c r="O4697" s="1183"/>
      <c r="P4697" s="1201"/>
      <c r="Q4697" s="1201"/>
      <c r="R4697" s="1201"/>
      <c r="S4697" s="1201"/>
      <c r="T4697" s="1201"/>
    </row>
    <row r="4698" spans="12:20">
      <c r="L4698" s="1179"/>
      <c r="M4698" s="1183"/>
      <c r="N4698" s="1183"/>
      <c r="O4698" s="1183"/>
      <c r="P4698" s="1201"/>
      <c r="Q4698" s="1201"/>
      <c r="R4698" s="1201"/>
      <c r="S4698" s="1201"/>
      <c r="T4698" s="1201"/>
    </row>
    <row r="4699" spans="12:20">
      <c r="L4699" s="1179"/>
      <c r="M4699" s="1183"/>
      <c r="N4699" s="1183"/>
      <c r="O4699" s="1183"/>
      <c r="P4699" s="1201"/>
      <c r="Q4699" s="1201"/>
      <c r="R4699" s="1201"/>
      <c r="S4699" s="1201"/>
      <c r="T4699" s="1201"/>
    </row>
    <row r="4700" spans="12:20">
      <c r="L4700" s="1179"/>
      <c r="M4700" s="1183"/>
      <c r="N4700" s="1183"/>
      <c r="O4700" s="1183"/>
      <c r="P4700" s="1201"/>
      <c r="Q4700" s="1201"/>
      <c r="R4700" s="1201"/>
      <c r="S4700" s="1201"/>
      <c r="T4700" s="1201"/>
    </row>
    <row r="4701" spans="12:20">
      <c r="L4701" s="1179"/>
      <c r="M4701" s="1183"/>
      <c r="N4701" s="1183"/>
      <c r="O4701" s="1183"/>
      <c r="P4701" s="1201"/>
      <c r="Q4701" s="1201"/>
      <c r="R4701" s="1201"/>
      <c r="S4701" s="1201"/>
      <c r="T4701" s="1201"/>
    </row>
    <row r="4702" spans="12:20">
      <c r="L4702" s="1179"/>
      <c r="M4702" s="1183"/>
      <c r="N4702" s="1183"/>
      <c r="O4702" s="1183"/>
      <c r="P4702" s="1201"/>
      <c r="Q4702" s="1201"/>
      <c r="R4702" s="1201"/>
      <c r="S4702" s="1201"/>
      <c r="T4702" s="1201"/>
    </row>
    <row r="4703" spans="12:20">
      <c r="L4703" s="1179"/>
      <c r="M4703" s="1183"/>
      <c r="N4703" s="1183"/>
      <c r="O4703" s="1183"/>
      <c r="P4703" s="1201"/>
      <c r="Q4703" s="1201"/>
      <c r="R4703" s="1201"/>
      <c r="S4703" s="1201"/>
      <c r="T4703" s="1201"/>
    </row>
    <row r="4704" spans="12:20">
      <c r="L4704" s="1179"/>
      <c r="M4704" s="1183"/>
      <c r="N4704" s="1183"/>
      <c r="O4704" s="1183"/>
      <c r="P4704" s="1201"/>
      <c r="Q4704" s="1201"/>
      <c r="R4704" s="1201"/>
      <c r="S4704" s="1201"/>
      <c r="T4704" s="1201"/>
    </row>
    <row r="4705" spans="12:20">
      <c r="L4705" s="1179"/>
      <c r="M4705" s="1183"/>
      <c r="N4705" s="1183"/>
      <c r="O4705" s="1183"/>
      <c r="P4705" s="1201"/>
      <c r="Q4705" s="1201"/>
      <c r="R4705" s="1201"/>
      <c r="S4705" s="1201"/>
      <c r="T4705" s="1201"/>
    </row>
    <row r="4706" spans="12:20">
      <c r="L4706" s="1179"/>
      <c r="M4706" s="1183"/>
      <c r="N4706" s="1183"/>
      <c r="O4706" s="1183"/>
      <c r="P4706" s="1201"/>
      <c r="Q4706" s="1201"/>
      <c r="R4706" s="1201"/>
      <c r="S4706" s="1201"/>
      <c r="T4706" s="1201"/>
    </row>
    <row r="4707" spans="12:20">
      <c r="L4707" s="1179"/>
      <c r="M4707" s="1183"/>
      <c r="N4707" s="1183"/>
      <c r="O4707" s="1183"/>
      <c r="P4707" s="1201"/>
      <c r="Q4707" s="1201"/>
      <c r="R4707" s="1201"/>
      <c r="S4707" s="1201"/>
      <c r="T4707" s="1201"/>
    </row>
    <row r="4708" spans="12:20">
      <c r="L4708" s="1179"/>
      <c r="M4708" s="1183"/>
      <c r="N4708" s="1183"/>
      <c r="O4708" s="1183"/>
      <c r="P4708" s="1201"/>
      <c r="Q4708" s="1201"/>
      <c r="R4708" s="1201"/>
      <c r="S4708" s="1201"/>
      <c r="T4708" s="1201"/>
    </row>
    <row r="4709" spans="12:20">
      <c r="L4709" s="1179"/>
      <c r="M4709" s="1183"/>
      <c r="N4709" s="1183"/>
      <c r="O4709" s="1183"/>
      <c r="P4709" s="1201"/>
      <c r="Q4709" s="1201"/>
      <c r="R4709" s="1201"/>
      <c r="S4709" s="1201"/>
      <c r="T4709" s="1201"/>
    </row>
    <row r="4710" spans="12:20">
      <c r="L4710" s="1179"/>
      <c r="M4710" s="1183"/>
      <c r="N4710" s="1183"/>
      <c r="O4710" s="1183"/>
      <c r="P4710" s="1201"/>
      <c r="Q4710" s="1201"/>
      <c r="R4710" s="1201"/>
      <c r="S4710" s="1201"/>
      <c r="T4710" s="1201"/>
    </row>
    <row r="4711" spans="12:20">
      <c r="L4711" s="1179"/>
      <c r="M4711" s="1183"/>
      <c r="N4711" s="1183"/>
      <c r="O4711" s="1183"/>
      <c r="P4711" s="1201"/>
      <c r="Q4711" s="1201"/>
      <c r="R4711" s="1201"/>
      <c r="S4711" s="1201"/>
      <c r="T4711" s="1201"/>
    </row>
    <row r="4712" spans="12:20">
      <c r="L4712" s="1179"/>
      <c r="M4712" s="1183"/>
      <c r="N4712" s="1183"/>
      <c r="O4712" s="1183"/>
      <c r="P4712" s="1201"/>
      <c r="Q4712" s="1201"/>
      <c r="R4712" s="1201"/>
      <c r="S4712" s="1201"/>
      <c r="T4712" s="1201"/>
    </row>
    <row r="4713" spans="12:20">
      <c r="L4713" s="1179"/>
      <c r="M4713" s="1183"/>
      <c r="N4713" s="1183"/>
      <c r="O4713" s="1183"/>
      <c r="P4713" s="1201"/>
      <c r="Q4713" s="1201"/>
      <c r="R4713" s="1201"/>
      <c r="S4713" s="1201"/>
      <c r="T4713" s="1201"/>
    </row>
    <row r="4714" spans="12:20">
      <c r="L4714" s="1179"/>
      <c r="M4714" s="1183"/>
      <c r="N4714" s="1183"/>
      <c r="O4714" s="1183"/>
      <c r="P4714" s="1201"/>
      <c r="Q4714" s="1201"/>
      <c r="R4714" s="1201"/>
      <c r="S4714" s="1201"/>
      <c r="T4714" s="1201"/>
    </row>
    <row r="4715" spans="12:20">
      <c r="L4715" s="1179"/>
      <c r="M4715" s="1183"/>
      <c r="N4715" s="1183"/>
      <c r="O4715" s="1183"/>
      <c r="P4715" s="1201"/>
      <c r="Q4715" s="1201"/>
      <c r="R4715" s="1201"/>
      <c r="S4715" s="1201"/>
      <c r="T4715" s="1201"/>
    </row>
    <row r="4716" spans="12:20">
      <c r="L4716" s="1179"/>
      <c r="M4716" s="1183"/>
      <c r="N4716" s="1183"/>
      <c r="O4716" s="1183"/>
      <c r="P4716" s="1201"/>
      <c r="Q4716" s="1201"/>
      <c r="R4716" s="1201"/>
      <c r="S4716" s="1201"/>
      <c r="T4716" s="1201"/>
    </row>
    <row r="4717" spans="12:20">
      <c r="L4717" s="1179"/>
      <c r="M4717" s="1183"/>
      <c r="N4717" s="1183"/>
      <c r="O4717" s="1183"/>
      <c r="P4717" s="1201"/>
      <c r="Q4717" s="1201"/>
      <c r="R4717" s="1201"/>
      <c r="S4717" s="1201"/>
      <c r="T4717" s="1201"/>
    </row>
    <row r="4718" spans="12:20">
      <c r="L4718" s="1179"/>
      <c r="M4718" s="1183"/>
      <c r="N4718" s="1183"/>
      <c r="O4718" s="1183"/>
      <c r="P4718" s="1201"/>
      <c r="Q4718" s="1201"/>
      <c r="R4718" s="1201"/>
      <c r="S4718" s="1201"/>
      <c r="T4718" s="1201"/>
    </row>
    <row r="4719" spans="12:20">
      <c r="L4719" s="1179"/>
      <c r="M4719" s="1183"/>
      <c r="N4719" s="1183"/>
      <c r="O4719" s="1183"/>
      <c r="P4719" s="1201"/>
      <c r="Q4719" s="1201"/>
      <c r="R4719" s="1201"/>
      <c r="S4719" s="1201"/>
      <c r="T4719" s="1201"/>
    </row>
    <row r="4720" spans="12:20">
      <c r="L4720" s="1179"/>
      <c r="M4720" s="1183"/>
      <c r="N4720" s="1183"/>
      <c r="O4720" s="1183"/>
      <c r="P4720" s="1201"/>
      <c r="Q4720" s="1201"/>
      <c r="R4720" s="1201"/>
      <c r="S4720" s="1201"/>
      <c r="T4720" s="1201"/>
    </row>
    <row r="4721" spans="12:20">
      <c r="L4721" s="1179"/>
      <c r="M4721" s="1183"/>
      <c r="N4721" s="1183"/>
      <c r="O4721" s="1183"/>
      <c r="P4721" s="1201"/>
      <c r="Q4721" s="1201"/>
      <c r="R4721" s="1201"/>
      <c r="S4721" s="1201"/>
      <c r="T4721" s="1201"/>
    </row>
    <row r="4722" spans="12:20">
      <c r="L4722" s="1179"/>
      <c r="M4722" s="1183"/>
      <c r="N4722" s="1183"/>
      <c r="O4722" s="1183"/>
      <c r="P4722" s="1201"/>
      <c r="Q4722" s="1201"/>
      <c r="R4722" s="1201"/>
      <c r="S4722" s="1201"/>
      <c r="T4722" s="1201"/>
    </row>
    <row r="4723" spans="12:20">
      <c r="L4723" s="1179"/>
      <c r="M4723" s="1183"/>
      <c r="N4723" s="1183"/>
      <c r="O4723" s="1183"/>
      <c r="P4723" s="1201"/>
      <c r="Q4723" s="1201"/>
      <c r="R4723" s="1201"/>
      <c r="S4723" s="1201"/>
      <c r="T4723" s="1201"/>
    </row>
    <row r="4724" spans="12:20">
      <c r="L4724" s="1179"/>
      <c r="M4724" s="1183"/>
      <c r="N4724" s="1183"/>
      <c r="O4724" s="1183"/>
      <c r="P4724" s="1201"/>
      <c r="Q4724" s="1201"/>
      <c r="R4724" s="1201"/>
      <c r="S4724" s="1201"/>
      <c r="T4724" s="1201"/>
    </row>
    <row r="4725" spans="12:20">
      <c r="L4725" s="1179"/>
      <c r="M4725" s="1183"/>
      <c r="N4725" s="1183"/>
      <c r="O4725" s="1183"/>
      <c r="P4725" s="1201"/>
      <c r="Q4725" s="1201"/>
      <c r="R4725" s="1201"/>
      <c r="S4725" s="1201"/>
      <c r="T4725" s="1201"/>
    </row>
    <row r="4726" spans="12:20">
      <c r="L4726" s="1179"/>
      <c r="M4726" s="1183"/>
      <c r="N4726" s="1183"/>
      <c r="O4726" s="1183"/>
      <c r="P4726" s="1201"/>
      <c r="Q4726" s="1201"/>
      <c r="R4726" s="1201"/>
      <c r="S4726" s="1201"/>
      <c r="T4726" s="1201"/>
    </row>
    <row r="4727" spans="12:20">
      <c r="L4727" s="1179"/>
      <c r="M4727" s="1183"/>
      <c r="N4727" s="1183"/>
      <c r="O4727" s="1183"/>
      <c r="P4727" s="1201"/>
      <c r="Q4727" s="1201"/>
      <c r="R4727" s="1201"/>
      <c r="S4727" s="1201"/>
      <c r="T4727" s="1201"/>
    </row>
    <row r="4728" spans="12:20">
      <c r="L4728" s="1179"/>
      <c r="M4728" s="1183"/>
      <c r="N4728" s="1183"/>
      <c r="O4728" s="1183"/>
      <c r="P4728" s="1201"/>
      <c r="Q4728" s="1201"/>
      <c r="R4728" s="1201"/>
      <c r="S4728" s="1201"/>
      <c r="T4728" s="1201"/>
    </row>
    <row r="4729" spans="12:20">
      <c r="L4729" s="1179"/>
      <c r="M4729" s="1183"/>
      <c r="N4729" s="1183"/>
      <c r="O4729" s="1183"/>
      <c r="P4729" s="1201"/>
      <c r="Q4729" s="1201"/>
      <c r="R4729" s="1201"/>
      <c r="S4729" s="1201"/>
      <c r="T4729" s="1201"/>
    </row>
    <row r="4730" spans="12:20">
      <c r="L4730" s="1179"/>
      <c r="M4730" s="1183"/>
      <c r="N4730" s="1183"/>
      <c r="O4730" s="1183"/>
      <c r="P4730" s="1201"/>
      <c r="Q4730" s="1201"/>
      <c r="R4730" s="1201"/>
      <c r="S4730" s="1201"/>
      <c r="T4730" s="1201"/>
    </row>
    <row r="4731" spans="12:20">
      <c r="L4731" s="1179"/>
      <c r="M4731" s="1183"/>
      <c r="N4731" s="1183"/>
      <c r="O4731" s="1183"/>
      <c r="P4731" s="1201"/>
      <c r="Q4731" s="1201"/>
      <c r="R4731" s="1201"/>
      <c r="S4731" s="1201"/>
      <c r="T4731" s="1201"/>
    </row>
    <row r="4732" spans="12:20">
      <c r="L4732" s="1179"/>
      <c r="M4732" s="1183"/>
      <c r="N4732" s="1183"/>
      <c r="O4732" s="1183"/>
      <c r="P4732" s="1201"/>
      <c r="Q4732" s="1201"/>
      <c r="R4732" s="1201"/>
      <c r="S4732" s="1201"/>
      <c r="T4732" s="1201"/>
    </row>
    <row r="4733" spans="12:20">
      <c r="L4733" s="1179"/>
      <c r="M4733" s="1183"/>
      <c r="N4733" s="1183"/>
      <c r="O4733" s="1183"/>
      <c r="P4733" s="1201"/>
      <c r="Q4733" s="1201"/>
      <c r="R4733" s="1201"/>
      <c r="S4733" s="1201"/>
      <c r="T4733" s="1201"/>
    </row>
    <row r="4734" spans="12:20">
      <c r="L4734" s="1179"/>
      <c r="M4734" s="1183"/>
      <c r="N4734" s="1183"/>
      <c r="O4734" s="1183"/>
      <c r="P4734" s="1201"/>
      <c r="Q4734" s="1201"/>
      <c r="R4734" s="1201"/>
      <c r="S4734" s="1201"/>
      <c r="T4734" s="1201"/>
    </row>
    <row r="4735" spans="12:20">
      <c r="L4735" s="1179"/>
      <c r="M4735" s="1183"/>
      <c r="N4735" s="1183"/>
      <c r="O4735" s="1183"/>
      <c r="P4735" s="1201"/>
      <c r="Q4735" s="1201"/>
      <c r="R4735" s="1201"/>
      <c r="S4735" s="1201"/>
      <c r="T4735" s="1201"/>
    </row>
    <row r="4736" spans="12:20">
      <c r="L4736" s="1179"/>
      <c r="M4736" s="1183"/>
      <c r="N4736" s="1183"/>
      <c r="O4736" s="1183"/>
      <c r="P4736" s="1201"/>
      <c r="Q4736" s="1201"/>
      <c r="R4736" s="1201"/>
      <c r="S4736" s="1201"/>
      <c r="T4736" s="1201"/>
    </row>
    <row r="4737" spans="12:20">
      <c r="L4737" s="1179"/>
      <c r="M4737" s="1183"/>
      <c r="N4737" s="1183"/>
      <c r="O4737" s="1183"/>
      <c r="P4737" s="1201"/>
      <c r="Q4737" s="1201"/>
      <c r="R4737" s="1201"/>
      <c r="S4737" s="1201"/>
      <c r="T4737" s="1201"/>
    </row>
    <row r="4738" spans="12:20">
      <c r="L4738" s="1179"/>
      <c r="M4738" s="1183"/>
      <c r="N4738" s="1183"/>
      <c r="O4738" s="1183"/>
      <c r="P4738" s="1201"/>
      <c r="Q4738" s="1201"/>
      <c r="R4738" s="1201"/>
      <c r="S4738" s="1201"/>
      <c r="T4738" s="1201"/>
    </row>
    <row r="4739" spans="12:20">
      <c r="L4739" s="1179"/>
      <c r="M4739" s="1183"/>
      <c r="N4739" s="1183"/>
      <c r="O4739" s="1183"/>
      <c r="P4739" s="1201"/>
      <c r="Q4739" s="1201"/>
      <c r="R4739" s="1201"/>
      <c r="S4739" s="1201"/>
      <c r="T4739" s="1201"/>
    </row>
    <row r="4740" spans="12:20">
      <c r="L4740" s="1179"/>
      <c r="M4740" s="1183"/>
      <c r="N4740" s="1183"/>
      <c r="O4740" s="1183"/>
      <c r="P4740" s="1201"/>
      <c r="Q4740" s="1201"/>
      <c r="R4740" s="1201"/>
      <c r="S4740" s="1201"/>
      <c r="T4740" s="1201"/>
    </row>
    <row r="4741" spans="12:20">
      <c r="L4741" s="1179"/>
      <c r="M4741" s="1183"/>
      <c r="N4741" s="1183"/>
      <c r="O4741" s="1183"/>
      <c r="P4741" s="1201"/>
      <c r="Q4741" s="1201"/>
      <c r="R4741" s="1201"/>
      <c r="S4741" s="1201"/>
      <c r="T4741" s="1201"/>
    </row>
    <row r="4742" spans="12:20">
      <c r="L4742" s="1179"/>
      <c r="M4742" s="1183"/>
      <c r="N4742" s="1183"/>
      <c r="O4742" s="1183"/>
      <c r="P4742" s="1201"/>
      <c r="Q4742" s="1201"/>
      <c r="R4742" s="1201"/>
      <c r="S4742" s="1201"/>
      <c r="T4742" s="1201"/>
    </row>
    <row r="4743" spans="12:20">
      <c r="L4743" s="1179"/>
      <c r="M4743" s="1183"/>
      <c r="N4743" s="1183"/>
      <c r="O4743" s="1183"/>
      <c r="P4743" s="1201"/>
      <c r="Q4743" s="1201"/>
      <c r="R4743" s="1201"/>
      <c r="S4743" s="1201"/>
      <c r="T4743" s="1201"/>
    </row>
    <row r="4744" spans="12:20">
      <c r="L4744" s="1179"/>
      <c r="M4744" s="1183"/>
      <c r="N4744" s="1183"/>
      <c r="O4744" s="1183"/>
      <c r="P4744" s="1201"/>
      <c r="Q4744" s="1201"/>
      <c r="R4744" s="1201"/>
      <c r="S4744" s="1201"/>
      <c r="T4744" s="1201"/>
    </row>
    <row r="4745" spans="12:20">
      <c r="L4745" s="1179"/>
      <c r="M4745" s="1183"/>
      <c r="N4745" s="1183"/>
      <c r="O4745" s="1183"/>
      <c r="P4745" s="1201"/>
      <c r="Q4745" s="1201"/>
      <c r="R4745" s="1201"/>
      <c r="S4745" s="1201"/>
      <c r="T4745" s="1201"/>
    </row>
    <row r="4746" spans="12:20">
      <c r="L4746" s="1179"/>
      <c r="M4746" s="1183"/>
      <c r="N4746" s="1183"/>
      <c r="O4746" s="1183"/>
      <c r="P4746" s="1201"/>
      <c r="Q4746" s="1201"/>
      <c r="R4746" s="1201"/>
      <c r="S4746" s="1201"/>
      <c r="T4746" s="1201"/>
    </row>
    <row r="4747" spans="12:20">
      <c r="L4747" s="1179"/>
      <c r="M4747" s="1183"/>
      <c r="N4747" s="1183"/>
      <c r="O4747" s="1183"/>
      <c r="P4747" s="1201"/>
      <c r="Q4747" s="1201"/>
      <c r="R4747" s="1201"/>
      <c r="S4747" s="1201"/>
      <c r="T4747" s="1201"/>
    </row>
    <row r="4748" spans="12:20">
      <c r="L4748" s="1179"/>
      <c r="M4748" s="1183"/>
      <c r="N4748" s="1183"/>
      <c r="O4748" s="1183"/>
      <c r="P4748" s="1201"/>
      <c r="Q4748" s="1201"/>
      <c r="R4748" s="1201"/>
      <c r="S4748" s="1201"/>
      <c r="T4748" s="1201"/>
    </row>
    <row r="4749" spans="12:20">
      <c r="L4749" s="1179"/>
      <c r="M4749" s="1183"/>
      <c r="N4749" s="1183"/>
      <c r="O4749" s="1183"/>
      <c r="P4749" s="1201"/>
      <c r="Q4749" s="1201"/>
      <c r="R4749" s="1201"/>
      <c r="S4749" s="1201"/>
      <c r="T4749" s="1201"/>
    </row>
    <row r="4750" spans="12:20">
      <c r="L4750" s="1179"/>
      <c r="M4750" s="1183"/>
      <c r="N4750" s="1183"/>
      <c r="O4750" s="1183"/>
      <c r="P4750" s="1201"/>
      <c r="Q4750" s="1201"/>
      <c r="R4750" s="1201"/>
      <c r="S4750" s="1201"/>
      <c r="T4750" s="1201"/>
    </row>
    <row r="4751" spans="12:20">
      <c r="L4751" s="1179"/>
      <c r="M4751" s="1183"/>
      <c r="N4751" s="1183"/>
      <c r="O4751" s="1183"/>
      <c r="P4751" s="1201"/>
      <c r="Q4751" s="1201"/>
      <c r="R4751" s="1201"/>
      <c r="S4751" s="1201"/>
      <c r="T4751" s="1201"/>
    </row>
    <row r="4752" spans="12:20">
      <c r="L4752" s="1179"/>
      <c r="M4752" s="1183"/>
      <c r="N4752" s="1183"/>
      <c r="O4752" s="1183"/>
      <c r="P4752" s="1201"/>
      <c r="Q4752" s="1201"/>
      <c r="R4752" s="1201"/>
      <c r="S4752" s="1201"/>
      <c r="T4752" s="1201"/>
    </row>
    <row r="4753" spans="12:20">
      <c r="L4753" s="1179"/>
      <c r="M4753" s="1183"/>
      <c r="N4753" s="1183"/>
      <c r="O4753" s="1183"/>
      <c r="P4753" s="1201"/>
      <c r="Q4753" s="1201"/>
      <c r="R4753" s="1201"/>
      <c r="S4753" s="1201"/>
      <c r="T4753" s="1201"/>
    </row>
    <row r="4754" spans="12:20">
      <c r="L4754" s="1179"/>
      <c r="M4754" s="1183"/>
      <c r="N4754" s="1183"/>
      <c r="O4754" s="1183"/>
      <c r="P4754" s="1201"/>
      <c r="Q4754" s="1201"/>
      <c r="R4754" s="1201"/>
      <c r="S4754" s="1201"/>
      <c r="T4754" s="1201"/>
    </row>
    <row r="4755" spans="12:20">
      <c r="L4755" s="1179"/>
      <c r="M4755" s="1183"/>
      <c r="N4755" s="1183"/>
      <c r="O4755" s="1183"/>
      <c r="P4755" s="1201"/>
      <c r="Q4755" s="1201"/>
      <c r="R4755" s="1201"/>
      <c r="S4755" s="1201"/>
      <c r="T4755" s="1201"/>
    </row>
    <row r="4756" spans="12:20">
      <c r="L4756" s="1179"/>
      <c r="M4756" s="1183"/>
      <c r="N4756" s="1183"/>
      <c r="O4756" s="1183"/>
      <c r="P4756" s="1201"/>
      <c r="Q4756" s="1201"/>
      <c r="R4756" s="1201"/>
      <c r="S4756" s="1201"/>
      <c r="T4756" s="1201"/>
    </row>
    <row r="4757" spans="12:20">
      <c r="L4757" s="1179"/>
      <c r="M4757" s="1183"/>
      <c r="N4757" s="1183"/>
      <c r="O4757" s="1183"/>
      <c r="P4757" s="1201"/>
      <c r="Q4757" s="1201"/>
      <c r="R4757" s="1201"/>
      <c r="S4757" s="1201"/>
      <c r="T4757" s="1201"/>
    </row>
    <row r="4758" spans="12:20">
      <c r="L4758" s="1179"/>
      <c r="M4758" s="1183"/>
      <c r="N4758" s="1183"/>
      <c r="O4758" s="1183"/>
      <c r="P4758" s="1201"/>
      <c r="Q4758" s="1201"/>
      <c r="R4758" s="1201"/>
      <c r="S4758" s="1201"/>
      <c r="T4758" s="1201"/>
    </row>
    <row r="4759" spans="12:20">
      <c r="L4759" s="1179"/>
      <c r="M4759" s="1183"/>
      <c r="N4759" s="1183"/>
      <c r="O4759" s="1183"/>
      <c r="P4759" s="1201"/>
      <c r="Q4759" s="1201"/>
      <c r="R4759" s="1201"/>
      <c r="S4759" s="1201"/>
      <c r="T4759" s="1201"/>
    </row>
    <row r="4760" spans="12:20">
      <c r="L4760" s="1179"/>
      <c r="M4760" s="1183"/>
      <c r="N4760" s="1183"/>
      <c r="O4760" s="1183"/>
      <c r="P4760" s="1201"/>
      <c r="Q4760" s="1201"/>
      <c r="R4760" s="1201"/>
      <c r="S4760" s="1201"/>
      <c r="T4760" s="1201"/>
    </row>
    <row r="4761" spans="12:20">
      <c r="L4761" s="1179"/>
      <c r="M4761" s="1183"/>
      <c r="N4761" s="1183"/>
      <c r="O4761" s="1183"/>
      <c r="P4761" s="1201"/>
      <c r="Q4761" s="1201"/>
      <c r="R4761" s="1201"/>
      <c r="S4761" s="1201"/>
      <c r="T4761" s="1201"/>
    </row>
    <row r="4762" spans="12:20">
      <c r="L4762" s="1179"/>
      <c r="M4762" s="1183"/>
      <c r="N4762" s="1183"/>
      <c r="O4762" s="1183"/>
      <c r="P4762" s="1201"/>
      <c r="Q4762" s="1201"/>
      <c r="R4762" s="1201"/>
      <c r="S4762" s="1201"/>
      <c r="T4762" s="1201"/>
    </row>
    <row r="4763" spans="12:20">
      <c r="L4763" s="1179"/>
      <c r="M4763" s="1183"/>
      <c r="N4763" s="1183"/>
      <c r="O4763" s="1183"/>
      <c r="P4763" s="1201"/>
      <c r="Q4763" s="1201"/>
      <c r="R4763" s="1201"/>
      <c r="S4763" s="1201"/>
      <c r="T4763" s="1201"/>
    </row>
    <row r="4764" spans="12:20">
      <c r="L4764" s="1179"/>
      <c r="M4764" s="1183"/>
      <c r="N4764" s="1183"/>
      <c r="O4764" s="1183"/>
      <c r="P4764" s="1201"/>
      <c r="Q4764" s="1201"/>
      <c r="R4764" s="1201"/>
      <c r="S4764" s="1201"/>
      <c r="T4764" s="1201"/>
    </row>
    <row r="4765" spans="12:20">
      <c r="L4765" s="1179"/>
      <c r="M4765" s="1183"/>
      <c r="N4765" s="1183"/>
      <c r="O4765" s="1183"/>
      <c r="P4765" s="1201"/>
      <c r="Q4765" s="1201"/>
      <c r="R4765" s="1201"/>
      <c r="S4765" s="1201"/>
      <c r="T4765" s="1201"/>
    </row>
    <row r="4766" spans="12:20">
      <c r="L4766" s="1179"/>
      <c r="M4766" s="1183"/>
      <c r="N4766" s="1183"/>
      <c r="O4766" s="1183"/>
      <c r="P4766" s="1201"/>
      <c r="Q4766" s="1201"/>
      <c r="R4766" s="1201"/>
      <c r="S4766" s="1201"/>
      <c r="T4766" s="1201"/>
    </row>
    <row r="4767" spans="12:20">
      <c r="L4767" s="1179"/>
      <c r="M4767" s="1183"/>
      <c r="N4767" s="1183"/>
      <c r="O4767" s="1183"/>
      <c r="P4767" s="1201"/>
      <c r="Q4767" s="1201"/>
      <c r="R4767" s="1201"/>
      <c r="S4767" s="1201"/>
      <c r="T4767" s="1201"/>
    </row>
    <row r="4768" spans="12:20">
      <c r="L4768" s="1179"/>
      <c r="M4768" s="1183"/>
      <c r="N4768" s="1183"/>
      <c r="O4768" s="1183"/>
      <c r="P4768" s="1201"/>
      <c r="Q4768" s="1201"/>
      <c r="R4768" s="1201"/>
      <c r="S4768" s="1201"/>
      <c r="T4768" s="1201"/>
    </row>
    <row r="4769" spans="12:20">
      <c r="L4769" s="1179"/>
      <c r="M4769" s="1183"/>
      <c r="N4769" s="1183"/>
      <c r="O4769" s="1183"/>
      <c r="P4769" s="1201"/>
      <c r="Q4769" s="1201"/>
      <c r="R4769" s="1201"/>
      <c r="S4769" s="1201"/>
      <c r="T4769" s="1201"/>
    </row>
    <row r="4770" spans="12:20">
      <c r="L4770" s="1179"/>
      <c r="M4770" s="1183"/>
      <c r="N4770" s="1183"/>
      <c r="O4770" s="1183"/>
      <c r="P4770" s="1201"/>
      <c r="Q4770" s="1201"/>
      <c r="R4770" s="1201"/>
      <c r="S4770" s="1201"/>
      <c r="T4770" s="1201"/>
    </row>
    <row r="4771" spans="12:20">
      <c r="L4771" s="1179"/>
      <c r="M4771" s="1183"/>
      <c r="N4771" s="1183"/>
      <c r="O4771" s="1183"/>
      <c r="P4771" s="1201"/>
      <c r="Q4771" s="1201"/>
      <c r="R4771" s="1201"/>
      <c r="S4771" s="1201"/>
      <c r="T4771" s="1201"/>
    </row>
    <row r="4772" spans="12:20">
      <c r="L4772" s="1179"/>
      <c r="M4772" s="1183"/>
      <c r="N4772" s="1183"/>
      <c r="O4772" s="1183"/>
      <c r="P4772" s="1201"/>
      <c r="Q4772" s="1201"/>
      <c r="R4772" s="1201"/>
      <c r="S4772" s="1201"/>
      <c r="T4772" s="1201"/>
    </row>
    <row r="4773" spans="12:20">
      <c r="L4773" s="1179"/>
      <c r="M4773" s="1183"/>
      <c r="N4773" s="1183"/>
      <c r="O4773" s="1183"/>
      <c r="P4773" s="1201"/>
      <c r="Q4773" s="1201"/>
      <c r="R4773" s="1201"/>
      <c r="S4773" s="1201"/>
      <c r="T4773" s="1201"/>
    </row>
    <row r="4774" spans="12:20">
      <c r="L4774" s="1179"/>
      <c r="M4774" s="1183"/>
      <c r="N4774" s="1183"/>
      <c r="O4774" s="1183"/>
      <c r="P4774" s="1201"/>
      <c r="Q4774" s="1201"/>
      <c r="R4774" s="1201"/>
      <c r="S4774" s="1201"/>
      <c r="T4774" s="1201"/>
    </row>
    <row r="4775" spans="12:20">
      <c r="L4775" s="1179"/>
      <c r="M4775" s="1183"/>
      <c r="N4775" s="1183"/>
      <c r="O4775" s="1183"/>
      <c r="P4775" s="1201"/>
      <c r="Q4775" s="1201"/>
      <c r="R4775" s="1201"/>
      <c r="S4775" s="1201"/>
      <c r="T4775" s="1201"/>
    </row>
    <row r="4776" spans="12:20">
      <c r="L4776" s="1179"/>
      <c r="M4776" s="1183"/>
      <c r="N4776" s="1183"/>
      <c r="O4776" s="1183"/>
      <c r="P4776" s="1201"/>
      <c r="Q4776" s="1201"/>
      <c r="R4776" s="1201"/>
      <c r="S4776" s="1201"/>
      <c r="T4776" s="1201"/>
    </row>
    <row r="4777" spans="12:20">
      <c r="L4777" s="1179"/>
      <c r="M4777" s="1183"/>
      <c r="N4777" s="1183"/>
      <c r="O4777" s="1183"/>
      <c r="P4777" s="1201"/>
      <c r="Q4777" s="1201"/>
      <c r="R4777" s="1201"/>
      <c r="S4777" s="1201"/>
      <c r="T4777" s="1201"/>
    </row>
    <row r="4778" spans="12:20">
      <c r="L4778" s="1179"/>
      <c r="M4778" s="1183"/>
      <c r="N4778" s="1183"/>
      <c r="O4778" s="1183"/>
      <c r="P4778" s="1201"/>
      <c r="Q4778" s="1201"/>
      <c r="R4778" s="1201"/>
      <c r="S4778" s="1201"/>
      <c r="T4778" s="1201"/>
    </row>
    <row r="4779" spans="12:20">
      <c r="L4779" s="1179"/>
      <c r="M4779" s="1183"/>
      <c r="N4779" s="1183"/>
      <c r="O4779" s="1183"/>
      <c r="P4779" s="1201"/>
      <c r="Q4779" s="1201"/>
      <c r="R4779" s="1201"/>
      <c r="S4779" s="1201"/>
      <c r="T4779" s="1201"/>
    </row>
    <row r="4780" spans="12:20">
      <c r="L4780" s="1179"/>
      <c r="M4780" s="1183"/>
      <c r="N4780" s="1183"/>
      <c r="O4780" s="1183"/>
      <c r="P4780" s="1201"/>
      <c r="Q4780" s="1201"/>
      <c r="R4780" s="1201"/>
      <c r="S4780" s="1201"/>
      <c r="T4780" s="1201"/>
    </row>
    <row r="4781" spans="12:20">
      <c r="L4781" s="1179"/>
      <c r="M4781" s="1183"/>
      <c r="N4781" s="1183"/>
      <c r="O4781" s="1183"/>
      <c r="P4781" s="1201"/>
      <c r="Q4781" s="1201"/>
      <c r="R4781" s="1201"/>
      <c r="S4781" s="1201"/>
      <c r="T4781" s="1201"/>
    </row>
    <row r="4782" spans="12:20">
      <c r="L4782" s="1179"/>
      <c r="M4782" s="1183"/>
      <c r="N4782" s="1183"/>
      <c r="O4782" s="1183"/>
      <c r="P4782" s="1201"/>
      <c r="Q4782" s="1201"/>
      <c r="R4782" s="1201"/>
      <c r="S4782" s="1201"/>
      <c r="T4782" s="1201"/>
    </row>
    <row r="4783" spans="12:20">
      <c r="L4783" s="1179"/>
      <c r="M4783" s="1183"/>
      <c r="N4783" s="1183"/>
      <c r="O4783" s="1183"/>
      <c r="P4783" s="1201"/>
      <c r="Q4783" s="1201"/>
      <c r="R4783" s="1201"/>
      <c r="S4783" s="1201"/>
      <c r="T4783" s="1201"/>
    </row>
    <row r="4784" spans="12:20">
      <c r="L4784" s="1179"/>
      <c r="M4784" s="1183"/>
      <c r="N4784" s="1183"/>
      <c r="O4784" s="1183"/>
      <c r="P4784" s="1201"/>
      <c r="Q4784" s="1201"/>
      <c r="R4784" s="1201"/>
      <c r="S4784" s="1201"/>
      <c r="T4784" s="1201"/>
    </row>
    <row r="4785" spans="12:20">
      <c r="L4785" s="1179"/>
      <c r="M4785" s="1183"/>
      <c r="N4785" s="1183"/>
      <c r="O4785" s="1183"/>
      <c r="P4785" s="1201"/>
      <c r="Q4785" s="1201"/>
      <c r="R4785" s="1201"/>
      <c r="S4785" s="1201"/>
      <c r="T4785" s="1201"/>
    </row>
    <row r="4786" spans="12:20">
      <c r="L4786" s="1179"/>
      <c r="M4786" s="1183"/>
      <c r="N4786" s="1183"/>
      <c r="O4786" s="1183"/>
      <c r="P4786" s="1201"/>
      <c r="Q4786" s="1201"/>
      <c r="R4786" s="1201"/>
      <c r="S4786" s="1201"/>
      <c r="T4786" s="1201"/>
    </row>
    <row r="4787" spans="12:20">
      <c r="L4787" s="1179"/>
      <c r="M4787" s="1183"/>
      <c r="N4787" s="1183"/>
      <c r="O4787" s="1183"/>
      <c r="P4787" s="1201"/>
      <c r="Q4787" s="1201"/>
      <c r="R4787" s="1201"/>
      <c r="S4787" s="1201"/>
      <c r="T4787" s="1201"/>
    </row>
    <row r="4788" spans="12:20">
      <c r="L4788" s="1179"/>
      <c r="M4788" s="1183"/>
      <c r="N4788" s="1183"/>
      <c r="O4788" s="1183"/>
      <c r="P4788" s="1201"/>
      <c r="Q4788" s="1201"/>
      <c r="R4788" s="1201"/>
      <c r="S4788" s="1201"/>
      <c r="T4788" s="1201"/>
    </row>
    <row r="4789" spans="12:20">
      <c r="L4789" s="1179"/>
      <c r="M4789" s="1183"/>
      <c r="N4789" s="1183"/>
      <c r="O4789" s="1183"/>
      <c r="P4789" s="1201"/>
      <c r="Q4789" s="1201"/>
      <c r="R4789" s="1201"/>
      <c r="S4789" s="1201"/>
      <c r="T4789" s="1201"/>
    </row>
    <row r="4790" spans="12:20">
      <c r="L4790" s="1179"/>
      <c r="M4790" s="1183"/>
      <c r="N4790" s="1183"/>
      <c r="O4790" s="1183"/>
      <c r="P4790" s="1201"/>
      <c r="Q4790" s="1201"/>
      <c r="R4790" s="1201"/>
      <c r="S4790" s="1201"/>
      <c r="T4790" s="1201"/>
    </row>
    <row r="4791" spans="12:20">
      <c r="L4791" s="1179"/>
      <c r="M4791" s="1183"/>
      <c r="N4791" s="1183"/>
      <c r="O4791" s="1183"/>
      <c r="P4791" s="1201"/>
      <c r="Q4791" s="1201"/>
      <c r="R4791" s="1201"/>
      <c r="S4791" s="1201"/>
      <c r="T4791" s="1201"/>
    </row>
    <row r="4792" spans="12:20">
      <c r="L4792" s="1179"/>
      <c r="M4792" s="1183"/>
      <c r="N4792" s="1183"/>
      <c r="O4792" s="1183"/>
      <c r="P4792" s="1201"/>
      <c r="Q4792" s="1201"/>
      <c r="R4792" s="1201"/>
      <c r="S4792" s="1201"/>
      <c r="T4792" s="1201"/>
    </row>
    <row r="4793" spans="12:20">
      <c r="L4793" s="1179"/>
      <c r="M4793" s="1183"/>
      <c r="N4793" s="1183"/>
      <c r="O4793" s="1183"/>
      <c r="P4793" s="1201"/>
      <c r="Q4793" s="1201"/>
      <c r="R4793" s="1201"/>
      <c r="S4793" s="1201"/>
      <c r="T4793" s="1201"/>
    </row>
    <row r="4794" spans="12:20">
      <c r="L4794" s="1179"/>
      <c r="M4794" s="1183"/>
      <c r="N4794" s="1183"/>
      <c r="O4794" s="1183"/>
      <c r="P4794" s="1201"/>
      <c r="Q4794" s="1201"/>
      <c r="R4794" s="1201"/>
      <c r="S4794" s="1201"/>
      <c r="T4794" s="1201"/>
    </row>
    <row r="4795" spans="12:20">
      <c r="L4795" s="1179"/>
      <c r="M4795" s="1183"/>
      <c r="N4795" s="1183"/>
      <c r="O4795" s="1183"/>
      <c r="P4795" s="1201"/>
      <c r="Q4795" s="1201"/>
      <c r="R4795" s="1201"/>
      <c r="S4795" s="1201"/>
      <c r="T4795" s="1201"/>
    </row>
    <row r="4796" spans="12:20">
      <c r="L4796" s="1179"/>
      <c r="M4796" s="1183"/>
      <c r="N4796" s="1183"/>
      <c r="O4796" s="1183"/>
      <c r="P4796" s="1201"/>
      <c r="Q4796" s="1201"/>
      <c r="R4796" s="1201"/>
      <c r="S4796" s="1201"/>
      <c r="T4796" s="1201"/>
    </row>
    <row r="4797" spans="12:20">
      <c r="L4797" s="1179"/>
      <c r="M4797" s="1183"/>
      <c r="N4797" s="1183"/>
      <c r="O4797" s="1183"/>
      <c r="P4797" s="1201"/>
      <c r="Q4797" s="1201"/>
      <c r="R4797" s="1201"/>
      <c r="S4797" s="1201"/>
      <c r="T4797" s="1201"/>
    </row>
    <row r="4798" spans="12:20">
      <c r="L4798" s="1179"/>
      <c r="M4798" s="1183"/>
      <c r="N4798" s="1183"/>
      <c r="O4798" s="1183"/>
      <c r="P4798" s="1201"/>
      <c r="Q4798" s="1201"/>
      <c r="R4798" s="1201"/>
      <c r="S4798" s="1201"/>
      <c r="T4798" s="1201"/>
    </row>
    <row r="4799" spans="12:20">
      <c r="L4799" s="1179"/>
      <c r="M4799" s="1183"/>
      <c r="N4799" s="1183"/>
      <c r="O4799" s="1183"/>
      <c r="P4799" s="1201"/>
      <c r="Q4799" s="1201"/>
      <c r="R4799" s="1201"/>
      <c r="S4799" s="1201"/>
      <c r="T4799" s="1201"/>
    </row>
    <row r="4800" spans="12:20">
      <c r="L4800" s="1179"/>
      <c r="M4800" s="1183"/>
      <c r="N4800" s="1183"/>
      <c r="O4800" s="1183"/>
      <c r="P4800" s="1201"/>
      <c r="Q4800" s="1201"/>
      <c r="R4800" s="1201"/>
      <c r="S4800" s="1201"/>
      <c r="T4800" s="1201"/>
    </row>
    <row r="4801" spans="12:20">
      <c r="L4801" s="1179"/>
      <c r="M4801" s="1183"/>
      <c r="N4801" s="1183"/>
      <c r="O4801" s="1183"/>
      <c r="P4801" s="1201"/>
      <c r="Q4801" s="1201"/>
      <c r="R4801" s="1201"/>
      <c r="S4801" s="1201"/>
      <c r="T4801" s="1201"/>
    </row>
    <row r="4802" spans="12:20">
      <c r="L4802" s="1179"/>
      <c r="M4802" s="1183"/>
      <c r="N4802" s="1183"/>
      <c r="O4802" s="1183"/>
      <c r="P4802" s="1201"/>
      <c r="Q4802" s="1201"/>
      <c r="R4802" s="1201"/>
      <c r="S4802" s="1201"/>
      <c r="T4802" s="1201"/>
    </row>
    <row r="4803" spans="12:20">
      <c r="L4803" s="1179"/>
      <c r="M4803" s="1183"/>
      <c r="N4803" s="1183"/>
      <c r="O4803" s="1183"/>
      <c r="P4803" s="1201"/>
      <c r="Q4803" s="1201"/>
      <c r="R4803" s="1201"/>
      <c r="S4803" s="1201"/>
      <c r="T4803" s="1201"/>
    </row>
    <row r="4804" spans="12:20">
      <c r="L4804" s="1179"/>
      <c r="M4804" s="1183"/>
      <c r="N4804" s="1183"/>
      <c r="O4804" s="1183"/>
      <c r="P4804" s="1201"/>
      <c r="Q4804" s="1201"/>
      <c r="R4804" s="1201"/>
      <c r="S4804" s="1201"/>
      <c r="T4804" s="1201"/>
    </row>
    <row r="4805" spans="12:20">
      <c r="L4805" s="1179"/>
      <c r="M4805" s="1183"/>
      <c r="N4805" s="1183"/>
      <c r="O4805" s="1183"/>
      <c r="P4805" s="1201"/>
      <c r="Q4805" s="1201"/>
      <c r="R4805" s="1201"/>
      <c r="S4805" s="1201"/>
      <c r="T4805" s="1201"/>
    </row>
    <row r="4806" spans="12:20">
      <c r="L4806" s="1179"/>
      <c r="M4806" s="1183"/>
      <c r="N4806" s="1183"/>
      <c r="O4806" s="1183"/>
      <c r="P4806" s="1201"/>
      <c r="Q4806" s="1201"/>
      <c r="R4806" s="1201"/>
      <c r="S4806" s="1201"/>
      <c r="T4806" s="1201"/>
    </row>
    <row r="4807" spans="12:20">
      <c r="L4807" s="1179"/>
      <c r="M4807" s="1183"/>
      <c r="N4807" s="1183"/>
      <c r="O4807" s="1183"/>
      <c r="P4807" s="1201"/>
      <c r="Q4807" s="1201"/>
      <c r="R4807" s="1201"/>
      <c r="S4807" s="1201"/>
      <c r="T4807" s="1201"/>
    </row>
    <row r="4808" spans="12:20">
      <c r="L4808" s="1179"/>
      <c r="M4808" s="1183"/>
      <c r="N4808" s="1183"/>
      <c r="O4808" s="1183"/>
      <c r="P4808" s="1201"/>
      <c r="Q4808" s="1201"/>
      <c r="R4808" s="1201"/>
      <c r="S4808" s="1201"/>
      <c r="T4808" s="1201"/>
    </row>
    <row r="4809" spans="12:20">
      <c r="L4809" s="1179"/>
      <c r="M4809" s="1183"/>
      <c r="N4809" s="1183"/>
      <c r="O4809" s="1183"/>
      <c r="P4809" s="1201"/>
      <c r="Q4809" s="1201"/>
      <c r="R4809" s="1201"/>
      <c r="S4809" s="1201"/>
      <c r="T4809" s="1201"/>
    </row>
    <row r="4810" spans="12:20">
      <c r="L4810" s="1179"/>
      <c r="M4810" s="1183"/>
      <c r="N4810" s="1183"/>
      <c r="O4810" s="1183"/>
      <c r="P4810" s="1201"/>
      <c r="Q4810" s="1201"/>
      <c r="R4810" s="1201"/>
      <c r="S4810" s="1201"/>
      <c r="T4810" s="1201"/>
    </row>
    <row r="4811" spans="12:20">
      <c r="L4811" s="1179"/>
      <c r="M4811" s="1183"/>
      <c r="N4811" s="1183"/>
      <c r="O4811" s="1183"/>
      <c r="P4811" s="1201"/>
      <c r="Q4811" s="1201"/>
      <c r="R4811" s="1201"/>
      <c r="S4811" s="1201"/>
      <c r="T4811" s="1201"/>
    </row>
    <row r="4812" spans="12:20">
      <c r="L4812" s="1179"/>
      <c r="M4812" s="1183"/>
      <c r="N4812" s="1183"/>
      <c r="O4812" s="1183"/>
      <c r="P4812" s="1201"/>
      <c r="Q4812" s="1201"/>
      <c r="R4812" s="1201"/>
      <c r="S4812" s="1201"/>
      <c r="T4812" s="1201"/>
    </row>
    <row r="4813" spans="12:20">
      <c r="L4813" s="1179"/>
      <c r="M4813" s="1183"/>
      <c r="N4813" s="1183"/>
      <c r="O4813" s="1183"/>
      <c r="P4813" s="1201"/>
      <c r="Q4813" s="1201"/>
      <c r="R4813" s="1201"/>
      <c r="S4813" s="1201"/>
      <c r="T4813" s="1201"/>
    </row>
    <row r="4814" spans="12:20">
      <c r="L4814" s="1179"/>
      <c r="M4814" s="1183"/>
      <c r="N4814" s="1183"/>
      <c r="O4814" s="1183"/>
      <c r="P4814" s="1201"/>
      <c r="Q4814" s="1201"/>
      <c r="R4814" s="1201"/>
      <c r="S4814" s="1201"/>
      <c r="T4814" s="1201"/>
    </row>
    <row r="4815" spans="12:20">
      <c r="L4815" s="1179"/>
      <c r="M4815" s="1183"/>
      <c r="N4815" s="1183"/>
      <c r="O4815" s="1183"/>
      <c r="P4815" s="1201"/>
      <c r="Q4815" s="1201"/>
      <c r="R4815" s="1201"/>
      <c r="S4815" s="1201"/>
      <c r="T4815" s="1201"/>
    </row>
    <row r="4816" spans="12:20">
      <c r="L4816" s="1179"/>
      <c r="M4816" s="1183"/>
      <c r="N4816" s="1183"/>
      <c r="O4816" s="1183"/>
      <c r="P4816" s="1201"/>
      <c r="Q4816" s="1201"/>
      <c r="R4816" s="1201"/>
      <c r="S4816" s="1201"/>
      <c r="T4816" s="1201"/>
    </row>
    <row r="4817" spans="12:20">
      <c r="L4817" s="1179"/>
      <c r="M4817" s="1183"/>
      <c r="N4817" s="1183"/>
      <c r="O4817" s="1183"/>
      <c r="P4817" s="1201"/>
      <c r="Q4817" s="1201"/>
      <c r="R4817" s="1201"/>
      <c r="S4817" s="1201"/>
      <c r="T4817" s="1201"/>
    </row>
    <row r="4818" spans="12:20">
      <c r="L4818" s="1179"/>
      <c r="M4818" s="1183"/>
      <c r="N4818" s="1183"/>
      <c r="O4818" s="1183"/>
      <c r="P4818" s="1201"/>
      <c r="Q4818" s="1201"/>
      <c r="R4818" s="1201"/>
      <c r="S4818" s="1201"/>
      <c r="T4818" s="1201"/>
    </row>
    <row r="4819" spans="12:20">
      <c r="L4819" s="1179"/>
      <c r="M4819" s="1183"/>
      <c r="N4819" s="1183"/>
      <c r="O4819" s="1183"/>
      <c r="P4819" s="1201"/>
      <c r="Q4819" s="1201"/>
      <c r="R4819" s="1201"/>
      <c r="S4819" s="1201"/>
      <c r="T4819" s="1201"/>
    </row>
    <row r="4820" spans="12:20">
      <c r="L4820" s="1179"/>
      <c r="M4820" s="1183"/>
      <c r="N4820" s="1183"/>
      <c r="O4820" s="1183"/>
      <c r="P4820" s="1201"/>
      <c r="Q4820" s="1201"/>
      <c r="R4820" s="1201"/>
      <c r="S4820" s="1201"/>
      <c r="T4820" s="1201"/>
    </row>
    <row r="4821" spans="12:20">
      <c r="L4821" s="1179"/>
      <c r="M4821" s="1183"/>
      <c r="N4821" s="1183"/>
      <c r="O4821" s="1183"/>
      <c r="P4821" s="1201"/>
      <c r="Q4821" s="1201"/>
      <c r="R4821" s="1201"/>
      <c r="S4821" s="1201"/>
      <c r="T4821" s="1201"/>
    </row>
    <row r="4822" spans="12:20">
      <c r="L4822" s="1179"/>
      <c r="M4822" s="1183"/>
      <c r="N4822" s="1183"/>
      <c r="O4822" s="1183"/>
      <c r="P4822" s="1201"/>
      <c r="Q4822" s="1201"/>
      <c r="R4822" s="1201"/>
      <c r="S4822" s="1201"/>
      <c r="T4822" s="1201"/>
    </row>
    <row r="4823" spans="12:20">
      <c r="L4823" s="1179"/>
      <c r="M4823" s="1183"/>
      <c r="N4823" s="1183"/>
      <c r="O4823" s="1183"/>
      <c r="P4823" s="1201"/>
      <c r="Q4823" s="1201"/>
      <c r="R4823" s="1201"/>
      <c r="S4823" s="1201"/>
      <c r="T4823" s="1201"/>
    </row>
    <row r="4824" spans="12:20">
      <c r="L4824" s="1179"/>
      <c r="M4824" s="1183"/>
      <c r="N4824" s="1183"/>
      <c r="O4824" s="1183"/>
      <c r="P4824" s="1201"/>
      <c r="Q4824" s="1201"/>
      <c r="R4824" s="1201"/>
      <c r="S4824" s="1201"/>
      <c r="T4824" s="1201"/>
    </row>
    <row r="4825" spans="12:20">
      <c r="L4825" s="1179"/>
      <c r="M4825" s="1183"/>
      <c r="N4825" s="1183"/>
      <c r="O4825" s="1183"/>
      <c r="P4825" s="1201"/>
      <c r="Q4825" s="1201"/>
      <c r="R4825" s="1201"/>
      <c r="S4825" s="1201"/>
      <c r="T4825" s="1201"/>
    </row>
    <row r="4826" spans="12:20">
      <c r="L4826" s="1179"/>
      <c r="M4826" s="1183"/>
      <c r="N4826" s="1183"/>
      <c r="O4826" s="1183"/>
      <c r="P4826" s="1201"/>
      <c r="Q4826" s="1201"/>
      <c r="R4826" s="1201"/>
      <c r="S4826" s="1201"/>
      <c r="T4826" s="1201"/>
    </row>
    <row r="4827" spans="12:20">
      <c r="L4827" s="1179"/>
      <c r="M4827" s="1183"/>
      <c r="N4827" s="1183"/>
      <c r="O4827" s="1183"/>
      <c r="P4827" s="1201"/>
      <c r="Q4827" s="1201"/>
      <c r="R4827" s="1201"/>
      <c r="S4827" s="1201"/>
      <c r="T4827" s="1201"/>
    </row>
    <row r="4828" spans="12:20">
      <c r="L4828" s="1179"/>
      <c r="M4828" s="1183"/>
      <c r="N4828" s="1183"/>
      <c r="O4828" s="1183"/>
      <c r="P4828" s="1201"/>
      <c r="Q4828" s="1201"/>
      <c r="R4828" s="1201"/>
      <c r="S4828" s="1201"/>
      <c r="T4828" s="1201"/>
    </row>
    <row r="4829" spans="12:20">
      <c r="L4829" s="1179"/>
      <c r="M4829" s="1183"/>
      <c r="N4829" s="1183"/>
      <c r="O4829" s="1183"/>
      <c r="P4829" s="1201"/>
      <c r="Q4829" s="1201"/>
      <c r="R4829" s="1201"/>
      <c r="S4829" s="1201"/>
      <c r="T4829" s="1201"/>
    </row>
    <row r="4830" spans="12:20">
      <c r="L4830" s="1179"/>
      <c r="M4830" s="1183"/>
      <c r="N4830" s="1183"/>
      <c r="O4830" s="1183"/>
      <c r="P4830" s="1201"/>
      <c r="Q4830" s="1201"/>
      <c r="R4830" s="1201"/>
      <c r="S4830" s="1201"/>
      <c r="T4830" s="1201"/>
    </row>
    <row r="4831" spans="12:20">
      <c r="L4831" s="1179"/>
      <c r="M4831" s="1183"/>
      <c r="N4831" s="1183"/>
      <c r="O4831" s="1183"/>
      <c r="P4831" s="1201"/>
      <c r="Q4831" s="1201"/>
      <c r="R4831" s="1201"/>
      <c r="S4831" s="1201"/>
      <c r="T4831" s="1201"/>
    </row>
    <row r="4832" spans="12:20">
      <c r="L4832" s="1179"/>
      <c r="M4832" s="1183"/>
      <c r="N4832" s="1183"/>
      <c r="O4832" s="1183"/>
      <c r="P4832" s="1201"/>
      <c r="Q4832" s="1201"/>
      <c r="R4832" s="1201"/>
      <c r="S4832" s="1201"/>
      <c r="T4832" s="1201"/>
    </row>
    <row r="4833" spans="12:20">
      <c r="L4833" s="1179"/>
      <c r="M4833" s="1183"/>
      <c r="N4833" s="1183"/>
      <c r="O4833" s="1183"/>
      <c r="P4833" s="1201"/>
      <c r="Q4833" s="1201"/>
      <c r="R4833" s="1201"/>
      <c r="S4833" s="1201"/>
      <c r="T4833" s="1201"/>
    </row>
    <row r="4834" spans="12:20">
      <c r="L4834" s="1179"/>
      <c r="M4834" s="1183"/>
      <c r="N4834" s="1183"/>
      <c r="O4834" s="1183"/>
      <c r="P4834" s="1201"/>
      <c r="Q4834" s="1201"/>
      <c r="R4834" s="1201"/>
      <c r="S4834" s="1201"/>
      <c r="T4834" s="1201"/>
    </row>
    <row r="4835" spans="12:20">
      <c r="L4835" s="1179"/>
      <c r="M4835" s="1183"/>
      <c r="N4835" s="1183"/>
      <c r="O4835" s="1183"/>
      <c r="P4835" s="1201"/>
      <c r="Q4835" s="1201"/>
      <c r="R4835" s="1201"/>
      <c r="S4835" s="1201"/>
      <c r="T4835" s="1201"/>
    </row>
    <row r="4836" spans="12:20">
      <c r="L4836" s="1179"/>
      <c r="M4836" s="1183"/>
      <c r="N4836" s="1183"/>
      <c r="O4836" s="1183"/>
      <c r="P4836" s="1201"/>
      <c r="Q4836" s="1201"/>
      <c r="R4836" s="1201"/>
      <c r="S4836" s="1201"/>
      <c r="T4836" s="1201"/>
    </row>
    <row r="4837" spans="12:20">
      <c r="L4837" s="1179"/>
      <c r="M4837" s="1183"/>
      <c r="N4837" s="1183"/>
      <c r="O4837" s="1183"/>
      <c r="P4837" s="1201"/>
      <c r="Q4837" s="1201"/>
      <c r="R4837" s="1201"/>
      <c r="S4837" s="1201"/>
      <c r="T4837" s="1201"/>
    </row>
    <row r="4838" spans="12:20">
      <c r="L4838" s="1179"/>
      <c r="M4838" s="1183"/>
      <c r="N4838" s="1183"/>
      <c r="O4838" s="1183"/>
      <c r="P4838" s="1201"/>
      <c r="Q4838" s="1201"/>
      <c r="R4838" s="1201"/>
      <c r="S4838" s="1201"/>
      <c r="T4838" s="1201"/>
    </row>
    <row r="4839" spans="12:20">
      <c r="L4839" s="1179"/>
      <c r="M4839" s="1183"/>
      <c r="N4839" s="1183"/>
      <c r="O4839" s="1183"/>
      <c r="P4839" s="1201"/>
      <c r="Q4839" s="1201"/>
      <c r="R4839" s="1201"/>
      <c r="S4839" s="1201"/>
      <c r="T4839" s="1201"/>
    </row>
    <row r="4840" spans="12:20">
      <c r="L4840" s="1179"/>
      <c r="M4840" s="1183"/>
      <c r="N4840" s="1183"/>
      <c r="O4840" s="1183"/>
      <c r="P4840" s="1201"/>
      <c r="Q4840" s="1201"/>
      <c r="R4840" s="1201"/>
      <c r="S4840" s="1201"/>
      <c r="T4840" s="1201"/>
    </row>
    <row r="4841" spans="12:20">
      <c r="L4841" s="1179"/>
      <c r="M4841" s="1183"/>
      <c r="N4841" s="1183"/>
      <c r="O4841" s="1183"/>
      <c r="P4841" s="1201"/>
      <c r="Q4841" s="1201"/>
      <c r="R4841" s="1201"/>
      <c r="S4841" s="1201"/>
      <c r="T4841" s="1201"/>
    </row>
    <row r="4842" spans="12:20">
      <c r="L4842" s="1179"/>
      <c r="M4842" s="1183"/>
      <c r="N4842" s="1183"/>
      <c r="O4842" s="1183"/>
      <c r="P4842" s="1201"/>
      <c r="Q4842" s="1201"/>
      <c r="R4842" s="1201"/>
      <c r="S4842" s="1201"/>
      <c r="T4842" s="1201"/>
    </row>
    <row r="4843" spans="12:20">
      <c r="L4843" s="1179"/>
      <c r="M4843" s="1183"/>
      <c r="N4843" s="1183"/>
      <c r="O4843" s="1183"/>
      <c r="P4843" s="1201"/>
      <c r="Q4843" s="1201"/>
      <c r="R4843" s="1201"/>
      <c r="S4843" s="1201"/>
      <c r="T4843" s="1201"/>
    </row>
    <row r="4844" spans="12:20">
      <c r="L4844" s="1179"/>
      <c r="M4844" s="1183"/>
      <c r="N4844" s="1183"/>
      <c r="O4844" s="1183"/>
      <c r="P4844" s="1201"/>
      <c r="Q4844" s="1201"/>
      <c r="R4844" s="1201"/>
      <c r="S4844" s="1201"/>
      <c r="T4844" s="1201"/>
    </row>
    <row r="4845" spans="12:20">
      <c r="L4845" s="1179"/>
      <c r="M4845" s="1183"/>
      <c r="N4845" s="1183"/>
      <c r="O4845" s="1183"/>
      <c r="P4845" s="1201"/>
      <c r="Q4845" s="1201"/>
      <c r="R4845" s="1201"/>
      <c r="S4845" s="1201"/>
      <c r="T4845" s="1201"/>
    </row>
    <row r="4846" spans="12:20">
      <c r="L4846" s="1179"/>
      <c r="M4846" s="1183"/>
      <c r="N4846" s="1183"/>
      <c r="O4846" s="1183"/>
      <c r="P4846" s="1201"/>
      <c r="Q4846" s="1201"/>
      <c r="R4846" s="1201"/>
      <c r="S4846" s="1201"/>
      <c r="T4846" s="1201"/>
    </row>
    <row r="4847" spans="12:20">
      <c r="L4847" s="1179"/>
      <c r="M4847" s="1183"/>
      <c r="N4847" s="1183"/>
      <c r="O4847" s="1183"/>
      <c r="P4847" s="1201"/>
      <c r="Q4847" s="1201"/>
      <c r="R4847" s="1201"/>
      <c r="S4847" s="1201"/>
      <c r="T4847" s="1201"/>
    </row>
    <row r="4848" spans="12:20">
      <c r="L4848" s="1179"/>
      <c r="M4848" s="1183"/>
      <c r="N4848" s="1183"/>
      <c r="O4848" s="1183"/>
      <c r="P4848" s="1201"/>
      <c r="Q4848" s="1201"/>
      <c r="R4848" s="1201"/>
      <c r="S4848" s="1201"/>
      <c r="T4848" s="1201"/>
    </row>
    <row r="4849" spans="12:20">
      <c r="L4849" s="1179"/>
      <c r="M4849" s="1183"/>
      <c r="N4849" s="1183"/>
      <c r="O4849" s="1183"/>
      <c r="P4849" s="1201"/>
      <c r="Q4849" s="1201"/>
      <c r="R4849" s="1201"/>
      <c r="S4849" s="1201"/>
      <c r="T4849" s="1201"/>
    </row>
    <row r="4850" spans="12:20">
      <c r="L4850" s="1179"/>
      <c r="M4850" s="1183"/>
      <c r="N4850" s="1183"/>
      <c r="O4850" s="1183"/>
      <c r="P4850" s="1201"/>
      <c r="Q4850" s="1201"/>
      <c r="R4850" s="1201"/>
      <c r="S4850" s="1201"/>
      <c r="T4850" s="1201"/>
    </row>
    <row r="4851" spans="12:20">
      <c r="L4851" s="1179"/>
      <c r="M4851" s="1183"/>
      <c r="N4851" s="1183"/>
      <c r="O4851" s="1183"/>
      <c r="P4851" s="1201"/>
      <c r="Q4851" s="1201"/>
      <c r="R4851" s="1201"/>
      <c r="S4851" s="1201"/>
      <c r="T4851" s="1201"/>
    </row>
    <row r="4852" spans="12:20">
      <c r="L4852" s="1179"/>
      <c r="M4852" s="1183"/>
      <c r="N4852" s="1183"/>
      <c r="O4852" s="1183"/>
      <c r="P4852" s="1201"/>
      <c r="Q4852" s="1201"/>
      <c r="R4852" s="1201"/>
      <c r="S4852" s="1201"/>
      <c r="T4852" s="1201"/>
    </row>
    <row r="4853" spans="12:20">
      <c r="L4853" s="1179"/>
      <c r="M4853" s="1183"/>
      <c r="N4853" s="1183"/>
      <c r="O4853" s="1183"/>
      <c r="P4853" s="1201"/>
      <c r="Q4853" s="1201"/>
      <c r="R4853" s="1201"/>
      <c r="S4853" s="1201"/>
      <c r="T4853" s="1201"/>
    </row>
    <row r="4854" spans="12:20">
      <c r="L4854" s="1179"/>
      <c r="M4854" s="1183"/>
      <c r="N4854" s="1183"/>
      <c r="O4854" s="1183"/>
      <c r="P4854" s="1201"/>
      <c r="Q4854" s="1201"/>
      <c r="R4854" s="1201"/>
      <c r="S4854" s="1201"/>
      <c r="T4854" s="1201"/>
    </row>
    <row r="4855" spans="12:20">
      <c r="L4855" s="1179"/>
      <c r="M4855" s="1183"/>
      <c r="N4855" s="1183"/>
      <c r="O4855" s="1183"/>
      <c r="P4855" s="1201"/>
      <c r="Q4855" s="1201"/>
      <c r="R4855" s="1201"/>
      <c r="S4855" s="1201"/>
      <c r="T4855" s="1201"/>
    </row>
    <row r="4856" spans="12:20">
      <c r="L4856" s="1179"/>
      <c r="M4856" s="1183"/>
      <c r="N4856" s="1183"/>
      <c r="O4856" s="1183"/>
      <c r="P4856" s="1201"/>
      <c r="Q4856" s="1201"/>
      <c r="R4856" s="1201"/>
      <c r="S4856" s="1201"/>
      <c r="T4856" s="1201"/>
    </row>
    <row r="4857" spans="12:20">
      <c r="L4857" s="1179"/>
      <c r="M4857" s="1183"/>
      <c r="N4857" s="1183"/>
      <c r="O4857" s="1183"/>
      <c r="P4857" s="1201"/>
      <c r="Q4857" s="1201"/>
      <c r="R4857" s="1201"/>
      <c r="S4857" s="1201"/>
      <c r="T4857" s="1201"/>
    </row>
    <row r="4858" spans="12:20">
      <c r="L4858" s="1179"/>
      <c r="M4858" s="1183"/>
      <c r="N4858" s="1183"/>
      <c r="O4858" s="1183"/>
      <c r="P4858" s="1201"/>
      <c r="Q4858" s="1201"/>
      <c r="R4858" s="1201"/>
      <c r="S4858" s="1201"/>
      <c r="T4858" s="1201"/>
    </row>
    <row r="4859" spans="12:20">
      <c r="L4859" s="1179"/>
      <c r="M4859" s="1183"/>
      <c r="N4859" s="1183"/>
      <c r="O4859" s="1183"/>
      <c r="P4859" s="1201"/>
      <c r="Q4859" s="1201"/>
      <c r="R4859" s="1201"/>
      <c r="S4859" s="1201"/>
      <c r="T4859" s="1201"/>
    </row>
    <row r="4860" spans="12:20">
      <c r="L4860" s="1179"/>
      <c r="M4860" s="1183"/>
      <c r="N4860" s="1183"/>
      <c r="O4860" s="1183"/>
      <c r="P4860" s="1201"/>
      <c r="Q4860" s="1201"/>
      <c r="R4860" s="1201"/>
      <c r="S4860" s="1201"/>
      <c r="T4860" s="1201"/>
    </row>
    <row r="4861" spans="12:20">
      <c r="L4861" s="1179"/>
      <c r="M4861" s="1183"/>
      <c r="N4861" s="1183"/>
      <c r="O4861" s="1183"/>
      <c r="P4861" s="1201"/>
      <c r="Q4861" s="1201"/>
      <c r="R4861" s="1201"/>
      <c r="S4861" s="1201"/>
      <c r="T4861" s="1201"/>
    </row>
    <row r="4862" spans="12:20">
      <c r="L4862" s="1179"/>
      <c r="M4862" s="1183"/>
      <c r="N4862" s="1183"/>
      <c r="O4862" s="1183"/>
      <c r="P4862" s="1201"/>
      <c r="Q4862" s="1201"/>
      <c r="R4862" s="1201"/>
      <c r="S4862" s="1201"/>
      <c r="T4862" s="1201"/>
    </row>
    <row r="4863" spans="12:20">
      <c r="L4863" s="1179"/>
      <c r="M4863" s="1183"/>
      <c r="N4863" s="1183"/>
      <c r="O4863" s="1183"/>
      <c r="P4863" s="1201"/>
      <c r="Q4863" s="1201"/>
      <c r="R4863" s="1201"/>
      <c r="S4863" s="1201"/>
      <c r="T4863" s="1201"/>
    </row>
    <row r="4864" spans="12:20">
      <c r="L4864" s="1179"/>
      <c r="M4864" s="1183"/>
      <c r="N4864" s="1183"/>
      <c r="O4864" s="1183"/>
      <c r="P4864" s="1201"/>
      <c r="Q4864" s="1201"/>
      <c r="R4864" s="1201"/>
      <c r="S4864" s="1201"/>
      <c r="T4864" s="1201"/>
    </row>
    <row r="4865" spans="12:20">
      <c r="L4865" s="1179"/>
      <c r="M4865" s="1183"/>
      <c r="N4865" s="1183"/>
      <c r="O4865" s="1183"/>
      <c r="P4865" s="1201"/>
      <c r="Q4865" s="1201"/>
      <c r="R4865" s="1201"/>
      <c r="S4865" s="1201"/>
      <c r="T4865" s="1201"/>
    </row>
    <row r="4866" spans="12:20">
      <c r="L4866" s="1179"/>
      <c r="M4866" s="1183"/>
      <c r="N4866" s="1183"/>
      <c r="O4866" s="1183"/>
      <c r="P4866" s="1201"/>
      <c r="Q4866" s="1201"/>
      <c r="R4866" s="1201"/>
      <c r="S4866" s="1201"/>
      <c r="T4866" s="1201"/>
    </row>
    <row r="4867" spans="12:20">
      <c r="L4867" s="1179"/>
      <c r="M4867" s="1183"/>
      <c r="N4867" s="1183"/>
      <c r="O4867" s="1183"/>
      <c r="P4867" s="1201"/>
      <c r="Q4867" s="1201"/>
      <c r="R4867" s="1201"/>
      <c r="S4867" s="1201"/>
      <c r="T4867" s="1201"/>
    </row>
    <row r="4868" spans="12:20">
      <c r="L4868" s="1179"/>
      <c r="M4868" s="1183"/>
      <c r="N4868" s="1183"/>
      <c r="O4868" s="1183"/>
      <c r="P4868" s="1201"/>
      <c r="Q4868" s="1201"/>
      <c r="R4868" s="1201"/>
      <c r="S4868" s="1201"/>
      <c r="T4868" s="1201"/>
    </row>
    <row r="4869" spans="12:20">
      <c r="L4869" s="1179"/>
      <c r="M4869" s="1183"/>
      <c r="N4869" s="1183"/>
      <c r="O4869" s="1183"/>
      <c r="P4869" s="1201"/>
      <c r="Q4869" s="1201"/>
      <c r="R4869" s="1201"/>
      <c r="S4869" s="1201"/>
      <c r="T4869" s="1201"/>
    </row>
    <row r="4870" spans="12:20">
      <c r="L4870" s="1179"/>
      <c r="M4870" s="1183"/>
      <c r="N4870" s="1183"/>
      <c r="O4870" s="1183"/>
      <c r="P4870" s="1201"/>
      <c r="Q4870" s="1201"/>
      <c r="R4870" s="1201"/>
      <c r="S4870" s="1201"/>
      <c r="T4870" s="1201"/>
    </row>
    <row r="4871" spans="12:20">
      <c r="L4871" s="1179"/>
      <c r="M4871" s="1183"/>
      <c r="N4871" s="1183"/>
      <c r="O4871" s="1183"/>
      <c r="P4871" s="1201"/>
      <c r="Q4871" s="1201"/>
      <c r="R4871" s="1201"/>
      <c r="S4871" s="1201"/>
      <c r="T4871" s="1201"/>
    </row>
    <row r="4872" spans="12:20">
      <c r="L4872" s="1179"/>
      <c r="M4872" s="1183"/>
      <c r="N4872" s="1183"/>
      <c r="O4872" s="1183"/>
      <c r="P4872" s="1201"/>
      <c r="Q4872" s="1201"/>
      <c r="R4872" s="1201"/>
      <c r="S4872" s="1201"/>
      <c r="T4872" s="1201"/>
    </row>
    <row r="4873" spans="12:20">
      <c r="L4873" s="1179"/>
      <c r="M4873" s="1183"/>
      <c r="N4873" s="1183"/>
      <c r="O4873" s="1183"/>
      <c r="P4873" s="1201"/>
      <c r="Q4873" s="1201"/>
      <c r="R4873" s="1201"/>
      <c r="S4873" s="1201"/>
      <c r="T4873" s="1201"/>
    </row>
    <row r="4874" spans="12:20">
      <c r="L4874" s="1179"/>
      <c r="M4874" s="1183"/>
      <c r="N4874" s="1183"/>
      <c r="O4874" s="1183"/>
      <c r="P4874" s="1201"/>
      <c r="Q4874" s="1201"/>
      <c r="R4874" s="1201"/>
      <c r="S4874" s="1201"/>
      <c r="T4874" s="1201"/>
    </row>
    <row r="4875" spans="12:20">
      <c r="L4875" s="1179"/>
      <c r="M4875" s="1183"/>
      <c r="N4875" s="1183"/>
      <c r="O4875" s="1183"/>
      <c r="P4875" s="1201"/>
      <c r="Q4875" s="1201"/>
      <c r="R4875" s="1201"/>
      <c r="S4875" s="1201"/>
      <c r="T4875" s="1201"/>
    </row>
    <row r="4876" spans="12:20">
      <c r="L4876" s="1179"/>
      <c r="M4876" s="1183"/>
      <c r="N4876" s="1183"/>
      <c r="O4876" s="1183"/>
      <c r="P4876" s="1201"/>
      <c r="Q4876" s="1201"/>
      <c r="R4876" s="1201"/>
      <c r="S4876" s="1201"/>
      <c r="T4876" s="1201"/>
    </row>
    <row r="4877" spans="12:20">
      <c r="L4877" s="1179"/>
      <c r="M4877" s="1183"/>
      <c r="N4877" s="1183"/>
      <c r="O4877" s="1183"/>
      <c r="P4877" s="1201"/>
      <c r="Q4877" s="1201"/>
      <c r="R4877" s="1201"/>
      <c r="S4877" s="1201"/>
      <c r="T4877" s="1201"/>
    </row>
    <row r="4878" spans="12:20">
      <c r="L4878" s="1179"/>
      <c r="M4878" s="1183"/>
      <c r="N4878" s="1183"/>
      <c r="O4878" s="1183"/>
      <c r="P4878" s="1201"/>
      <c r="Q4878" s="1201"/>
      <c r="R4878" s="1201"/>
      <c r="S4878" s="1201"/>
      <c r="T4878" s="1201"/>
    </row>
    <row r="4879" spans="12:20">
      <c r="L4879" s="1179"/>
      <c r="M4879" s="1183"/>
      <c r="N4879" s="1183"/>
      <c r="O4879" s="1183"/>
      <c r="P4879" s="1201"/>
      <c r="Q4879" s="1201"/>
      <c r="R4879" s="1201"/>
      <c r="S4879" s="1201"/>
      <c r="T4879" s="1201"/>
    </row>
    <row r="4880" spans="12:20">
      <c r="L4880" s="1179"/>
      <c r="M4880" s="1183"/>
      <c r="N4880" s="1183"/>
      <c r="O4880" s="1183"/>
      <c r="P4880" s="1201"/>
      <c r="Q4880" s="1201"/>
      <c r="R4880" s="1201"/>
      <c r="S4880" s="1201"/>
      <c r="T4880" s="1201"/>
    </row>
    <row r="4881" spans="12:20">
      <c r="L4881" s="1179"/>
      <c r="M4881" s="1183"/>
      <c r="N4881" s="1183"/>
      <c r="O4881" s="1183"/>
      <c r="P4881" s="1201"/>
      <c r="Q4881" s="1201"/>
      <c r="R4881" s="1201"/>
      <c r="S4881" s="1201"/>
      <c r="T4881" s="1201"/>
    </row>
    <row r="4882" spans="12:20">
      <c r="L4882" s="1179"/>
      <c r="M4882" s="1183"/>
      <c r="N4882" s="1183"/>
      <c r="O4882" s="1183"/>
      <c r="P4882" s="1201"/>
      <c r="Q4882" s="1201"/>
      <c r="R4882" s="1201"/>
      <c r="S4882" s="1201"/>
      <c r="T4882" s="1201"/>
    </row>
    <row r="4883" spans="12:20">
      <c r="L4883" s="1179"/>
      <c r="M4883" s="1183"/>
      <c r="N4883" s="1183"/>
      <c r="O4883" s="1183"/>
      <c r="P4883" s="1201"/>
      <c r="Q4883" s="1201"/>
      <c r="R4883" s="1201"/>
      <c r="S4883" s="1201"/>
      <c r="T4883" s="1201"/>
    </row>
    <row r="4884" spans="12:20">
      <c r="L4884" s="1179"/>
      <c r="M4884" s="1183"/>
      <c r="N4884" s="1183"/>
      <c r="O4884" s="1183"/>
      <c r="P4884" s="1201"/>
      <c r="Q4884" s="1201"/>
      <c r="R4884" s="1201"/>
      <c r="S4884" s="1201"/>
      <c r="T4884" s="1201"/>
    </row>
    <row r="4885" spans="12:20">
      <c r="L4885" s="1179"/>
      <c r="M4885" s="1183"/>
      <c r="N4885" s="1183"/>
      <c r="O4885" s="1183"/>
      <c r="P4885" s="1201"/>
      <c r="Q4885" s="1201"/>
      <c r="R4885" s="1201"/>
      <c r="S4885" s="1201"/>
      <c r="T4885" s="1201"/>
    </row>
    <row r="4886" spans="12:20">
      <c r="L4886" s="1179"/>
      <c r="M4886" s="1183"/>
      <c r="N4886" s="1183"/>
      <c r="O4886" s="1183"/>
      <c r="P4886" s="1201"/>
      <c r="Q4886" s="1201"/>
      <c r="R4886" s="1201"/>
      <c r="S4886" s="1201"/>
      <c r="T4886" s="1201"/>
    </row>
    <row r="4887" spans="12:20">
      <c r="L4887" s="1179"/>
      <c r="M4887" s="1183"/>
      <c r="N4887" s="1183"/>
      <c r="O4887" s="1183"/>
      <c r="P4887" s="1201"/>
      <c r="Q4887" s="1201"/>
      <c r="R4887" s="1201"/>
      <c r="S4887" s="1201"/>
      <c r="T4887" s="1201"/>
    </row>
    <row r="4888" spans="12:20">
      <c r="L4888" s="1179"/>
      <c r="M4888" s="1183"/>
      <c r="N4888" s="1183"/>
      <c r="O4888" s="1183"/>
      <c r="P4888" s="1201"/>
      <c r="Q4888" s="1201"/>
      <c r="R4888" s="1201"/>
      <c r="S4888" s="1201"/>
      <c r="T4888" s="1201"/>
    </row>
    <row r="4889" spans="12:20">
      <c r="L4889" s="1179"/>
      <c r="M4889" s="1183"/>
      <c r="N4889" s="1183"/>
      <c r="O4889" s="1183"/>
      <c r="P4889" s="1201"/>
      <c r="Q4889" s="1201"/>
      <c r="R4889" s="1201"/>
      <c r="S4889" s="1201"/>
      <c r="T4889" s="1201"/>
    </row>
    <row r="4890" spans="12:20">
      <c r="L4890" s="1179"/>
      <c r="M4890" s="1183"/>
      <c r="N4890" s="1183"/>
      <c r="O4890" s="1183"/>
      <c r="P4890" s="1201"/>
      <c r="Q4890" s="1201"/>
      <c r="R4890" s="1201"/>
      <c r="S4890" s="1201"/>
      <c r="T4890" s="1201"/>
    </row>
    <row r="4891" spans="12:20">
      <c r="L4891" s="1179"/>
      <c r="M4891" s="1183"/>
      <c r="N4891" s="1183"/>
      <c r="O4891" s="1183"/>
      <c r="P4891" s="1201"/>
      <c r="Q4891" s="1201"/>
      <c r="R4891" s="1201"/>
      <c r="S4891" s="1201"/>
      <c r="T4891" s="1201"/>
    </row>
    <row r="4892" spans="12:20">
      <c r="L4892" s="1179"/>
      <c r="M4892" s="1183"/>
      <c r="N4892" s="1183"/>
      <c r="O4892" s="1183"/>
      <c r="P4892" s="1201"/>
      <c r="Q4892" s="1201"/>
      <c r="R4892" s="1201"/>
      <c r="S4892" s="1201"/>
      <c r="T4892" s="1201"/>
    </row>
    <row r="4893" spans="12:20">
      <c r="L4893" s="1179"/>
      <c r="M4893" s="1183"/>
      <c r="N4893" s="1183"/>
      <c r="O4893" s="1183"/>
      <c r="P4893" s="1201"/>
      <c r="Q4893" s="1201"/>
      <c r="R4893" s="1201"/>
      <c r="S4893" s="1201"/>
      <c r="T4893" s="1201"/>
    </row>
    <row r="4894" spans="12:20">
      <c r="L4894" s="1179"/>
      <c r="M4894" s="1183"/>
      <c r="N4894" s="1183"/>
      <c r="O4894" s="1183"/>
      <c r="P4894" s="1201"/>
      <c r="Q4894" s="1201"/>
      <c r="R4894" s="1201"/>
      <c r="S4894" s="1201"/>
      <c r="T4894" s="1201"/>
    </row>
    <row r="4895" spans="12:20">
      <c r="L4895" s="1179"/>
      <c r="M4895" s="1183"/>
      <c r="N4895" s="1183"/>
      <c r="O4895" s="1183"/>
      <c r="P4895" s="1201"/>
      <c r="Q4895" s="1201"/>
      <c r="R4895" s="1201"/>
      <c r="S4895" s="1201"/>
      <c r="T4895" s="1201"/>
    </row>
    <row r="4896" spans="12:20">
      <c r="L4896" s="1179"/>
      <c r="M4896" s="1183"/>
      <c r="N4896" s="1183"/>
      <c r="O4896" s="1183"/>
      <c r="P4896" s="1201"/>
      <c r="Q4896" s="1201"/>
      <c r="R4896" s="1201"/>
      <c r="S4896" s="1201"/>
      <c r="T4896" s="1201"/>
    </row>
    <row r="4897" spans="12:20">
      <c r="L4897" s="1179"/>
      <c r="M4897" s="1183"/>
      <c r="N4897" s="1183"/>
      <c r="O4897" s="1183"/>
      <c r="P4897" s="1201"/>
      <c r="Q4897" s="1201"/>
      <c r="R4897" s="1201"/>
      <c r="S4897" s="1201"/>
      <c r="T4897" s="1201"/>
    </row>
    <row r="4898" spans="12:20">
      <c r="L4898" s="1179"/>
      <c r="M4898" s="1183"/>
      <c r="N4898" s="1183"/>
      <c r="O4898" s="1183"/>
      <c r="P4898" s="1201"/>
      <c r="Q4898" s="1201"/>
      <c r="R4898" s="1201"/>
      <c r="S4898" s="1201"/>
      <c r="T4898" s="1201"/>
    </row>
    <row r="4899" spans="12:20">
      <c r="L4899" s="1179"/>
      <c r="M4899" s="1183"/>
      <c r="N4899" s="1183"/>
      <c r="O4899" s="1183"/>
      <c r="P4899" s="1201"/>
      <c r="Q4899" s="1201"/>
      <c r="R4899" s="1201"/>
      <c r="S4899" s="1201"/>
      <c r="T4899" s="1201"/>
    </row>
    <row r="4900" spans="12:20">
      <c r="L4900" s="1179"/>
      <c r="M4900" s="1183"/>
      <c r="N4900" s="1183"/>
      <c r="O4900" s="1183"/>
      <c r="P4900" s="1201"/>
      <c r="Q4900" s="1201"/>
      <c r="R4900" s="1201"/>
      <c r="S4900" s="1201"/>
      <c r="T4900" s="1201"/>
    </row>
    <row r="4901" spans="12:20">
      <c r="L4901" s="1179"/>
      <c r="M4901" s="1183"/>
      <c r="N4901" s="1183"/>
      <c r="O4901" s="1183"/>
      <c r="P4901" s="1201"/>
      <c r="Q4901" s="1201"/>
      <c r="R4901" s="1201"/>
      <c r="S4901" s="1201"/>
      <c r="T4901" s="1201"/>
    </row>
    <row r="4902" spans="12:20">
      <c r="L4902" s="1179"/>
      <c r="M4902" s="1183"/>
      <c r="N4902" s="1183"/>
      <c r="O4902" s="1183"/>
      <c r="P4902" s="1201"/>
      <c r="Q4902" s="1201"/>
      <c r="R4902" s="1201"/>
      <c r="S4902" s="1201"/>
      <c r="T4902" s="1201"/>
    </row>
    <row r="4903" spans="12:20">
      <c r="L4903" s="1179"/>
      <c r="M4903" s="1183"/>
      <c r="N4903" s="1183"/>
      <c r="O4903" s="1183"/>
      <c r="P4903" s="1201"/>
      <c r="Q4903" s="1201"/>
      <c r="R4903" s="1201"/>
      <c r="S4903" s="1201"/>
      <c r="T4903" s="1201"/>
    </row>
    <row r="4904" spans="12:20">
      <c r="L4904" s="1179"/>
      <c r="M4904" s="1183"/>
      <c r="N4904" s="1183"/>
      <c r="O4904" s="1183"/>
      <c r="P4904" s="1201"/>
      <c r="Q4904" s="1201"/>
      <c r="R4904" s="1201"/>
      <c r="S4904" s="1201"/>
      <c r="T4904" s="1201"/>
    </row>
    <row r="4905" spans="12:20">
      <c r="L4905" s="1179"/>
      <c r="M4905" s="1183"/>
      <c r="N4905" s="1183"/>
      <c r="O4905" s="1183"/>
      <c r="P4905" s="1201"/>
      <c r="Q4905" s="1201"/>
      <c r="R4905" s="1201"/>
      <c r="S4905" s="1201"/>
      <c r="T4905" s="1201"/>
    </row>
    <row r="4906" spans="12:20">
      <c r="L4906" s="1179"/>
      <c r="M4906" s="1183"/>
      <c r="N4906" s="1183"/>
      <c r="O4906" s="1183"/>
      <c r="P4906" s="1201"/>
      <c r="Q4906" s="1201"/>
      <c r="R4906" s="1201"/>
      <c r="S4906" s="1201"/>
      <c r="T4906" s="1201"/>
    </row>
    <row r="4907" spans="12:20">
      <c r="L4907" s="1179"/>
      <c r="M4907" s="1183"/>
      <c r="N4907" s="1183"/>
      <c r="O4907" s="1183"/>
      <c r="P4907" s="1201"/>
      <c r="Q4907" s="1201"/>
      <c r="R4907" s="1201"/>
      <c r="S4907" s="1201"/>
      <c r="T4907" s="1201"/>
    </row>
    <row r="4908" spans="12:20">
      <c r="L4908" s="1179"/>
      <c r="M4908" s="1183"/>
      <c r="N4908" s="1183"/>
      <c r="O4908" s="1183"/>
      <c r="P4908" s="1201"/>
      <c r="Q4908" s="1201"/>
      <c r="R4908" s="1201"/>
      <c r="S4908" s="1201"/>
      <c r="T4908" s="1201"/>
    </row>
    <row r="4909" spans="12:20">
      <c r="L4909" s="1179"/>
      <c r="M4909" s="1183"/>
      <c r="N4909" s="1183"/>
      <c r="O4909" s="1183"/>
      <c r="P4909" s="1201"/>
      <c r="Q4909" s="1201"/>
      <c r="R4909" s="1201"/>
      <c r="S4909" s="1201"/>
      <c r="T4909" s="1201"/>
    </row>
    <row r="4910" spans="12:20">
      <c r="L4910" s="1179"/>
      <c r="M4910" s="1183"/>
      <c r="N4910" s="1183"/>
      <c r="O4910" s="1183"/>
      <c r="P4910" s="1201"/>
      <c r="Q4910" s="1201"/>
      <c r="R4910" s="1201"/>
      <c r="S4910" s="1201"/>
      <c r="T4910" s="1201"/>
    </row>
    <row r="4911" spans="12:20">
      <c r="L4911" s="1179"/>
      <c r="M4911" s="1183"/>
      <c r="N4911" s="1183"/>
      <c r="O4911" s="1183"/>
      <c r="P4911" s="1201"/>
      <c r="Q4911" s="1201"/>
      <c r="R4911" s="1201"/>
      <c r="S4911" s="1201"/>
      <c r="T4911" s="1201"/>
    </row>
    <row r="4912" spans="12:20">
      <c r="L4912" s="1179"/>
      <c r="M4912" s="1183"/>
      <c r="N4912" s="1183"/>
      <c r="O4912" s="1183"/>
      <c r="P4912" s="1201"/>
      <c r="Q4912" s="1201"/>
      <c r="R4912" s="1201"/>
      <c r="S4912" s="1201"/>
      <c r="T4912" s="1201"/>
    </row>
    <row r="4913" spans="12:20">
      <c r="L4913" s="1179"/>
      <c r="M4913" s="1183"/>
      <c r="N4913" s="1183"/>
      <c r="O4913" s="1183"/>
      <c r="P4913" s="1201"/>
      <c r="Q4913" s="1201"/>
      <c r="R4913" s="1201"/>
      <c r="S4913" s="1201"/>
      <c r="T4913" s="1201"/>
    </row>
    <row r="4914" spans="12:20">
      <c r="L4914" s="1179"/>
      <c r="M4914" s="1183"/>
      <c r="N4914" s="1183"/>
      <c r="O4914" s="1183"/>
      <c r="P4914" s="1201"/>
      <c r="Q4914" s="1201"/>
      <c r="R4914" s="1201"/>
      <c r="S4914" s="1201"/>
      <c r="T4914" s="1201"/>
    </row>
    <row r="4915" spans="12:20">
      <c r="L4915" s="1179"/>
      <c r="M4915" s="1183"/>
      <c r="N4915" s="1183"/>
      <c r="O4915" s="1183"/>
      <c r="P4915" s="1201"/>
      <c r="Q4915" s="1201"/>
      <c r="R4915" s="1201"/>
      <c r="S4915" s="1201"/>
      <c r="T4915" s="1201"/>
    </row>
    <row r="4916" spans="12:20">
      <c r="L4916" s="1179"/>
      <c r="M4916" s="1183"/>
      <c r="N4916" s="1183"/>
      <c r="O4916" s="1183"/>
      <c r="P4916" s="1201"/>
      <c r="Q4916" s="1201"/>
      <c r="R4916" s="1201"/>
      <c r="S4916" s="1201"/>
      <c r="T4916" s="1201"/>
    </row>
    <row r="4917" spans="12:20">
      <c r="L4917" s="1179"/>
      <c r="M4917" s="1183"/>
      <c r="N4917" s="1183"/>
      <c r="O4917" s="1183"/>
      <c r="P4917" s="1201"/>
      <c r="Q4917" s="1201"/>
      <c r="R4917" s="1201"/>
      <c r="S4917" s="1201"/>
      <c r="T4917" s="1201"/>
    </row>
    <row r="4918" spans="12:20">
      <c r="L4918" s="1179"/>
      <c r="M4918" s="1183"/>
      <c r="N4918" s="1183"/>
      <c r="O4918" s="1183"/>
      <c r="P4918" s="1201"/>
      <c r="Q4918" s="1201"/>
      <c r="R4918" s="1201"/>
      <c r="S4918" s="1201"/>
      <c r="T4918" s="1201"/>
    </row>
    <row r="4919" spans="12:20">
      <c r="L4919" s="1179"/>
      <c r="M4919" s="1183"/>
      <c r="N4919" s="1183"/>
      <c r="O4919" s="1183"/>
      <c r="P4919" s="1201"/>
      <c r="Q4919" s="1201"/>
      <c r="R4919" s="1201"/>
      <c r="S4919" s="1201"/>
      <c r="T4919" s="1201"/>
    </row>
    <row r="4920" spans="12:20">
      <c r="L4920" s="1179"/>
      <c r="M4920" s="1183"/>
      <c r="N4920" s="1183"/>
      <c r="O4920" s="1183"/>
      <c r="P4920" s="1201"/>
      <c r="Q4920" s="1201"/>
      <c r="R4920" s="1201"/>
      <c r="S4920" s="1201"/>
      <c r="T4920" s="1201"/>
    </row>
    <row r="4921" spans="12:20">
      <c r="L4921" s="1179"/>
      <c r="M4921" s="1183"/>
      <c r="N4921" s="1183"/>
      <c r="O4921" s="1183"/>
      <c r="P4921" s="1201"/>
      <c r="Q4921" s="1201"/>
      <c r="R4921" s="1201"/>
      <c r="S4921" s="1201"/>
      <c r="T4921" s="1201"/>
    </row>
    <row r="4922" spans="12:20">
      <c r="L4922" s="1179"/>
      <c r="M4922" s="1183"/>
      <c r="N4922" s="1183"/>
      <c r="O4922" s="1183"/>
      <c r="P4922" s="1201"/>
      <c r="Q4922" s="1201"/>
      <c r="R4922" s="1201"/>
      <c r="S4922" s="1201"/>
      <c r="T4922" s="1201"/>
    </row>
    <row r="4923" spans="12:20">
      <c r="L4923" s="1179"/>
      <c r="M4923" s="1183"/>
      <c r="N4923" s="1183"/>
      <c r="O4923" s="1183"/>
      <c r="P4923" s="1201"/>
      <c r="Q4923" s="1201"/>
      <c r="R4923" s="1201"/>
      <c r="S4923" s="1201"/>
      <c r="T4923" s="1201"/>
    </row>
    <row r="4924" spans="12:20">
      <c r="L4924" s="1179"/>
      <c r="M4924" s="1183"/>
      <c r="N4924" s="1183"/>
      <c r="O4924" s="1183"/>
      <c r="P4924" s="1201"/>
      <c r="Q4924" s="1201"/>
      <c r="R4924" s="1201"/>
      <c r="S4924" s="1201"/>
      <c r="T4924" s="1201"/>
    </row>
    <row r="4925" spans="12:20">
      <c r="L4925" s="1179"/>
      <c r="M4925" s="1183"/>
      <c r="N4925" s="1183"/>
      <c r="O4925" s="1183"/>
      <c r="P4925" s="1201"/>
      <c r="Q4925" s="1201"/>
      <c r="R4925" s="1201"/>
      <c r="S4925" s="1201"/>
      <c r="T4925" s="1201"/>
    </row>
    <row r="4926" spans="12:20">
      <c r="L4926" s="1179"/>
      <c r="M4926" s="1183"/>
      <c r="N4926" s="1183"/>
      <c r="O4926" s="1183"/>
      <c r="P4926" s="1201"/>
      <c r="Q4926" s="1201"/>
      <c r="R4926" s="1201"/>
      <c r="S4926" s="1201"/>
      <c r="T4926" s="1201"/>
    </row>
    <row r="4927" spans="12:20">
      <c r="L4927" s="1179"/>
      <c r="M4927" s="1183"/>
      <c r="N4927" s="1183"/>
      <c r="O4927" s="1183"/>
      <c r="P4927" s="1201"/>
      <c r="Q4927" s="1201"/>
      <c r="R4927" s="1201"/>
      <c r="S4927" s="1201"/>
      <c r="T4927" s="1201"/>
    </row>
    <row r="4928" spans="12:20">
      <c r="L4928" s="1179"/>
      <c r="M4928" s="1183"/>
      <c r="N4928" s="1183"/>
      <c r="O4928" s="1183"/>
      <c r="P4928" s="1201"/>
      <c r="Q4928" s="1201"/>
      <c r="R4928" s="1201"/>
      <c r="S4928" s="1201"/>
      <c r="T4928" s="1201"/>
    </row>
    <row r="4929" spans="12:20">
      <c r="L4929" s="1179"/>
      <c r="M4929" s="1183"/>
      <c r="N4929" s="1183"/>
      <c r="O4929" s="1183"/>
      <c r="P4929" s="1201"/>
      <c r="Q4929" s="1201"/>
      <c r="R4929" s="1201"/>
      <c r="S4929" s="1201"/>
      <c r="T4929" s="1201"/>
    </row>
    <row r="4930" spans="12:20">
      <c r="L4930" s="1179"/>
      <c r="M4930" s="1183"/>
      <c r="N4930" s="1183"/>
      <c r="O4930" s="1183"/>
      <c r="P4930" s="1201"/>
      <c r="Q4930" s="1201"/>
      <c r="R4930" s="1201"/>
      <c r="S4930" s="1201"/>
      <c r="T4930" s="1201"/>
    </row>
    <row r="4931" spans="12:20">
      <c r="L4931" s="1179"/>
      <c r="M4931" s="1183"/>
      <c r="N4931" s="1183"/>
      <c r="O4931" s="1183"/>
      <c r="P4931" s="1201"/>
      <c r="Q4931" s="1201"/>
      <c r="R4931" s="1201"/>
      <c r="S4931" s="1201"/>
      <c r="T4931" s="1201"/>
    </row>
    <row r="4932" spans="12:20">
      <c r="L4932" s="1179"/>
      <c r="M4932" s="1183"/>
      <c r="N4932" s="1183"/>
      <c r="O4932" s="1183"/>
      <c r="P4932" s="1201"/>
      <c r="Q4932" s="1201"/>
      <c r="R4932" s="1201"/>
      <c r="S4932" s="1201"/>
      <c r="T4932" s="1201"/>
    </row>
    <row r="4933" spans="12:20">
      <c r="L4933" s="1179"/>
      <c r="M4933" s="1183"/>
      <c r="N4933" s="1183"/>
      <c r="O4933" s="1183"/>
      <c r="P4933" s="1201"/>
      <c r="Q4933" s="1201"/>
      <c r="R4933" s="1201"/>
      <c r="S4933" s="1201"/>
      <c r="T4933" s="1201"/>
    </row>
    <row r="4934" spans="12:20">
      <c r="L4934" s="1179"/>
      <c r="M4934" s="1183"/>
      <c r="N4934" s="1183"/>
      <c r="O4934" s="1183"/>
      <c r="P4934" s="1201"/>
      <c r="Q4934" s="1201"/>
      <c r="R4934" s="1201"/>
      <c r="S4934" s="1201"/>
      <c r="T4934" s="1201"/>
    </row>
    <row r="4935" spans="12:20">
      <c r="L4935" s="1179"/>
      <c r="M4935" s="1183"/>
      <c r="N4935" s="1183"/>
      <c r="O4935" s="1183"/>
      <c r="P4935" s="1201"/>
      <c r="Q4935" s="1201"/>
      <c r="R4935" s="1201"/>
      <c r="S4935" s="1201"/>
      <c r="T4935" s="1201"/>
    </row>
    <row r="4936" spans="12:20">
      <c r="L4936" s="1179"/>
      <c r="M4936" s="1183"/>
      <c r="N4936" s="1183"/>
      <c r="O4936" s="1183"/>
      <c r="P4936" s="1201"/>
      <c r="Q4936" s="1201"/>
      <c r="R4936" s="1201"/>
      <c r="S4936" s="1201"/>
      <c r="T4936" s="1201"/>
    </row>
    <row r="4937" spans="12:20">
      <c r="L4937" s="1179"/>
      <c r="M4937" s="1183"/>
      <c r="N4937" s="1183"/>
      <c r="O4937" s="1183"/>
      <c r="P4937" s="1201"/>
      <c r="Q4937" s="1201"/>
      <c r="R4937" s="1201"/>
      <c r="S4937" s="1201"/>
      <c r="T4937" s="1201"/>
    </row>
    <row r="4938" spans="12:20">
      <c r="L4938" s="1179"/>
      <c r="M4938" s="1183"/>
      <c r="N4938" s="1183"/>
      <c r="O4938" s="1183"/>
      <c r="P4938" s="1201"/>
      <c r="Q4938" s="1201"/>
      <c r="R4938" s="1201"/>
      <c r="S4938" s="1201"/>
      <c r="T4938" s="1201"/>
    </row>
    <row r="4939" spans="12:20">
      <c r="L4939" s="1179"/>
      <c r="M4939" s="1183"/>
      <c r="N4939" s="1183"/>
      <c r="O4939" s="1183"/>
      <c r="P4939" s="1201"/>
      <c r="Q4939" s="1201"/>
      <c r="R4939" s="1201"/>
      <c r="S4939" s="1201"/>
      <c r="T4939" s="1201"/>
    </row>
    <row r="4940" spans="12:20">
      <c r="L4940" s="1179"/>
      <c r="M4940" s="1183"/>
      <c r="N4940" s="1183"/>
      <c r="O4940" s="1183"/>
      <c r="P4940" s="1201"/>
      <c r="Q4940" s="1201"/>
      <c r="R4940" s="1201"/>
      <c r="S4940" s="1201"/>
      <c r="T4940" s="1201"/>
    </row>
    <row r="4941" spans="12:20">
      <c r="L4941" s="1179"/>
      <c r="M4941" s="1183"/>
      <c r="N4941" s="1183"/>
      <c r="O4941" s="1183"/>
      <c r="P4941" s="1201"/>
      <c r="Q4941" s="1201"/>
      <c r="R4941" s="1201"/>
      <c r="S4941" s="1201"/>
      <c r="T4941" s="1201"/>
    </row>
    <row r="4942" spans="12:20">
      <c r="L4942" s="1179"/>
      <c r="M4942" s="1183"/>
      <c r="N4942" s="1183"/>
      <c r="O4942" s="1183"/>
      <c r="P4942" s="1201"/>
      <c r="Q4942" s="1201"/>
      <c r="R4942" s="1201"/>
      <c r="S4942" s="1201"/>
      <c r="T4942" s="1201"/>
    </row>
    <row r="4943" spans="12:20">
      <c r="L4943" s="1179"/>
      <c r="M4943" s="1183"/>
      <c r="N4943" s="1183"/>
      <c r="O4943" s="1183"/>
      <c r="P4943" s="1201"/>
      <c r="Q4943" s="1201"/>
      <c r="R4943" s="1201"/>
      <c r="S4943" s="1201"/>
      <c r="T4943" s="1201"/>
    </row>
    <row r="4944" spans="12:20">
      <c r="L4944" s="1179"/>
      <c r="M4944" s="1183"/>
      <c r="N4944" s="1183"/>
      <c r="O4944" s="1183"/>
      <c r="P4944" s="1201"/>
      <c r="Q4944" s="1201"/>
      <c r="R4944" s="1201"/>
      <c r="S4944" s="1201"/>
      <c r="T4944" s="1201"/>
    </row>
    <row r="4945" spans="12:20">
      <c r="L4945" s="1179"/>
      <c r="M4945" s="1183"/>
      <c r="N4945" s="1183"/>
      <c r="O4945" s="1183"/>
      <c r="P4945" s="1201"/>
      <c r="Q4945" s="1201"/>
      <c r="R4945" s="1201"/>
      <c r="S4945" s="1201"/>
      <c r="T4945" s="1201"/>
    </row>
    <row r="4946" spans="12:20">
      <c r="L4946" s="1179"/>
      <c r="M4946" s="1183"/>
      <c r="N4946" s="1183"/>
      <c r="O4946" s="1183"/>
      <c r="P4946" s="1201"/>
      <c r="Q4946" s="1201"/>
      <c r="R4946" s="1201"/>
      <c r="S4946" s="1201"/>
      <c r="T4946" s="1201"/>
    </row>
    <row r="4947" spans="12:20">
      <c r="L4947" s="1179"/>
      <c r="M4947" s="1183"/>
      <c r="N4947" s="1183"/>
      <c r="O4947" s="1183"/>
      <c r="P4947" s="1201"/>
      <c r="Q4947" s="1201"/>
      <c r="R4947" s="1201"/>
      <c r="S4947" s="1201"/>
      <c r="T4947" s="1201"/>
    </row>
    <row r="4948" spans="12:20">
      <c r="L4948" s="1179"/>
      <c r="M4948" s="1183"/>
      <c r="N4948" s="1183"/>
      <c r="O4948" s="1183"/>
      <c r="P4948" s="1201"/>
      <c r="Q4948" s="1201"/>
      <c r="R4948" s="1201"/>
      <c r="S4948" s="1201"/>
      <c r="T4948" s="1201"/>
    </row>
    <row r="4949" spans="12:20">
      <c r="L4949" s="1179"/>
      <c r="M4949" s="1183"/>
      <c r="N4949" s="1183"/>
      <c r="O4949" s="1183"/>
      <c r="P4949" s="1201"/>
      <c r="Q4949" s="1201"/>
      <c r="R4949" s="1201"/>
      <c r="S4949" s="1201"/>
      <c r="T4949" s="1201"/>
    </row>
    <row r="4950" spans="12:20">
      <c r="L4950" s="1179"/>
      <c r="M4950" s="1183"/>
      <c r="N4950" s="1183"/>
      <c r="O4950" s="1183"/>
      <c r="P4950" s="1201"/>
      <c r="Q4950" s="1201"/>
      <c r="R4950" s="1201"/>
      <c r="S4950" s="1201"/>
      <c r="T4950" s="1201"/>
    </row>
    <row r="4951" spans="12:20">
      <c r="L4951" s="1179"/>
      <c r="M4951" s="1183"/>
      <c r="N4951" s="1183"/>
      <c r="O4951" s="1183"/>
      <c r="P4951" s="1201"/>
      <c r="Q4951" s="1201"/>
      <c r="R4951" s="1201"/>
      <c r="S4951" s="1201"/>
      <c r="T4951" s="1201"/>
    </row>
    <row r="4952" spans="12:20">
      <c r="L4952" s="1179"/>
      <c r="M4952" s="1183"/>
      <c r="N4952" s="1183"/>
      <c r="O4952" s="1183"/>
      <c r="P4952" s="1201"/>
      <c r="Q4952" s="1201"/>
      <c r="R4952" s="1201"/>
      <c r="S4952" s="1201"/>
      <c r="T4952" s="1201"/>
    </row>
    <row r="4953" spans="12:20">
      <c r="L4953" s="1179"/>
      <c r="M4953" s="1183"/>
      <c r="N4953" s="1183"/>
      <c r="O4953" s="1183"/>
      <c r="P4953" s="1201"/>
      <c r="Q4953" s="1201"/>
      <c r="R4953" s="1201"/>
      <c r="S4953" s="1201"/>
      <c r="T4953" s="1201"/>
    </row>
    <row r="4954" spans="12:20">
      <c r="L4954" s="1179"/>
      <c r="M4954" s="1183"/>
      <c r="N4954" s="1183"/>
      <c r="O4954" s="1183"/>
      <c r="P4954" s="1201"/>
      <c r="Q4954" s="1201"/>
      <c r="R4954" s="1201"/>
      <c r="S4954" s="1201"/>
      <c r="T4954" s="1201"/>
    </row>
    <row r="4955" spans="12:20">
      <c r="L4955" s="1179"/>
      <c r="M4955" s="1183"/>
      <c r="N4955" s="1183"/>
      <c r="O4955" s="1183"/>
      <c r="P4955" s="1201"/>
      <c r="Q4955" s="1201"/>
      <c r="R4955" s="1201"/>
      <c r="S4955" s="1201"/>
      <c r="T4955" s="1201"/>
    </row>
    <row r="4956" spans="12:20">
      <c r="L4956" s="1179"/>
      <c r="M4956" s="1183"/>
      <c r="N4956" s="1183"/>
      <c r="O4956" s="1183"/>
      <c r="P4956" s="1201"/>
      <c r="Q4956" s="1201"/>
      <c r="R4956" s="1201"/>
      <c r="S4956" s="1201"/>
      <c r="T4956" s="1201"/>
    </row>
    <row r="4957" spans="12:20">
      <c r="L4957" s="1179"/>
      <c r="M4957" s="1183"/>
      <c r="N4957" s="1183"/>
      <c r="O4957" s="1183"/>
      <c r="P4957" s="1201"/>
      <c r="Q4957" s="1201"/>
      <c r="R4957" s="1201"/>
      <c r="S4957" s="1201"/>
      <c r="T4957" s="1201"/>
    </row>
    <row r="4958" spans="12:20">
      <c r="L4958" s="1179"/>
      <c r="M4958" s="1183"/>
      <c r="N4958" s="1183"/>
      <c r="O4958" s="1183"/>
      <c r="P4958" s="1201"/>
      <c r="Q4958" s="1201"/>
      <c r="R4958" s="1201"/>
      <c r="S4958" s="1201"/>
      <c r="T4958" s="1201"/>
    </row>
    <row r="4959" spans="12:20">
      <c r="L4959" s="1179"/>
      <c r="M4959" s="1183"/>
      <c r="N4959" s="1183"/>
      <c r="O4959" s="1183"/>
      <c r="P4959" s="1201"/>
      <c r="Q4959" s="1201"/>
      <c r="R4959" s="1201"/>
      <c r="S4959" s="1201"/>
      <c r="T4959" s="1201"/>
    </row>
    <row r="4960" spans="12:20">
      <c r="L4960" s="1179"/>
      <c r="M4960" s="1183"/>
      <c r="N4960" s="1183"/>
      <c r="O4960" s="1183"/>
      <c r="P4960" s="1201"/>
      <c r="Q4960" s="1201"/>
      <c r="R4960" s="1201"/>
      <c r="S4960" s="1201"/>
      <c r="T4960" s="1201"/>
    </row>
    <row r="4961" spans="12:20">
      <c r="L4961" s="1179"/>
      <c r="M4961" s="1183"/>
      <c r="N4961" s="1183"/>
      <c r="O4961" s="1183"/>
      <c r="P4961" s="1201"/>
      <c r="Q4961" s="1201"/>
      <c r="R4961" s="1201"/>
      <c r="S4961" s="1201"/>
      <c r="T4961" s="1201"/>
    </row>
    <row r="4962" spans="12:20">
      <c r="L4962" s="1179"/>
      <c r="M4962" s="1183"/>
      <c r="N4962" s="1183"/>
      <c r="O4962" s="1183"/>
      <c r="P4962" s="1201"/>
      <c r="Q4962" s="1201"/>
      <c r="R4962" s="1201"/>
      <c r="S4962" s="1201"/>
      <c r="T4962" s="1201"/>
    </row>
    <row r="4963" spans="12:20">
      <c r="L4963" s="1179"/>
      <c r="M4963" s="1183"/>
      <c r="N4963" s="1183"/>
      <c r="O4963" s="1183"/>
      <c r="P4963" s="1201"/>
      <c r="Q4963" s="1201"/>
      <c r="R4963" s="1201"/>
      <c r="S4963" s="1201"/>
      <c r="T4963" s="1201"/>
    </row>
    <row r="4964" spans="12:20">
      <c r="L4964" s="1179"/>
      <c r="M4964" s="1183"/>
      <c r="N4964" s="1183"/>
      <c r="O4964" s="1183"/>
      <c r="P4964" s="1201"/>
      <c r="Q4964" s="1201"/>
      <c r="R4964" s="1201"/>
      <c r="S4964" s="1201"/>
      <c r="T4964" s="1201"/>
    </row>
    <row r="4965" spans="12:20">
      <c r="L4965" s="1179"/>
      <c r="M4965" s="1183"/>
      <c r="N4965" s="1183"/>
      <c r="O4965" s="1183"/>
      <c r="P4965" s="1201"/>
      <c r="Q4965" s="1201"/>
      <c r="R4965" s="1201"/>
      <c r="S4965" s="1201"/>
      <c r="T4965" s="1201"/>
    </row>
    <row r="4966" spans="12:20">
      <c r="L4966" s="1179"/>
      <c r="M4966" s="1183"/>
      <c r="N4966" s="1183"/>
      <c r="O4966" s="1183"/>
      <c r="P4966" s="1201"/>
      <c r="Q4966" s="1201"/>
      <c r="R4966" s="1201"/>
      <c r="S4966" s="1201"/>
      <c r="T4966" s="1201"/>
    </row>
    <row r="4967" spans="12:20">
      <c r="L4967" s="1179"/>
      <c r="M4967" s="1183"/>
      <c r="N4967" s="1183"/>
      <c r="O4967" s="1183"/>
      <c r="P4967" s="1201"/>
      <c r="Q4967" s="1201"/>
      <c r="R4967" s="1201"/>
      <c r="S4967" s="1201"/>
      <c r="T4967" s="1201"/>
    </row>
    <row r="4968" spans="12:20">
      <c r="L4968" s="1179"/>
      <c r="M4968" s="1183"/>
      <c r="N4968" s="1183"/>
      <c r="O4968" s="1183"/>
      <c r="P4968" s="1201"/>
      <c r="Q4968" s="1201"/>
      <c r="R4968" s="1201"/>
      <c r="S4968" s="1201"/>
      <c r="T4968" s="1201"/>
    </row>
    <row r="4969" spans="12:20">
      <c r="L4969" s="1179"/>
      <c r="M4969" s="1183"/>
      <c r="N4969" s="1183"/>
      <c r="O4969" s="1183"/>
      <c r="P4969" s="1201"/>
      <c r="Q4969" s="1201"/>
      <c r="R4969" s="1201"/>
      <c r="S4969" s="1201"/>
      <c r="T4969" s="1201"/>
    </row>
    <row r="4970" spans="12:20">
      <c r="L4970" s="1179"/>
      <c r="M4970" s="1183"/>
      <c r="N4970" s="1183"/>
      <c r="O4970" s="1183"/>
      <c r="P4970" s="1201"/>
      <c r="Q4970" s="1201"/>
      <c r="R4970" s="1201"/>
      <c r="S4970" s="1201"/>
      <c r="T4970" s="1201"/>
    </row>
    <row r="4971" spans="12:20">
      <c r="L4971" s="1179"/>
      <c r="M4971" s="1183"/>
      <c r="N4971" s="1183"/>
      <c r="O4971" s="1183"/>
      <c r="P4971" s="1201"/>
      <c r="Q4971" s="1201"/>
      <c r="R4971" s="1201"/>
      <c r="S4971" s="1201"/>
      <c r="T4971" s="1201"/>
    </row>
    <row r="4972" spans="12:20">
      <c r="L4972" s="1179"/>
      <c r="M4972" s="1183"/>
      <c r="N4972" s="1183"/>
      <c r="O4972" s="1183"/>
      <c r="P4972" s="1201"/>
      <c r="Q4972" s="1201"/>
      <c r="R4972" s="1201"/>
      <c r="S4972" s="1201"/>
      <c r="T4972" s="1201"/>
    </row>
    <row r="4973" spans="12:20">
      <c r="L4973" s="1179"/>
      <c r="M4973" s="1183"/>
      <c r="N4973" s="1183"/>
      <c r="O4973" s="1183"/>
      <c r="P4973" s="1201"/>
      <c r="Q4973" s="1201"/>
      <c r="R4973" s="1201"/>
      <c r="S4973" s="1201"/>
      <c r="T4973" s="1201"/>
    </row>
    <row r="4974" spans="12:20">
      <c r="L4974" s="1179"/>
      <c r="M4974" s="1183"/>
      <c r="N4974" s="1183"/>
      <c r="O4974" s="1183"/>
      <c r="P4974" s="1201"/>
      <c r="Q4974" s="1201"/>
      <c r="R4974" s="1201"/>
      <c r="S4974" s="1201"/>
      <c r="T4974" s="1201"/>
    </row>
    <row r="4975" spans="12:20">
      <c r="L4975" s="1179"/>
      <c r="M4975" s="1183"/>
      <c r="N4975" s="1183"/>
      <c r="O4975" s="1183"/>
      <c r="P4975" s="1201"/>
      <c r="Q4975" s="1201"/>
      <c r="R4975" s="1201"/>
      <c r="S4975" s="1201"/>
      <c r="T4975" s="1201"/>
    </row>
    <row r="4976" spans="12:20">
      <c r="L4976" s="1179"/>
      <c r="M4976" s="1183"/>
      <c r="N4976" s="1183"/>
      <c r="O4976" s="1183"/>
      <c r="P4976" s="1201"/>
      <c r="Q4976" s="1201"/>
      <c r="R4976" s="1201"/>
      <c r="S4976" s="1201"/>
      <c r="T4976" s="1201"/>
    </row>
    <row r="4977" spans="12:20">
      <c r="L4977" s="1179"/>
      <c r="M4977" s="1183"/>
      <c r="N4977" s="1183"/>
      <c r="O4977" s="1183"/>
      <c r="P4977" s="1201"/>
      <c r="Q4977" s="1201"/>
      <c r="R4977" s="1201"/>
      <c r="S4977" s="1201"/>
      <c r="T4977" s="1201"/>
    </row>
    <row r="4978" spans="12:20">
      <c r="L4978" s="1179"/>
      <c r="M4978" s="1183"/>
      <c r="N4978" s="1183"/>
      <c r="O4978" s="1183"/>
      <c r="P4978" s="1201"/>
      <c r="Q4978" s="1201"/>
      <c r="R4978" s="1201"/>
      <c r="S4978" s="1201"/>
      <c r="T4978" s="1201"/>
    </row>
    <row r="4979" spans="12:20">
      <c r="L4979" s="1179"/>
      <c r="M4979" s="1183"/>
      <c r="N4979" s="1183"/>
      <c r="O4979" s="1183"/>
      <c r="P4979" s="1201"/>
      <c r="Q4979" s="1201"/>
      <c r="R4979" s="1201"/>
      <c r="S4979" s="1201"/>
      <c r="T4979" s="1201"/>
    </row>
    <row r="4980" spans="12:20">
      <c r="L4980" s="1179"/>
      <c r="M4980" s="1183"/>
      <c r="N4980" s="1183"/>
      <c r="O4980" s="1183"/>
      <c r="P4980" s="1201"/>
      <c r="Q4980" s="1201"/>
      <c r="R4980" s="1201"/>
      <c r="S4980" s="1201"/>
      <c r="T4980" s="1201"/>
    </row>
    <row r="4981" spans="12:20">
      <c r="L4981" s="1179"/>
      <c r="M4981" s="1183"/>
      <c r="N4981" s="1183"/>
      <c r="O4981" s="1183"/>
      <c r="P4981" s="1201"/>
      <c r="Q4981" s="1201"/>
      <c r="R4981" s="1201"/>
      <c r="S4981" s="1201"/>
      <c r="T4981" s="1201"/>
    </row>
    <row r="4982" spans="12:20">
      <c r="L4982" s="1179"/>
      <c r="M4982" s="1183"/>
      <c r="N4982" s="1183"/>
      <c r="O4982" s="1183"/>
      <c r="P4982" s="1201"/>
      <c r="Q4982" s="1201"/>
      <c r="R4982" s="1201"/>
      <c r="S4982" s="1201"/>
      <c r="T4982" s="1201"/>
    </row>
    <row r="4983" spans="12:20">
      <c r="L4983" s="1179"/>
      <c r="M4983" s="1183"/>
      <c r="N4983" s="1183"/>
      <c r="O4983" s="1183"/>
      <c r="P4983" s="1201"/>
      <c r="Q4983" s="1201"/>
      <c r="R4983" s="1201"/>
      <c r="S4983" s="1201"/>
      <c r="T4983" s="1201"/>
    </row>
    <row r="4984" spans="12:20">
      <c r="L4984" s="1179"/>
      <c r="M4984" s="1183"/>
      <c r="N4984" s="1183"/>
      <c r="O4984" s="1183"/>
      <c r="P4984" s="1201"/>
      <c r="Q4984" s="1201"/>
      <c r="R4984" s="1201"/>
      <c r="S4984" s="1201"/>
      <c r="T4984" s="1201"/>
    </row>
    <row r="4985" spans="12:20">
      <c r="L4985" s="1179"/>
      <c r="M4985" s="1183"/>
      <c r="N4985" s="1183"/>
      <c r="O4985" s="1183"/>
      <c r="P4985" s="1201"/>
      <c r="Q4985" s="1201"/>
      <c r="R4985" s="1201"/>
      <c r="S4985" s="1201"/>
      <c r="T4985" s="1201"/>
    </row>
    <row r="4986" spans="12:20">
      <c r="L4986" s="1179"/>
      <c r="M4986" s="1183"/>
      <c r="N4986" s="1183"/>
      <c r="O4986" s="1183"/>
      <c r="P4986" s="1201"/>
      <c r="Q4986" s="1201"/>
      <c r="R4986" s="1201"/>
      <c r="S4986" s="1201"/>
      <c r="T4986" s="1201"/>
    </row>
    <row r="4987" spans="12:20">
      <c r="L4987" s="1179"/>
      <c r="M4987" s="1183"/>
      <c r="N4987" s="1183"/>
      <c r="O4987" s="1183"/>
      <c r="P4987" s="1201"/>
      <c r="Q4987" s="1201"/>
      <c r="R4987" s="1201"/>
      <c r="S4987" s="1201"/>
      <c r="T4987" s="1201"/>
    </row>
    <row r="4988" spans="12:20">
      <c r="L4988" s="1179"/>
      <c r="M4988" s="1183"/>
      <c r="N4988" s="1183"/>
      <c r="O4988" s="1183"/>
      <c r="P4988" s="1201"/>
      <c r="Q4988" s="1201"/>
      <c r="R4988" s="1201"/>
      <c r="S4988" s="1201"/>
      <c r="T4988" s="1201"/>
    </row>
    <row r="4989" spans="12:20">
      <c r="L4989" s="1179"/>
      <c r="M4989" s="1183"/>
      <c r="N4989" s="1183"/>
      <c r="O4989" s="1183"/>
      <c r="P4989" s="1201"/>
      <c r="Q4989" s="1201"/>
      <c r="R4989" s="1201"/>
      <c r="S4989" s="1201"/>
      <c r="T4989" s="1201"/>
    </row>
    <row r="4990" spans="12:20">
      <c r="L4990" s="1179"/>
      <c r="M4990" s="1183"/>
      <c r="N4990" s="1183"/>
      <c r="O4990" s="1183"/>
      <c r="P4990" s="1201"/>
      <c r="Q4990" s="1201"/>
      <c r="R4990" s="1201"/>
      <c r="S4990" s="1201"/>
      <c r="T4990" s="1201"/>
    </row>
    <row r="4991" spans="12:20">
      <c r="L4991" s="1179"/>
      <c r="M4991" s="1183"/>
      <c r="N4991" s="1183"/>
      <c r="O4991" s="1183"/>
      <c r="P4991" s="1201"/>
      <c r="Q4991" s="1201"/>
      <c r="R4991" s="1201"/>
      <c r="S4991" s="1201"/>
      <c r="T4991" s="1201"/>
    </row>
    <row r="4992" spans="12:20">
      <c r="L4992" s="1179"/>
      <c r="M4992" s="1183"/>
      <c r="N4992" s="1183"/>
      <c r="O4992" s="1183"/>
      <c r="P4992" s="1201"/>
      <c r="Q4992" s="1201"/>
      <c r="R4992" s="1201"/>
      <c r="S4992" s="1201"/>
      <c r="T4992" s="1201"/>
    </row>
    <row r="4993" spans="12:20">
      <c r="L4993" s="1179"/>
      <c r="M4993" s="1183"/>
      <c r="N4993" s="1183"/>
      <c r="O4993" s="1183"/>
      <c r="P4993" s="1201"/>
      <c r="Q4993" s="1201"/>
      <c r="R4993" s="1201"/>
      <c r="S4993" s="1201"/>
      <c r="T4993" s="1201"/>
    </row>
    <row r="4994" spans="12:20">
      <c r="L4994" s="1179"/>
      <c r="M4994" s="1183"/>
      <c r="N4994" s="1183"/>
      <c r="O4994" s="1183"/>
      <c r="P4994" s="1201"/>
      <c r="Q4994" s="1201"/>
      <c r="R4994" s="1201"/>
      <c r="S4994" s="1201"/>
      <c r="T4994" s="1201"/>
    </row>
    <row r="4995" spans="12:20">
      <c r="L4995" s="1179"/>
      <c r="M4995" s="1183"/>
      <c r="N4995" s="1183"/>
      <c r="O4995" s="1183"/>
      <c r="P4995" s="1201"/>
      <c r="Q4995" s="1201"/>
      <c r="R4995" s="1201"/>
      <c r="S4995" s="1201"/>
      <c r="T4995" s="1201"/>
    </row>
    <row r="4996" spans="12:20">
      <c r="L4996" s="1179"/>
      <c r="M4996" s="1183"/>
      <c r="N4996" s="1183"/>
      <c r="O4996" s="1183"/>
      <c r="P4996" s="1201"/>
      <c r="Q4996" s="1201"/>
      <c r="R4996" s="1201"/>
      <c r="S4996" s="1201"/>
      <c r="T4996" s="1201"/>
    </row>
    <row r="4997" spans="12:20">
      <c r="L4997" s="1179"/>
      <c r="M4997" s="1183"/>
      <c r="N4997" s="1183"/>
      <c r="O4997" s="1183"/>
      <c r="P4997" s="1201"/>
      <c r="Q4997" s="1201"/>
      <c r="R4997" s="1201"/>
      <c r="S4997" s="1201"/>
      <c r="T4997" s="1201"/>
    </row>
    <row r="4998" spans="12:20">
      <c r="L4998" s="1179"/>
      <c r="M4998" s="1183"/>
      <c r="N4998" s="1183"/>
      <c r="O4998" s="1183"/>
      <c r="P4998" s="1201"/>
      <c r="Q4998" s="1201"/>
      <c r="R4998" s="1201"/>
      <c r="S4998" s="1201"/>
      <c r="T4998" s="1201"/>
    </row>
    <row r="4999" spans="12:20">
      <c r="L4999" s="1179"/>
      <c r="M4999" s="1183"/>
      <c r="N4999" s="1183"/>
      <c r="O4999" s="1183"/>
      <c r="P4999" s="1201"/>
      <c r="Q4999" s="1201"/>
      <c r="R4999" s="1201"/>
      <c r="S4999" s="1201"/>
      <c r="T4999" s="1201"/>
    </row>
    <row r="5000" spans="12:20">
      <c r="L5000" s="1179"/>
      <c r="M5000" s="1183"/>
      <c r="N5000" s="1183"/>
      <c r="O5000" s="1183"/>
      <c r="P5000" s="1201"/>
      <c r="Q5000" s="1201"/>
      <c r="R5000" s="1201"/>
      <c r="S5000" s="1201"/>
      <c r="T5000" s="1201"/>
    </row>
    <row r="5001" spans="12:20">
      <c r="L5001" s="1179"/>
      <c r="M5001" s="1183"/>
      <c r="N5001" s="1183"/>
      <c r="O5001" s="1183"/>
      <c r="P5001" s="1201"/>
      <c r="Q5001" s="1201"/>
      <c r="R5001" s="1201"/>
      <c r="S5001" s="1201"/>
      <c r="T5001" s="1201"/>
    </row>
    <row r="5002" spans="12:20">
      <c r="L5002" s="1179"/>
      <c r="M5002" s="1183"/>
      <c r="N5002" s="1183"/>
      <c r="O5002" s="1183"/>
      <c r="P5002" s="1201"/>
      <c r="Q5002" s="1201"/>
      <c r="R5002" s="1201"/>
      <c r="S5002" s="1201"/>
      <c r="T5002" s="1201"/>
    </row>
    <row r="5003" spans="12:20">
      <c r="L5003" s="1179"/>
      <c r="M5003" s="1183"/>
      <c r="N5003" s="1183"/>
      <c r="O5003" s="1183"/>
      <c r="P5003" s="1201"/>
      <c r="Q5003" s="1201"/>
      <c r="R5003" s="1201"/>
      <c r="S5003" s="1201"/>
      <c r="T5003" s="1201"/>
    </row>
    <row r="5004" spans="12:20">
      <c r="L5004" s="1179"/>
      <c r="M5004" s="1183"/>
      <c r="N5004" s="1183"/>
      <c r="O5004" s="1183"/>
      <c r="P5004" s="1201"/>
      <c r="Q5004" s="1201"/>
      <c r="R5004" s="1201"/>
      <c r="S5004" s="1201"/>
      <c r="T5004" s="1201"/>
    </row>
    <row r="5005" spans="12:20">
      <c r="L5005" s="1179"/>
      <c r="M5005" s="1183"/>
      <c r="N5005" s="1183"/>
      <c r="O5005" s="1183"/>
      <c r="P5005" s="1201"/>
      <c r="Q5005" s="1201"/>
      <c r="R5005" s="1201"/>
      <c r="S5005" s="1201"/>
      <c r="T5005" s="1201"/>
    </row>
    <row r="5006" spans="12:20">
      <c r="L5006" s="1179"/>
      <c r="M5006" s="1183"/>
      <c r="N5006" s="1183"/>
      <c r="O5006" s="1183"/>
      <c r="P5006" s="1201"/>
      <c r="Q5006" s="1201"/>
      <c r="R5006" s="1201"/>
      <c r="S5006" s="1201"/>
      <c r="T5006" s="1201"/>
    </row>
    <row r="5007" spans="12:20">
      <c r="L5007" s="1179"/>
      <c r="M5007" s="1183"/>
      <c r="N5007" s="1183"/>
      <c r="O5007" s="1183"/>
      <c r="P5007" s="1201"/>
      <c r="Q5007" s="1201"/>
      <c r="R5007" s="1201"/>
      <c r="S5007" s="1201"/>
      <c r="T5007" s="1201"/>
    </row>
    <row r="5008" spans="12:20">
      <c r="L5008" s="1179"/>
      <c r="M5008" s="1183"/>
      <c r="N5008" s="1183"/>
      <c r="O5008" s="1183"/>
      <c r="P5008" s="1201"/>
      <c r="Q5008" s="1201"/>
      <c r="R5008" s="1201"/>
      <c r="S5008" s="1201"/>
      <c r="T5008" s="1201"/>
    </row>
    <row r="5009" spans="12:20">
      <c r="L5009" s="1179"/>
      <c r="M5009" s="1183"/>
      <c r="N5009" s="1183"/>
      <c r="O5009" s="1183"/>
      <c r="P5009" s="1201"/>
      <c r="Q5009" s="1201"/>
      <c r="R5009" s="1201"/>
      <c r="S5009" s="1201"/>
      <c r="T5009" s="1201"/>
    </row>
    <row r="5010" spans="12:20">
      <c r="L5010" s="1179"/>
      <c r="M5010" s="1183"/>
      <c r="N5010" s="1183"/>
      <c r="O5010" s="1183"/>
      <c r="P5010" s="1201"/>
      <c r="Q5010" s="1201"/>
      <c r="R5010" s="1201"/>
      <c r="S5010" s="1201"/>
      <c r="T5010" s="1201"/>
    </row>
    <row r="5011" spans="12:20">
      <c r="L5011" s="1179"/>
      <c r="M5011" s="1183"/>
      <c r="N5011" s="1183"/>
      <c r="O5011" s="1183"/>
      <c r="P5011" s="1201"/>
      <c r="Q5011" s="1201"/>
      <c r="R5011" s="1201"/>
      <c r="S5011" s="1201"/>
      <c r="T5011" s="1201"/>
    </row>
    <row r="5012" spans="12:20">
      <c r="L5012" s="1179"/>
      <c r="M5012" s="1183"/>
      <c r="N5012" s="1183"/>
      <c r="O5012" s="1183"/>
      <c r="P5012" s="1201"/>
      <c r="Q5012" s="1201"/>
      <c r="R5012" s="1201"/>
      <c r="S5012" s="1201"/>
      <c r="T5012" s="1201"/>
    </row>
    <row r="5013" spans="12:20">
      <c r="L5013" s="1179"/>
      <c r="M5013" s="1183"/>
      <c r="N5013" s="1183"/>
      <c r="O5013" s="1183"/>
      <c r="P5013" s="1201"/>
      <c r="Q5013" s="1201"/>
      <c r="R5013" s="1201"/>
      <c r="S5013" s="1201"/>
      <c r="T5013" s="1201"/>
    </row>
    <row r="5014" spans="12:20">
      <c r="L5014" s="1179"/>
      <c r="M5014" s="1183"/>
      <c r="N5014" s="1183"/>
      <c r="O5014" s="1183"/>
      <c r="P5014" s="1201"/>
      <c r="Q5014" s="1201"/>
      <c r="R5014" s="1201"/>
      <c r="S5014" s="1201"/>
      <c r="T5014" s="1201"/>
    </row>
    <row r="5015" spans="12:20">
      <c r="L5015" s="1179"/>
      <c r="M5015" s="1183"/>
      <c r="N5015" s="1183"/>
      <c r="O5015" s="1183"/>
      <c r="P5015" s="1201"/>
      <c r="Q5015" s="1201"/>
      <c r="R5015" s="1201"/>
      <c r="S5015" s="1201"/>
      <c r="T5015" s="1201"/>
    </row>
    <row r="5016" spans="12:20">
      <c r="L5016" s="1179"/>
      <c r="M5016" s="1183"/>
      <c r="N5016" s="1183"/>
      <c r="O5016" s="1183"/>
      <c r="P5016" s="1201"/>
      <c r="Q5016" s="1201"/>
      <c r="R5016" s="1201"/>
      <c r="S5016" s="1201"/>
      <c r="T5016" s="1201"/>
    </row>
    <row r="5017" spans="12:20">
      <c r="L5017" s="1179"/>
      <c r="M5017" s="1183"/>
      <c r="N5017" s="1183"/>
      <c r="O5017" s="1183"/>
      <c r="P5017" s="1201"/>
      <c r="Q5017" s="1201"/>
      <c r="R5017" s="1201"/>
      <c r="S5017" s="1201"/>
      <c r="T5017" s="1201"/>
    </row>
    <row r="5018" spans="12:20">
      <c r="L5018" s="1179"/>
      <c r="M5018" s="1183"/>
      <c r="N5018" s="1183"/>
      <c r="O5018" s="1183"/>
      <c r="P5018" s="1201"/>
      <c r="Q5018" s="1201"/>
      <c r="R5018" s="1201"/>
      <c r="S5018" s="1201"/>
      <c r="T5018" s="1201"/>
    </row>
    <row r="5019" spans="12:20">
      <c r="L5019" s="1179"/>
      <c r="M5019" s="1183"/>
      <c r="N5019" s="1183"/>
      <c r="O5019" s="1183"/>
      <c r="P5019" s="1201"/>
      <c r="Q5019" s="1201"/>
      <c r="R5019" s="1201"/>
      <c r="S5019" s="1201"/>
      <c r="T5019" s="1201"/>
    </row>
    <row r="5020" spans="12:20">
      <c r="L5020" s="1179"/>
      <c r="M5020" s="1183"/>
      <c r="N5020" s="1183"/>
      <c r="O5020" s="1183"/>
      <c r="P5020" s="1201"/>
      <c r="Q5020" s="1201"/>
      <c r="R5020" s="1201"/>
      <c r="S5020" s="1201"/>
      <c r="T5020" s="1201"/>
    </row>
    <row r="5021" spans="12:20">
      <c r="L5021" s="1179"/>
      <c r="M5021" s="1183"/>
      <c r="N5021" s="1183"/>
      <c r="O5021" s="1183"/>
      <c r="P5021" s="1201"/>
      <c r="Q5021" s="1201"/>
      <c r="R5021" s="1201"/>
      <c r="S5021" s="1201"/>
      <c r="T5021" s="1201"/>
    </row>
    <row r="5022" spans="12:20">
      <c r="L5022" s="1179"/>
      <c r="M5022" s="1183"/>
      <c r="N5022" s="1183"/>
      <c r="O5022" s="1183"/>
      <c r="P5022" s="1201"/>
      <c r="Q5022" s="1201"/>
      <c r="R5022" s="1201"/>
      <c r="S5022" s="1201"/>
      <c r="T5022" s="1201"/>
    </row>
    <row r="5023" spans="12:20">
      <c r="L5023" s="1179"/>
      <c r="M5023" s="1183"/>
      <c r="N5023" s="1183"/>
      <c r="O5023" s="1183"/>
      <c r="P5023" s="1201"/>
      <c r="Q5023" s="1201"/>
      <c r="R5023" s="1201"/>
      <c r="S5023" s="1201"/>
      <c r="T5023" s="1201"/>
    </row>
    <row r="5024" spans="12:20">
      <c r="L5024" s="1179"/>
      <c r="M5024" s="1183"/>
      <c r="N5024" s="1183"/>
      <c r="O5024" s="1183"/>
      <c r="P5024" s="1201"/>
      <c r="Q5024" s="1201"/>
      <c r="R5024" s="1201"/>
      <c r="S5024" s="1201"/>
      <c r="T5024" s="1201"/>
    </row>
    <row r="5025" spans="12:20">
      <c r="L5025" s="1179"/>
      <c r="M5025" s="1183"/>
      <c r="N5025" s="1183"/>
      <c r="O5025" s="1183"/>
      <c r="P5025" s="1201"/>
      <c r="Q5025" s="1201"/>
      <c r="R5025" s="1201"/>
      <c r="S5025" s="1201"/>
      <c r="T5025" s="1201"/>
    </row>
    <row r="5026" spans="12:20">
      <c r="L5026" s="1179"/>
      <c r="M5026" s="1183"/>
      <c r="N5026" s="1183"/>
      <c r="O5026" s="1183"/>
      <c r="P5026" s="1201"/>
      <c r="Q5026" s="1201"/>
      <c r="R5026" s="1201"/>
      <c r="S5026" s="1201"/>
      <c r="T5026" s="1201"/>
    </row>
    <row r="5027" spans="12:20">
      <c r="L5027" s="1179"/>
      <c r="M5027" s="1183"/>
      <c r="N5027" s="1183"/>
      <c r="O5027" s="1183"/>
      <c r="P5027" s="1201"/>
      <c r="Q5027" s="1201"/>
      <c r="R5027" s="1201"/>
      <c r="S5027" s="1201"/>
      <c r="T5027" s="1201"/>
    </row>
    <row r="5028" spans="12:20">
      <c r="L5028" s="1179"/>
      <c r="M5028" s="1183"/>
      <c r="N5028" s="1183"/>
      <c r="O5028" s="1183"/>
      <c r="P5028" s="1201"/>
      <c r="Q5028" s="1201"/>
      <c r="R5028" s="1201"/>
      <c r="S5028" s="1201"/>
      <c r="T5028" s="1201"/>
    </row>
    <row r="5029" spans="12:20">
      <c r="L5029" s="1179"/>
      <c r="M5029" s="1183"/>
      <c r="N5029" s="1183"/>
      <c r="O5029" s="1183"/>
      <c r="P5029" s="1201"/>
      <c r="Q5029" s="1201"/>
      <c r="R5029" s="1201"/>
      <c r="S5029" s="1201"/>
      <c r="T5029" s="1201"/>
    </row>
    <row r="5030" spans="12:20">
      <c r="L5030" s="1179"/>
      <c r="M5030" s="1183"/>
      <c r="N5030" s="1183"/>
      <c r="O5030" s="1183"/>
      <c r="P5030" s="1201"/>
      <c r="Q5030" s="1201"/>
      <c r="R5030" s="1201"/>
      <c r="S5030" s="1201"/>
      <c r="T5030" s="1201"/>
    </row>
    <row r="5031" spans="12:20">
      <c r="L5031" s="1179"/>
      <c r="M5031" s="1183"/>
      <c r="N5031" s="1183"/>
      <c r="O5031" s="1183"/>
      <c r="P5031" s="1201"/>
      <c r="Q5031" s="1201"/>
      <c r="R5031" s="1201"/>
      <c r="S5031" s="1201"/>
      <c r="T5031" s="1201"/>
    </row>
    <row r="5032" spans="12:20">
      <c r="L5032" s="1179"/>
      <c r="M5032" s="1183"/>
      <c r="N5032" s="1183"/>
      <c r="O5032" s="1183"/>
      <c r="P5032" s="1201"/>
      <c r="Q5032" s="1201"/>
      <c r="R5032" s="1201"/>
      <c r="S5032" s="1201"/>
      <c r="T5032" s="1201"/>
    </row>
    <row r="5033" spans="12:20">
      <c r="L5033" s="1179"/>
      <c r="M5033" s="1183"/>
      <c r="N5033" s="1183"/>
      <c r="O5033" s="1183"/>
      <c r="P5033" s="1201"/>
      <c r="Q5033" s="1201"/>
      <c r="R5033" s="1201"/>
      <c r="S5033" s="1201"/>
      <c r="T5033" s="1201"/>
    </row>
    <row r="5034" spans="12:20">
      <c r="L5034" s="1179"/>
      <c r="M5034" s="1183"/>
      <c r="N5034" s="1183"/>
      <c r="O5034" s="1183"/>
      <c r="P5034" s="1201"/>
      <c r="Q5034" s="1201"/>
      <c r="R5034" s="1201"/>
      <c r="S5034" s="1201"/>
      <c r="T5034" s="1201"/>
    </row>
    <row r="5035" spans="12:20">
      <c r="L5035" s="1179"/>
      <c r="M5035" s="1183"/>
      <c r="N5035" s="1183"/>
      <c r="O5035" s="1183"/>
      <c r="P5035" s="1201"/>
      <c r="Q5035" s="1201"/>
      <c r="R5035" s="1201"/>
      <c r="S5035" s="1201"/>
      <c r="T5035" s="1201"/>
    </row>
    <row r="5036" spans="12:20">
      <c r="L5036" s="1179"/>
      <c r="M5036" s="1183"/>
      <c r="N5036" s="1183"/>
      <c r="O5036" s="1183"/>
      <c r="P5036" s="1201"/>
      <c r="Q5036" s="1201"/>
      <c r="R5036" s="1201"/>
      <c r="S5036" s="1201"/>
      <c r="T5036" s="1201"/>
    </row>
    <row r="5037" spans="12:20">
      <c r="L5037" s="1179"/>
      <c r="M5037" s="1183"/>
      <c r="N5037" s="1183"/>
      <c r="O5037" s="1183"/>
      <c r="P5037" s="1201"/>
      <c r="Q5037" s="1201"/>
      <c r="R5037" s="1201"/>
      <c r="S5037" s="1201"/>
      <c r="T5037" s="1201"/>
    </row>
    <row r="5038" spans="12:20">
      <c r="L5038" s="1179"/>
      <c r="M5038" s="1183"/>
      <c r="N5038" s="1183"/>
      <c r="O5038" s="1183"/>
      <c r="P5038" s="1201"/>
      <c r="Q5038" s="1201"/>
      <c r="R5038" s="1201"/>
      <c r="S5038" s="1201"/>
      <c r="T5038" s="1201"/>
    </row>
    <row r="5039" spans="12:20">
      <c r="L5039" s="1179"/>
      <c r="M5039" s="1183"/>
      <c r="N5039" s="1183"/>
      <c r="O5039" s="1183"/>
      <c r="P5039" s="1201"/>
      <c r="Q5039" s="1201"/>
      <c r="R5039" s="1201"/>
      <c r="S5039" s="1201"/>
      <c r="T5039" s="1201"/>
    </row>
    <row r="5040" spans="12:20">
      <c r="L5040" s="1179"/>
      <c r="M5040" s="1183"/>
      <c r="N5040" s="1183"/>
      <c r="O5040" s="1183"/>
      <c r="P5040" s="1201"/>
      <c r="Q5040" s="1201"/>
      <c r="R5040" s="1201"/>
      <c r="S5040" s="1201"/>
      <c r="T5040" s="1201"/>
    </row>
    <row r="5041" spans="12:20">
      <c r="L5041" s="1179"/>
      <c r="M5041" s="1183"/>
      <c r="N5041" s="1183"/>
      <c r="O5041" s="1183"/>
      <c r="P5041" s="1201"/>
      <c r="Q5041" s="1201"/>
      <c r="R5041" s="1201"/>
      <c r="S5041" s="1201"/>
      <c r="T5041" s="1201"/>
    </row>
    <row r="5042" spans="12:20">
      <c r="L5042" s="1179"/>
      <c r="M5042" s="1183"/>
      <c r="N5042" s="1183"/>
      <c r="O5042" s="1183"/>
      <c r="P5042" s="1201"/>
      <c r="Q5042" s="1201"/>
      <c r="R5042" s="1201"/>
      <c r="S5042" s="1201"/>
      <c r="T5042" s="1201"/>
    </row>
    <row r="5043" spans="12:20">
      <c r="L5043" s="1179"/>
      <c r="M5043" s="1183"/>
      <c r="N5043" s="1183"/>
      <c r="O5043" s="1183"/>
      <c r="P5043" s="1201"/>
      <c r="Q5043" s="1201"/>
      <c r="R5043" s="1201"/>
      <c r="S5043" s="1201"/>
      <c r="T5043" s="1201"/>
    </row>
    <row r="5044" spans="12:20">
      <c r="L5044" s="1179"/>
      <c r="M5044" s="1183"/>
      <c r="N5044" s="1183"/>
      <c r="O5044" s="1183"/>
      <c r="P5044" s="1201"/>
      <c r="Q5044" s="1201"/>
      <c r="R5044" s="1201"/>
      <c r="S5044" s="1201"/>
      <c r="T5044" s="1201"/>
    </row>
    <row r="5045" spans="12:20">
      <c r="L5045" s="1179"/>
      <c r="M5045" s="1183"/>
      <c r="N5045" s="1183"/>
      <c r="O5045" s="1183"/>
      <c r="P5045" s="1201"/>
      <c r="Q5045" s="1201"/>
      <c r="R5045" s="1201"/>
      <c r="S5045" s="1201"/>
      <c r="T5045" s="1201"/>
    </row>
    <row r="5046" spans="12:20">
      <c r="L5046" s="1179"/>
      <c r="M5046" s="1183"/>
      <c r="N5046" s="1183"/>
      <c r="O5046" s="1183"/>
      <c r="P5046" s="1201"/>
      <c r="Q5046" s="1201"/>
      <c r="R5046" s="1201"/>
      <c r="S5046" s="1201"/>
      <c r="T5046" s="1201"/>
    </row>
    <row r="5047" spans="12:20">
      <c r="L5047" s="1179"/>
      <c r="M5047" s="1183"/>
      <c r="N5047" s="1183"/>
      <c r="O5047" s="1183"/>
      <c r="P5047" s="1201"/>
      <c r="Q5047" s="1201"/>
      <c r="R5047" s="1201"/>
      <c r="S5047" s="1201"/>
      <c r="T5047" s="1201"/>
    </row>
    <row r="5048" spans="12:20">
      <c r="L5048" s="1179"/>
      <c r="M5048" s="1183"/>
      <c r="N5048" s="1183"/>
      <c r="O5048" s="1183"/>
      <c r="P5048" s="1201"/>
      <c r="Q5048" s="1201"/>
      <c r="R5048" s="1201"/>
      <c r="S5048" s="1201"/>
      <c r="T5048" s="1201"/>
    </row>
    <row r="5049" spans="12:20">
      <c r="L5049" s="1179"/>
      <c r="M5049" s="1183"/>
      <c r="N5049" s="1183"/>
      <c r="O5049" s="1183"/>
      <c r="P5049" s="1201"/>
      <c r="Q5049" s="1201"/>
      <c r="R5049" s="1201"/>
      <c r="S5049" s="1201"/>
      <c r="T5049" s="1201"/>
    </row>
    <row r="5050" spans="12:20">
      <c r="L5050" s="1179"/>
      <c r="M5050" s="1183"/>
      <c r="N5050" s="1183"/>
      <c r="O5050" s="1183"/>
      <c r="P5050" s="1201"/>
      <c r="Q5050" s="1201"/>
      <c r="R5050" s="1201"/>
      <c r="S5050" s="1201"/>
      <c r="T5050" s="1201"/>
    </row>
    <row r="5051" spans="12:20">
      <c r="L5051" s="1179"/>
      <c r="M5051" s="1183"/>
      <c r="N5051" s="1183"/>
      <c r="O5051" s="1183"/>
      <c r="P5051" s="1201"/>
      <c r="Q5051" s="1201"/>
      <c r="R5051" s="1201"/>
      <c r="S5051" s="1201"/>
      <c r="T5051" s="1201"/>
    </row>
    <row r="5052" spans="12:20">
      <c r="L5052" s="1179"/>
      <c r="M5052" s="1183"/>
      <c r="N5052" s="1183"/>
      <c r="O5052" s="1183"/>
      <c r="P5052" s="1201"/>
      <c r="Q5052" s="1201"/>
      <c r="R5052" s="1201"/>
      <c r="S5052" s="1201"/>
      <c r="T5052" s="1201"/>
    </row>
    <row r="5053" spans="12:20">
      <c r="L5053" s="1179"/>
      <c r="M5053" s="1183"/>
      <c r="N5053" s="1183"/>
      <c r="O5053" s="1183"/>
      <c r="P5053" s="1201"/>
      <c r="Q5053" s="1201"/>
      <c r="R5053" s="1201"/>
      <c r="S5053" s="1201"/>
      <c r="T5053" s="1201"/>
    </row>
    <row r="5054" spans="12:20">
      <c r="L5054" s="1179"/>
      <c r="M5054" s="1183"/>
      <c r="N5054" s="1183"/>
      <c r="O5054" s="1183"/>
      <c r="P5054" s="1201"/>
      <c r="Q5054" s="1201"/>
      <c r="R5054" s="1201"/>
      <c r="S5054" s="1201"/>
      <c r="T5054" s="1201"/>
    </row>
    <row r="5055" spans="12:20">
      <c r="L5055" s="1179"/>
      <c r="M5055" s="1183"/>
      <c r="N5055" s="1183"/>
      <c r="O5055" s="1183"/>
      <c r="P5055" s="1201"/>
      <c r="Q5055" s="1201"/>
      <c r="R5055" s="1201"/>
      <c r="S5055" s="1201"/>
      <c r="T5055" s="1201"/>
    </row>
    <row r="5056" spans="12:20">
      <c r="L5056" s="1179"/>
      <c r="M5056" s="1183"/>
      <c r="N5056" s="1183"/>
      <c r="O5056" s="1183"/>
      <c r="P5056" s="1201"/>
      <c r="Q5056" s="1201"/>
      <c r="R5056" s="1201"/>
      <c r="S5056" s="1201"/>
      <c r="T5056" s="1201"/>
    </row>
    <row r="5057" spans="12:20">
      <c r="L5057" s="1179"/>
      <c r="M5057" s="1183"/>
      <c r="N5057" s="1183"/>
      <c r="O5057" s="1183"/>
      <c r="P5057" s="1201"/>
      <c r="Q5057" s="1201"/>
      <c r="R5057" s="1201"/>
      <c r="S5057" s="1201"/>
      <c r="T5057" s="1201"/>
    </row>
    <row r="5058" spans="12:20">
      <c r="L5058" s="1179"/>
      <c r="M5058" s="1183"/>
      <c r="N5058" s="1183"/>
      <c r="O5058" s="1183"/>
      <c r="P5058" s="1201"/>
      <c r="Q5058" s="1201"/>
      <c r="R5058" s="1201"/>
      <c r="S5058" s="1201"/>
      <c r="T5058" s="1201"/>
    </row>
    <row r="5059" spans="12:20">
      <c r="L5059" s="1179"/>
      <c r="M5059" s="1183"/>
      <c r="N5059" s="1183"/>
      <c r="O5059" s="1183"/>
      <c r="P5059" s="1201"/>
      <c r="Q5059" s="1201"/>
      <c r="R5059" s="1201"/>
      <c r="S5059" s="1201"/>
      <c r="T5059" s="1201"/>
    </row>
    <row r="5060" spans="12:20">
      <c r="L5060" s="1179"/>
      <c r="M5060" s="1183"/>
      <c r="N5060" s="1183"/>
      <c r="O5060" s="1183"/>
      <c r="P5060" s="1201"/>
      <c r="Q5060" s="1201"/>
      <c r="R5060" s="1201"/>
      <c r="S5060" s="1201"/>
      <c r="T5060" s="1201"/>
    </row>
    <row r="5061" spans="12:20">
      <c r="L5061" s="1179"/>
      <c r="M5061" s="1183"/>
      <c r="N5061" s="1183"/>
      <c r="O5061" s="1183"/>
      <c r="P5061" s="1201"/>
      <c r="Q5061" s="1201"/>
      <c r="R5061" s="1201"/>
      <c r="S5061" s="1201"/>
      <c r="T5061" s="1201"/>
    </row>
    <row r="5062" spans="12:20">
      <c r="L5062" s="1179"/>
      <c r="M5062" s="1183"/>
      <c r="N5062" s="1183"/>
      <c r="O5062" s="1183"/>
      <c r="P5062" s="1201"/>
      <c r="Q5062" s="1201"/>
      <c r="R5062" s="1201"/>
      <c r="S5062" s="1201"/>
      <c r="T5062" s="1201"/>
    </row>
    <row r="5063" spans="12:20">
      <c r="L5063" s="1179"/>
      <c r="M5063" s="1183"/>
      <c r="N5063" s="1183"/>
      <c r="O5063" s="1183"/>
      <c r="P5063" s="1201"/>
      <c r="Q5063" s="1201"/>
      <c r="R5063" s="1201"/>
      <c r="S5063" s="1201"/>
      <c r="T5063" s="1201"/>
    </row>
    <row r="5064" spans="12:20">
      <c r="L5064" s="1179"/>
      <c r="M5064" s="1183"/>
      <c r="N5064" s="1183"/>
      <c r="O5064" s="1183"/>
      <c r="P5064" s="1201"/>
      <c r="Q5064" s="1201"/>
      <c r="R5064" s="1201"/>
      <c r="S5064" s="1201"/>
      <c r="T5064" s="1201"/>
    </row>
    <row r="5065" spans="12:20">
      <c r="L5065" s="1179"/>
      <c r="M5065" s="1183"/>
      <c r="N5065" s="1183"/>
      <c r="O5065" s="1183"/>
      <c r="P5065" s="1201"/>
      <c r="Q5065" s="1201"/>
      <c r="R5065" s="1201"/>
      <c r="S5065" s="1201"/>
      <c r="T5065" s="1201"/>
    </row>
    <row r="5066" spans="12:20">
      <c r="L5066" s="1179"/>
      <c r="M5066" s="1183"/>
      <c r="N5066" s="1183"/>
      <c r="O5066" s="1183"/>
      <c r="P5066" s="1201"/>
      <c r="Q5066" s="1201"/>
      <c r="R5066" s="1201"/>
      <c r="S5066" s="1201"/>
      <c r="T5066" s="1201"/>
    </row>
    <row r="5067" spans="12:20">
      <c r="L5067" s="1179"/>
      <c r="M5067" s="1183"/>
      <c r="N5067" s="1183"/>
      <c r="O5067" s="1183"/>
      <c r="P5067" s="1201"/>
      <c r="Q5067" s="1201"/>
      <c r="R5067" s="1201"/>
      <c r="S5067" s="1201"/>
      <c r="T5067" s="1201"/>
    </row>
    <row r="5068" spans="12:20">
      <c r="L5068" s="1179"/>
      <c r="M5068" s="1183"/>
      <c r="N5068" s="1183"/>
      <c r="O5068" s="1183"/>
      <c r="P5068" s="1201"/>
      <c r="Q5068" s="1201"/>
      <c r="R5068" s="1201"/>
      <c r="S5068" s="1201"/>
      <c r="T5068" s="1201"/>
    </row>
    <row r="5069" spans="12:20">
      <c r="L5069" s="1179"/>
      <c r="M5069" s="1183"/>
      <c r="N5069" s="1183"/>
      <c r="O5069" s="1183"/>
      <c r="P5069" s="1201"/>
      <c r="Q5069" s="1201"/>
      <c r="R5069" s="1201"/>
      <c r="S5069" s="1201"/>
      <c r="T5069" s="1201"/>
    </row>
    <row r="5070" spans="12:20">
      <c r="L5070" s="1179"/>
      <c r="M5070" s="1183"/>
      <c r="N5070" s="1183"/>
      <c r="O5070" s="1183"/>
      <c r="P5070" s="1201"/>
      <c r="Q5070" s="1201"/>
      <c r="R5070" s="1201"/>
      <c r="S5070" s="1201"/>
      <c r="T5070" s="1201"/>
    </row>
    <row r="5071" spans="12:20">
      <c r="L5071" s="1179"/>
      <c r="M5071" s="1183"/>
      <c r="N5071" s="1183"/>
      <c r="O5071" s="1183"/>
      <c r="P5071" s="1201"/>
      <c r="Q5071" s="1201"/>
      <c r="R5071" s="1201"/>
      <c r="S5071" s="1201"/>
      <c r="T5071" s="1201"/>
    </row>
    <row r="5072" spans="12:20">
      <c r="L5072" s="1179"/>
      <c r="M5072" s="1183"/>
      <c r="N5072" s="1183"/>
      <c r="O5072" s="1183"/>
      <c r="P5072" s="1201"/>
      <c r="Q5072" s="1201"/>
      <c r="R5072" s="1201"/>
      <c r="S5072" s="1201"/>
      <c r="T5072" s="1201"/>
    </row>
    <row r="5073" spans="12:20">
      <c r="L5073" s="1179"/>
      <c r="M5073" s="1183"/>
      <c r="N5073" s="1183"/>
      <c r="O5073" s="1183"/>
      <c r="P5073" s="1201"/>
      <c r="Q5073" s="1201"/>
      <c r="R5073" s="1201"/>
      <c r="S5073" s="1201"/>
      <c r="T5073" s="1201"/>
    </row>
    <row r="5074" spans="12:20">
      <c r="L5074" s="1179"/>
      <c r="M5074" s="1183"/>
      <c r="N5074" s="1183"/>
      <c r="O5074" s="1183"/>
      <c r="P5074" s="1201"/>
      <c r="Q5074" s="1201"/>
      <c r="R5074" s="1201"/>
      <c r="S5074" s="1201"/>
      <c r="T5074" s="1201"/>
    </row>
    <row r="5075" spans="12:20">
      <c r="L5075" s="1179"/>
      <c r="M5075" s="1183"/>
      <c r="N5075" s="1183"/>
      <c r="O5075" s="1183"/>
      <c r="P5075" s="1201"/>
      <c r="Q5075" s="1201"/>
      <c r="R5075" s="1201"/>
      <c r="S5075" s="1201"/>
      <c r="T5075" s="1201"/>
    </row>
    <row r="5076" spans="12:20">
      <c r="L5076" s="1179"/>
      <c r="M5076" s="1183"/>
      <c r="N5076" s="1183"/>
      <c r="O5076" s="1183"/>
      <c r="P5076" s="1201"/>
      <c r="Q5076" s="1201"/>
      <c r="R5076" s="1201"/>
      <c r="S5076" s="1201"/>
      <c r="T5076" s="1201"/>
    </row>
    <row r="5077" spans="12:20">
      <c r="L5077" s="1179"/>
      <c r="M5077" s="1183"/>
      <c r="N5077" s="1183"/>
      <c r="O5077" s="1183"/>
      <c r="P5077" s="1201"/>
      <c r="Q5077" s="1201"/>
      <c r="R5077" s="1201"/>
      <c r="S5077" s="1201"/>
      <c r="T5077" s="1201"/>
    </row>
    <row r="5078" spans="12:20">
      <c r="L5078" s="1179"/>
      <c r="M5078" s="1183"/>
      <c r="N5078" s="1183"/>
      <c r="O5078" s="1183"/>
      <c r="P5078" s="1201"/>
      <c r="Q5078" s="1201"/>
      <c r="R5078" s="1201"/>
      <c r="S5078" s="1201"/>
      <c r="T5078" s="1201"/>
    </row>
    <row r="5079" spans="12:20">
      <c r="L5079" s="1179"/>
      <c r="M5079" s="1183"/>
      <c r="N5079" s="1183"/>
      <c r="O5079" s="1183"/>
      <c r="P5079" s="1201"/>
      <c r="Q5079" s="1201"/>
      <c r="R5079" s="1201"/>
      <c r="S5079" s="1201"/>
      <c r="T5079" s="1201"/>
    </row>
    <row r="5080" spans="12:20">
      <c r="L5080" s="1179"/>
      <c r="M5080" s="1183"/>
      <c r="N5080" s="1183"/>
      <c r="O5080" s="1183"/>
      <c r="P5080" s="1201"/>
      <c r="Q5080" s="1201"/>
      <c r="R5080" s="1201"/>
      <c r="S5080" s="1201"/>
      <c r="T5080" s="1201"/>
    </row>
    <row r="5081" spans="12:20">
      <c r="L5081" s="1179"/>
      <c r="M5081" s="1183"/>
      <c r="N5081" s="1183"/>
      <c r="O5081" s="1183"/>
      <c r="P5081" s="1201"/>
      <c r="Q5081" s="1201"/>
      <c r="R5081" s="1201"/>
      <c r="S5081" s="1201"/>
      <c r="T5081" s="1201"/>
    </row>
    <row r="5082" spans="12:20">
      <c r="L5082" s="1179"/>
      <c r="M5082" s="1183"/>
      <c r="N5082" s="1183"/>
      <c r="O5082" s="1183"/>
      <c r="P5082" s="1201"/>
      <c r="Q5082" s="1201"/>
      <c r="R5082" s="1201"/>
      <c r="S5082" s="1201"/>
      <c r="T5082" s="1201"/>
    </row>
    <row r="5083" spans="12:20">
      <c r="L5083" s="1179"/>
      <c r="M5083" s="1183"/>
      <c r="N5083" s="1183"/>
      <c r="O5083" s="1183"/>
      <c r="P5083" s="1201"/>
      <c r="Q5083" s="1201"/>
      <c r="R5083" s="1201"/>
      <c r="S5083" s="1201"/>
      <c r="T5083" s="1201"/>
    </row>
    <row r="5084" spans="12:20">
      <c r="L5084" s="1179"/>
      <c r="M5084" s="1183"/>
      <c r="N5084" s="1183"/>
      <c r="O5084" s="1183"/>
      <c r="P5084" s="1201"/>
      <c r="Q5084" s="1201"/>
      <c r="R5084" s="1201"/>
      <c r="S5084" s="1201"/>
      <c r="T5084" s="1201"/>
    </row>
    <row r="5085" spans="12:20">
      <c r="L5085" s="1179"/>
      <c r="M5085" s="1183"/>
      <c r="N5085" s="1183"/>
      <c r="O5085" s="1183"/>
      <c r="P5085" s="1201"/>
      <c r="Q5085" s="1201"/>
      <c r="R5085" s="1201"/>
      <c r="S5085" s="1201"/>
      <c r="T5085" s="1201"/>
    </row>
    <row r="5086" spans="12:20">
      <c r="L5086" s="1179"/>
      <c r="M5086" s="1183"/>
      <c r="N5086" s="1183"/>
      <c r="O5086" s="1183"/>
      <c r="P5086" s="1201"/>
      <c r="Q5086" s="1201"/>
      <c r="R5086" s="1201"/>
      <c r="S5086" s="1201"/>
      <c r="T5086" s="1201"/>
    </row>
    <row r="5087" spans="12:20">
      <c r="L5087" s="1179"/>
      <c r="M5087" s="1183"/>
      <c r="N5087" s="1183"/>
      <c r="O5087" s="1183"/>
      <c r="P5087" s="1201"/>
      <c r="Q5087" s="1201"/>
      <c r="R5087" s="1201"/>
      <c r="S5087" s="1201"/>
      <c r="T5087" s="1201"/>
    </row>
    <row r="5088" spans="12:20">
      <c r="L5088" s="1179"/>
      <c r="M5088" s="1183"/>
      <c r="N5088" s="1183"/>
      <c r="O5088" s="1183"/>
      <c r="P5088" s="1201"/>
      <c r="Q5088" s="1201"/>
      <c r="R5088" s="1201"/>
      <c r="S5088" s="1201"/>
      <c r="T5088" s="1201"/>
    </row>
    <row r="5089" spans="12:20">
      <c r="L5089" s="1179"/>
      <c r="M5089" s="1183"/>
      <c r="N5089" s="1183"/>
      <c r="O5089" s="1183"/>
      <c r="P5089" s="1201"/>
      <c r="Q5089" s="1201"/>
      <c r="R5089" s="1201"/>
      <c r="S5089" s="1201"/>
      <c r="T5089" s="1201"/>
    </row>
    <row r="5090" spans="12:20">
      <c r="L5090" s="1179"/>
      <c r="M5090" s="1183"/>
      <c r="N5090" s="1183"/>
      <c r="O5090" s="1183"/>
      <c r="P5090" s="1201"/>
      <c r="Q5090" s="1201"/>
      <c r="R5090" s="1201"/>
      <c r="S5090" s="1201"/>
      <c r="T5090" s="1201"/>
    </row>
    <row r="5091" spans="12:20">
      <c r="L5091" s="1179"/>
      <c r="M5091" s="1183"/>
      <c r="N5091" s="1183"/>
      <c r="O5091" s="1183"/>
      <c r="P5091" s="1201"/>
      <c r="Q5091" s="1201"/>
      <c r="R5091" s="1201"/>
      <c r="S5091" s="1201"/>
      <c r="T5091" s="1201"/>
    </row>
    <row r="5092" spans="12:20">
      <c r="L5092" s="1179"/>
      <c r="M5092" s="1183"/>
      <c r="N5092" s="1183"/>
      <c r="O5092" s="1183"/>
      <c r="P5092" s="1201"/>
      <c r="Q5092" s="1201"/>
      <c r="R5092" s="1201"/>
      <c r="S5092" s="1201"/>
      <c r="T5092" s="1201"/>
    </row>
    <row r="5093" spans="12:20">
      <c r="L5093" s="1179"/>
      <c r="M5093" s="1183"/>
      <c r="N5093" s="1183"/>
      <c r="O5093" s="1183"/>
      <c r="P5093" s="1201"/>
      <c r="Q5093" s="1201"/>
      <c r="R5093" s="1201"/>
      <c r="S5093" s="1201"/>
      <c r="T5093" s="1201"/>
    </row>
    <row r="5094" spans="12:20">
      <c r="L5094" s="1179"/>
      <c r="M5094" s="1183"/>
      <c r="N5094" s="1183"/>
      <c r="O5094" s="1183"/>
      <c r="P5094" s="1201"/>
      <c r="Q5094" s="1201"/>
      <c r="R5094" s="1201"/>
      <c r="S5094" s="1201"/>
      <c r="T5094" s="1201"/>
    </row>
    <row r="5095" spans="12:20">
      <c r="L5095" s="1179"/>
      <c r="M5095" s="1183"/>
      <c r="N5095" s="1183"/>
      <c r="O5095" s="1183"/>
      <c r="P5095" s="1201"/>
      <c r="Q5095" s="1201"/>
      <c r="R5095" s="1201"/>
      <c r="S5095" s="1201"/>
      <c r="T5095" s="1201"/>
    </row>
    <row r="5096" spans="12:20">
      <c r="L5096" s="1179"/>
      <c r="M5096" s="1183"/>
      <c r="N5096" s="1183"/>
      <c r="O5096" s="1183"/>
      <c r="P5096" s="1201"/>
      <c r="Q5096" s="1201"/>
      <c r="R5096" s="1201"/>
      <c r="S5096" s="1201"/>
      <c r="T5096" s="1201"/>
    </row>
    <row r="5097" spans="12:20">
      <c r="L5097" s="1179"/>
      <c r="M5097" s="1183"/>
      <c r="N5097" s="1183"/>
      <c r="O5097" s="1183"/>
      <c r="P5097" s="1201"/>
      <c r="Q5097" s="1201"/>
      <c r="R5097" s="1201"/>
      <c r="S5097" s="1201"/>
      <c r="T5097" s="1201"/>
    </row>
    <row r="5098" spans="12:20">
      <c r="L5098" s="1179"/>
      <c r="M5098" s="1183"/>
      <c r="N5098" s="1183"/>
      <c r="O5098" s="1183"/>
      <c r="P5098" s="1201"/>
      <c r="Q5098" s="1201"/>
      <c r="R5098" s="1201"/>
      <c r="S5098" s="1201"/>
      <c r="T5098" s="1201"/>
    </row>
    <row r="5099" spans="12:20">
      <c r="L5099" s="1179"/>
      <c r="M5099" s="1183"/>
      <c r="N5099" s="1183"/>
      <c r="O5099" s="1183"/>
      <c r="P5099" s="1201"/>
      <c r="Q5099" s="1201"/>
      <c r="R5099" s="1201"/>
      <c r="S5099" s="1201"/>
      <c r="T5099" s="1201"/>
    </row>
    <row r="5100" spans="12:20">
      <c r="L5100" s="1179"/>
      <c r="M5100" s="1183"/>
      <c r="N5100" s="1183"/>
      <c r="O5100" s="1183"/>
      <c r="P5100" s="1201"/>
      <c r="Q5100" s="1201"/>
      <c r="R5100" s="1201"/>
      <c r="S5100" s="1201"/>
      <c r="T5100" s="1201"/>
    </row>
    <row r="5101" spans="12:20">
      <c r="L5101" s="1179"/>
      <c r="M5101" s="1183"/>
      <c r="N5101" s="1183"/>
      <c r="O5101" s="1183"/>
      <c r="P5101" s="1201"/>
      <c r="Q5101" s="1201"/>
      <c r="R5101" s="1201"/>
      <c r="S5101" s="1201"/>
      <c r="T5101" s="1201"/>
    </row>
    <row r="5102" spans="12:20">
      <c r="L5102" s="1179"/>
      <c r="M5102" s="1183"/>
      <c r="N5102" s="1183"/>
      <c r="O5102" s="1183"/>
      <c r="P5102" s="1201"/>
      <c r="Q5102" s="1201"/>
      <c r="R5102" s="1201"/>
      <c r="S5102" s="1201"/>
      <c r="T5102" s="1201"/>
    </row>
    <row r="5103" spans="12:20">
      <c r="L5103" s="1179"/>
      <c r="M5103" s="1183"/>
      <c r="N5103" s="1183"/>
      <c r="O5103" s="1183"/>
      <c r="P5103" s="1201"/>
      <c r="Q5103" s="1201"/>
      <c r="R5103" s="1201"/>
      <c r="S5103" s="1201"/>
      <c r="T5103" s="1201"/>
    </row>
    <row r="5104" spans="12:20">
      <c r="L5104" s="1179"/>
      <c r="M5104" s="1183"/>
      <c r="N5104" s="1183"/>
      <c r="O5104" s="1183"/>
      <c r="P5104" s="1201"/>
      <c r="Q5104" s="1201"/>
      <c r="R5104" s="1201"/>
      <c r="S5104" s="1201"/>
      <c r="T5104" s="1201"/>
    </row>
    <row r="5105" spans="12:20">
      <c r="L5105" s="1179"/>
      <c r="M5105" s="1183"/>
      <c r="N5105" s="1183"/>
      <c r="O5105" s="1183"/>
      <c r="P5105" s="1201"/>
      <c r="Q5105" s="1201"/>
      <c r="R5105" s="1201"/>
      <c r="S5105" s="1201"/>
      <c r="T5105" s="1201"/>
    </row>
    <row r="5106" spans="12:20">
      <c r="L5106" s="1179"/>
      <c r="M5106" s="1183"/>
      <c r="N5106" s="1183"/>
      <c r="O5106" s="1183"/>
      <c r="P5106" s="1201"/>
      <c r="Q5106" s="1201"/>
      <c r="R5106" s="1201"/>
      <c r="S5106" s="1201"/>
      <c r="T5106" s="1201"/>
    </row>
    <row r="5107" spans="12:20">
      <c r="L5107" s="1179"/>
      <c r="M5107" s="1183"/>
      <c r="N5107" s="1183"/>
      <c r="O5107" s="1183"/>
      <c r="P5107" s="1201"/>
      <c r="Q5107" s="1201"/>
      <c r="R5107" s="1201"/>
      <c r="S5107" s="1201"/>
      <c r="T5107" s="1201"/>
    </row>
    <row r="5108" spans="12:20">
      <c r="L5108" s="1179"/>
      <c r="M5108" s="1183"/>
      <c r="N5108" s="1183"/>
      <c r="O5108" s="1183"/>
      <c r="P5108" s="1201"/>
      <c r="Q5108" s="1201"/>
      <c r="R5108" s="1201"/>
      <c r="S5108" s="1201"/>
      <c r="T5108" s="1201"/>
    </row>
    <row r="5109" spans="12:20">
      <c r="L5109" s="1179"/>
      <c r="M5109" s="1183"/>
      <c r="N5109" s="1183"/>
      <c r="O5109" s="1183"/>
      <c r="P5109" s="1201"/>
      <c r="Q5109" s="1201"/>
      <c r="R5109" s="1201"/>
      <c r="S5109" s="1201"/>
      <c r="T5109" s="1201"/>
    </row>
    <row r="5110" spans="12:20">
      <c r="L5110" s="1179"/>
      <c r="M5110" s="1183"/>
      <c r="N5110" s="1183"/>
      <c r="O5110" s="1183"/>
      <c r="P5110" s="1201"/>
      <c r="Q5110" s="1201"/>
      <c r="R5110" s="1201"/>
      <c r="S5110" s="1201"/>
      <c r="T5110" s="1201"/>
    </row>
    <row r="5111" spans="12:20">
      <c r="L5111" s="1179"/>
      <c r="M5111" s="1183"/>
      <c r="N5111" s="1183"/>
      <c r="O5111" s="1183"/>
      <c r="P5111" s="1201"/>
      <c r="Q5111" s="1201"/>
      <c r="R5111" s="1201"/>
      <c r="S5111" s="1201"/>
      <c r="T5111" s="1201"/>
    </row>
    <row r="5112" spans="12:20">
      <c r="L5112" s="1179"/>
      <c r="M5112" s="1183"/>
      <c r="N5112" s="1183"/>
      <c r="O5112" s="1183"/>
      <c r="P5112" s="1201"/>
      <c r="Q5112" s="1201"/>
      <c r="R5112" s="1201"/>
      <c r="S5112" s="1201"/>
      <c r="T5112" s="1201"/>
    </row>
    <row r="5113" spans="12:20">
      <c r="L5113" s="1179"/>
      <c r="M5113" s="1183"/>
      <c r="N5113" s="1183"/>
      <c r="O5113" s="1183"/>
      <c r="P5113" s="1201"/>
      <c r="Q5113" s="1201"/>
      <c r="R5113" s="1201"/>
      <c r="S5113" s="1201"/>
      <c r="T5113" s="1201"/>
    </row>
    <row r="5114" spans="12:20">
      <c r="L5114" s="1179"/>
      <c r="M5114" s="1183"/>
      <c r="N5114" s="1183"/>
      <c r="O5114" s="1183"/>
      <c r="P5114" s="1201"/>
      <c r="Q5114" s="1201"/>
      <c r="R5114" s="1201"/>
      <c r="S5114" s="1201"/>
      <c r="T5114" s="1201"/>
    </row>
    <row r="5115" spans="12:20">
      <c r="L5115" s="1179"/>
      <c r="M5115" s="1183"/>
      <c r="N5115" s="1183"/>
      <c r="O5115" s="1183"/>
      <c r="P5115" s="1201"/>
      <c r="Q5115" s="1201"/>
      <c r="R5115" s="1201"/>
      <c r="S5115" s="1201"/>
      <c r="T5115" s="1201"/>
    </row>
    <row r="5116" spans="12:20">
      <c r="L5116" s="1179"/>
      <c r="M5116" s="1183"/>
      <c r="N5116" s="1183"/>
      <c r="O5116" s="1183"/>
      <c r="P5116" s="1201"/>
      <c r="Q5116" s="1201"/>
      <c r="R5116" s="1201"/>
      <c r="S5116" s="1201"/>
      <c r="T5116" s="1201"/>
    </row>
    <row r="5117" spans="12:20">
      <c r="L5117" s="1179"/>
      <c r="M5117" s="1183"/>
      <c r="N5117" s="1183"/>
      <c r="O5117" s="1183"/>
      <c r="P5117" s="1201"/>
      <c r="Q5117" s="1201"/>
      <c r="R5117" s="1201"/>
      <c r="S5117" s="1201"/>
      <c r="T5117" s="1201"/>
    </row>
    <row r="5118" spans="12:20">
      <c r="L5118" s="1179"/>
      <c r="M5118" s="1183"/>
      <c r="N5118" s="1183"/>
      <c r="O5118" s="1183"/>
      <c r="P5118" s="1201"/>
      <c r="Q5118" s="1201"/>
      <c r="R5118" s="1201"/>
      <c r="S5118" s="1201"/>
      <c r="T5118" s="1201"/>
    </row>
    <row r="5119" spans="12:20">
      <c r="L5119" s="1179"/>
      <c r="M5119" s="1183"/>
      <c r="N5119" s="1183"/>
      <c r="O5119" s="1183"/>
      <c r="P5119" s="1201"/>
      <c r="Q5119" s="1201"/>
      <c r="R5119" s="1201"/>
      <c r="S5119" s="1201"/>
      <c r="T5119" s="1201"/>
    </row>
    <row r="5120" spans="12:20">
      <c r="L5120" s="1179"/>
      <c r="M5120" s="1183"/>
      <c r="N5120" s="1183"/>
      <c r="O5120" s="1183"/>
      <c r="P5120" s="1201"/>
      <c r="Q5120" s="1201"/>
      <c r="R5120" s="1201"/>
      <c r="S5120" s="1201"/>
      <c r="T5120" s="1201"/>
    </row>
    <row r="5121" spans="12:20">
      <c r="L5121" s="1179"/>
      <c r="M5121" s="1183"/>
      <c r="N5121" s="1183"/>
      <c r="O5121" s="1183"/>
      <c r="P5121" s="1201"/>
      <c r="Q5121" s="1201"/>
      <c r="R5121" s="1201"/>
      <c r="S5121" s="1201"/>
      <c r="T5121" s="1201"/>
    </row>
    <row r="5122" spans="12:20">
      <c r="L5122" s="1179"/>
      <c r="M5122" s="1183"/>
      <c r="N5122" s="1183"/>
      <c r="O5122" s="1183"/>
      <c r="P5122" s="1201"/>
      <c r="Q5122" s="1201"/>
      <c r="R5122" s="1201"/>
      <c r="S5122" s="1201"/>
      <c r="T5122" s="1201"/>
    </row>
    <row r="5123" spans="12:20">
      <c r="L5123" s="1179"/>
      <c r="M5123" s="1183"/>
      <c r="N5123" s="1183"/>
      <c r="O5123" s="1183"/>
      <c r="P5123" s="1201"/>
      <c r="Q5123" s="1201"/>
      <c r="R5123" s="1201"/>
      <c r="S5123" s="1201"/>
      <c r="T5123" s="1201"/>
    </row>
    <row r="5124" spans="12:20">
      <c r="L5124" s="1179"/>
      <c r="M5124" s="1183"/>
      <c r="N5124" s="1183"/>
      <c r="O5124" s="1183"/>
      <c r="P5124" s="1201"/>
      <c r="Q5124" s="1201"/>
      <c r="R5124" s="1201"/>
      <c r="S5124" s="1201"/>
      <c r="T5124" s="1201"/>
    </row>
    <row r="5125" spans="12:20">
      <c r="L5125" s="1179"/>
      <c r="M5125" s="1183"/>
      <c r="N5125" s="1183"/>
      <c r="O5125" s="1183"/>
      <c r="P5125" s="1201"/>
      <c r="Q5125" s="1201"/>
      <c r="R5125" s="1201"/>
      <c r="S5125" s="1201"/>
      <c r="T5125" s="1201"/>
    </row>
    <row r="5126" spans="12:20">
      <c r="L5126" s="1179"/>
      <c r="M5126" s="1183"/>
      <c r="N5126" s="1183"/>
      <c r="O5126" s="1183"/>
      <c r="P5126" s="1201"/>
      <c r="Q5126" s="1201"/>
      <c r="R5126" s="1201"/>
      <c r="S5126" s="1201"/>
      <c r="T5126" s="1201"/>
    </row>
    <row r="5127" spans="12:20">
      <c r="L5127" s="1179"/>
      <c r="M5127" s="1183"/>
      <c r="N5127" s="1183"/>
      <c r="O5127" s="1183"/>
      <c r="P5127" s="1201"/>
      <c r="Q5127" s="1201"/>
      <c r="R5127" s="1201"/>
      <c r="S5127" s="1201"/>
      <c r="T5127" s="1201"/>
    </row>
    <row r="5128" spans="12:20">
      <c r="L5128" s="1179"/>
      <c r="M5128" s="1183"/>
      <c r="N5128" s="1183"/>
      <c r="O5128" s="1183"/>
      <c r="P5128" s="1201"/>
      <c r="Q5128" s="1201"/>
      <c r="R5128" s="1201"/>
      <c r="S5128" s="1201"/>
      <c r="T5128" s="1201"/>
    </row>
    <row r="5129" spans="12:20">
      <c r="L5129" s="1179"/>
      <c r="M5129" s="1183"/>
      <c r="N5129" s="1183"/>
      <c r="O5129" s="1183"/>
      <c r="P5129" s="1201"/>
      <c r="Q5129" s="1201"/>
      <c r="R5129" s="1201"/>
      <c r="S5129" s="1201"/>
      <c r="T5129" s="1201"/>
    </row>
    <row r="5130" spans="12:20">
      <c r="L5130" s="1179"/>
      <c r="M5130" s="1183"/>
      <c r="N5130" s="1183"/>
      <c r="O5130" s="1183"/>
      <c r="P5130" s="1201"/>
      <c r="Q5130" s="1201"/>
      <c r="R5130" s="1201"/>
      <c r="S5130" s="1201"/>
      <c r="T5130" s="1201"/>
    </row>
    <row r="5131" spans="12:20">
      <c r="L5131" s="1179"/>
      <c r="M5131" s="1183"/>
      <c r="N5131" s="1183"/>
      <c r="O5131" s="1183"/>
      <c r="P5131" s="1201"/>
      <c r="Q5131" s="1201"/>
      <c r="R5131" s="1201"/>
      <c r="S5131" s="1201"/>
      <c r="T5131" s="1201"/>
    </row>
    <row r="5132" spans="12:20">
      <c r="L5132" s="1179"/>
      <c r="M5132" s="1183"/>
      <c r="N5132" s="1183"/>
      <c r="O5132" s="1183"/>
      <c r="P5132" s="1201"/>
      <c r="Q5132" s="1201"/>
      <c r="R5132" s="1201"/>
      <c r="S5132" s="1201"/>
      <c r="T5132" s="1201"/>
    </row>
    <row r="5133" spans="12:20">
      <c r="L5133" s="1179"/>
      <c r="M5133" s="1183"/>
      <c r="N5133" s="1183"/>
      <c r="O5133" s="1183"/>
      <c r="P5133" s="1201"/>
      <c r="Q5133" s="1201"/>
      <c r="R5133" s="1201"/>
      <c r="S5133" s="1201"/>
      <c r="T5133" s="1201"/>
    </row>
    <row r="5134" spans="12:20">
      <c r="L5134" s="1179"/>
      <c r="M5134" s="1183"/>
      <c r="N5134" s="1183"/>
      <c r="O5134" s="1183"/>
      <c r="P5134" s="1201"/>
      <c r="Q5134" s="1201"/>
      <c r="R5134" s="1201"/>
      <c r="S5134" s="1201"/>
      <c r="T5134" s="1201"/>
    </row>
    <row r="5135" spans="12:20">
      <c r="L5135" s="1179"/>
      <c r="M5135" s="1183"/>
      <c r="N5135" s="1183"/>
      <c r="O5135" s="1183"/>
      <c r="P5135" s="1201"/>
      <c r="Q5135" s="1201"/>
      <c r="R5135" s="1201"/>
      <c r="S5135" s="1201"/>
      <c r="T5135" s="1201"/>
    </row>
    <row r="5136" spans="12:20">
      <c r="L5136" s="1179"/>
      <c r="M5136" s="1183"/>
      <c r="N5136" s="1183"/>
      <c r="O5136" s="1183"/>
      <c r="P5136" s="1201"/>
      <c r="Q5136" s="1201"/>
      <c r="R5136" s="1201"/>
      <c r="S5136" s="1201"/>
      <c r="T5136" s="1201"/>
    </row>
    <row r="5137" spans="12:20">
      <c r="L5137" s="1179"/>
      <c r="M5137" s="1183"/>
      <c r="N5137" s="1183"/>
      <c r="O5137" s="1183"/>
      <c r="P5137" s="1201"/>
      <c r="Q5137" s="1201"/>
      <c r="R5137" s="1201"/>
      <c r="S5137" s="1201"/>
      <c r="T5137" s="1201"/>
    </row>
    <row r="5138" spans="12:20">
      <c r="L5138" s="1179"/>
      <c r="M5138" s="1183"/>
      <c r="N5138" s="1183"/>
      <c r="O5138" s="1183"/>
      <c r="P5138" s="1201"/>
      <c r="Q5138" s="1201"/>
      <c r="R5138" s="1201"/>
      <c r="S5138" s="1201"/>
      <c r="T5138" s="1201"/>
    </row>
    <row r="5139" spans="12:20">
      <c r="L5139" s="1179"/>
      <c r="M5139" s="1183"/>
      <c r="N5139" s="1183"/>
      <c r="O5139" s="1183"/>
      <c r="P5139" s="1201"/>
      <c r="Q5139" s="1201"/>
      <c r="R5139" s="1201"/>
      <c r="S5139" s="1201"/>
      <c r="T5139" s="1201"/>
    </row>
    <row r="5140" spans="12:20">
      <c r="L5140" s="1179"/>
      <c r="M5140" s="1183"/>
      <c r="N5140" s="1183"/>
      <c r="O5140" s="1183"/>
      <c r="P5140" s="1201"/>
      <c r="Q5140" s="1201"/>
      <c r="R5140" s="1201"/>
      <c r="S5140" s="1201"/>
      <c r="T5140" s="1201"/>
    </row>
    <row r="5141" spans="12:20">
      <c r="L5141" s="1179"/>
      <c r="M5141" s="1183"/>
      <c r="N5141" s="1183"/>
      <c r="O5141" s="1183"/>
      <c r="P5141" s="1201"/>
      <c r="Q5141" s="1201"/>
      <c r="R5141" s="1201"/>
      <c r="S5141" s="1201"/>
      <c r="T5141" s="1201"/>
    </row>
    <row r="5142" spans="12:20">
      <c r="L5142" s="1179"/>
      <c r="M5142" s="1183"/>
      <c r="N5142" s="1183"/>
      <c r="O5142" s="1183"/>
      <c r="P5142" s="1201"/>
      <c r="Q5142" s="1201"/>
      <c r="R5142" s="1201"/>
      <c r="S5142" s="1201"/>
      <c r="T5142" s="1201"/>
    </row>
    <row r="5143" spans="12:20">
      <c r="L5143" s="1179"/>
      <c r="M5143" s="1183"/>
      <c r="N5143" s="1183"/>
      <c r="O5143" s="1183"/>
      <c r="P5143" s="1201"/>
      <c r="Q5143" s="1201"/>
      <c r="R5143" s="1201"/>
      <c r="S5143" s="1201"/>
      <c r="T5143" s="1201"/>
    </row>
    <row r="5144" spans="12:20">
      <c r="L5144" s="1179"/>
      <c r="M5144" s="1183"/>
      <c r="N5144" s="1183"/>
      <c r="O5144" s="1183"/>
      <c r="P5144" s="1201"/>
      <c r="Q5144" s="1201"/>
      <c r="R5144" s="1201"/>
      <c r="S5144" s="1201"/>
      <c r="T5144" s="1201"/>
    </row>
    <row r="5145" spans="12:20">
      <c r="L5145" s="1179"/>
      <c r="M5145" s="1183"/>
      <c r="N5145" s="1183"/>
      <c r="O5145" s="1183"/>
      <c r="P5145" s="1201"/>
      <c r="Q5145" s="1201"/>
      <c r="R5145" s="1201"/>
      <c r="S5145" s="1201"/>
      <c r="T5145" s="1201"/>
    </row>
    <row r="5146" spans="12:20">
      <c r="L5146" s="1179"/>
      <c r="M5146" s="1183"/>
      <c r="N5146" s="1183"/>
      <c r="O5146" s="1183"/>
      <c r="P5146" s="1201"/>
      <c r="Q5146" s="1201"/>
      <c r="R5146" s="1201"/>
      <c r="S5146" s="1201"/>
      <c r="T5146" s="1201"/>
    </row>
    <row r="5147" spans="12:20">
      <c r="L5147" s="1179"/>
      <c r="M5147" s="1183"/>
      <c r="N5147" s="1183"/>
      <c r="O5147" s="1183"/>
      <c r="P5147" s="1201"/>
      <c r="Q5147" s="1201"/>
      <c r="R5147" s="1201"/>
      <c r="S5147" s="1201"/>
      <c r="T5147" s="1201"/>
    </row>
    <row r="5148" spans="12:20">
      <c r="L5148" s="1179"/>
      <c r="M5148" s="1183"/>
      <c r="N5148" s="1183"/>
      <c r="O5148" s="1183"/>
      <c r="P5148" s="1201"/>
      <c r="Q5148" s="1201"/>
      <c r="R5148" s="1201"/>
      <c r="S5148" s="1201"/>
      <c r="T5148" s="1201"/>
    </row>
    <row r="5149" spans="12:20">
      <c r="L5149" s="1179"/>
      <c r="M5149" s="1183"/>
      <c r="N5149" s="1183"/>
      <c r="O5149" s="1183"/>
      <c r="P5149" s="1201"/>
      <c r="Q5149" s="1201"/>
      <c r="R5149" s="1201"/>
      <c r="S5149" s="1201"/>
      <c r="T5149" s="1201"/>
    </row>
    <row r="5150" spans="12:20">
      <c r="L5150" s="1179"/>
      <c r="M5150" s="1183"/>
      <c r="N5150" s="1183"/>
      <c r="O5150" s="1183"/>
      <c r="P5150" s="1201"/>
      <c r="Q5150" s="1201"/>
      <c r="R5150" s="1201"/>
      <c r="S5150" s="1201"/>
      <c r="T5150" s="1201"/>
    </row>
    <row r="5151" spans="12:20">
      <c r="L5151" s="1179"/>
      <c r="M5151" s="1183"/>
      <c r="N5151" s="1183"/>
      <c r="O5151" s="1183"/>
      <c r="P5151" s="1201"/>
      <c r="Q5151" s="1201"/>
      <c r="R5151" s="1201"/>
      <c r="S5151" s="1201"/>
      <c r="T5151" s="1201"/>
    </row>
    <row r="5152" spans="12:20">
      <c r="L5152" s="1179"/>
      <c r="M5152" s="1183"/>
      <c r="N5152" s="1183"/>
      <c r="O5152" s="1183"/>
      <c r="P5152" s="1201"/>
      <c r="Q5152" s="1201"/>
      <c r="R5152" s="1201"/>
      <c r="S5152" s="1201"/>
      <c r="T5152" s="1201"/>
    </row>
    <row r="5153" spans="12:20">
      <c r="L5153" s="1179"/>
      <c r="M5153" s="1183"/>
      <c r="N5153" s="1183"/>
      <c r="O5153" s="1183"/>
      <c r="P5153" s="1201"/>
      <c r="Q5153" s="1201"/>
      <c r="R5153" s="1201"/>
      <c r="S5153" s="1201"/>
      <c r="T5153" s="1201"/>
    </row>
    <row r="5154" spans="12:20">
      <c r="L5154" s="1179"/>
      <c r="M5154" s="1183"/>
      <c r="N5154" s="1183"/>
      <c r="O5154" s="1183"/>
      <c r="P5154" s="1201"/>
      <c r="Q5154" s="1201"/>
      <c r="R5154" s="1201"/>
      <c r="S5154" s="1201"/>
      <c r="T5154" s="1201"/>
    </row>
    <row r="5155" spans="12:20">
      <c r="L5155" s="1179"/>
      <c r="M5155" s="1183"/>
      <c r="N5155" s="1183"/>
      <c r="O5155" s="1183"/>
      <c r="P5155" s="1201"/>
      <c r="Q5155" s="1201"/>
      <c r="R5155" s="1201"/>
      <c r="S5155" s="1201"/>
      <c r="T5155" s="1201"/>
    </row>
    <row r="5156" spans="12:20">
      <c r="L5156" s="1179"/>
      <c r="M5156" s="1183"/>
      <c r="N5156" s="1183"/>
      <c r="O5156" s="1183"/>
      <c r="P5156" s="1201"/>
      <c r="Q5156" s="1201"/>
      <c r="R5156" s="1201"/>
      <c r="S5156" s="1201"/>
      <c r="T5156" s="1201"/>
    </row>
    <row r="5157" spans="12:20">
      <c r="L5157" s="1179"/>
      <c r="M5157" s="1183"/>
      <c r="N5157" s="1183"/>
      <c r="O5157" s="1183"/>
      <c r="P5157" s="1201"/>
      <c r="Q5157" s="1201"/>
      <c r="R5157" s="1201"/>
      <c r="S5157" s="1201"/>
      <c r="T5157" s="1201"/>
    </row>
    <row r="5158" spans="12:20">
      <c r="L5158" s="1179"/>
      <c r="M5158" s="1183"/>
      <c r="N5158" s="1183"/>
      <c r="O5158" s="1183"/>
      <c r="P5158" s="1201"/>
      <c r="Q5158" s="1201"/>
      <c r="R5158" s="1201"/>
      <c r="S5158" s="1201"/>
      <c r="T5158" s="1201"/>
    </row>
    <row r="5159" spans="12:20">
      <c r="L5159" s="1179"/>
      <c r="M5159" s="1183"/>
      <c r="N5159" s="1183"/>
      <c r="O5159" s="1183"/>
      <c r="P5159" s="1201"/>
      <c r="Q5159" s="1201"/>
      <c r="R5159" s="1201"/>
      <c r="S5159" s="1201"/>
      <c r="T5159" s="1201"/>
    </row>
    <row r="5160" spans="12:20">
      <c r="L5160" s="1179"/>
      <c r="M5160" s="1183"/>
      <c r="N5160" s="1183"/>
      <c r="O5160" s="1183"/>
      <c r="P5160" s="1201"/>
      <c r="Q5160" s="1201"/>
      <c r="R5160" s="1201"/>
      <c r="S5160" s="1201"/>
      <c r="T5160" s="1201"/>
    </row>
    <row r="5161" spans="12:20">
      <c r="L5161" s="1179"/>
      <c r="M5161" s="1183"/>
      <c r="N5161" s="1183"/>
      <c r="O5161" s="1183"/>
      <c r="P5161" s="1201"/>
      <c r="Q5161" s="1201"/>
      <c r="R5161" s="1201"/>
      <c r="S5161" s="1201"/>
      <c r="T5161" s="1201"/>
    </row>
    <row r="5162" spans="12:20">
      <c r="L5162" s="1179"/>
      <c r="M5162" s="1183"/>
      <c r="N5162" s="1183"/>
      <c r="O5162" s="1183"/>
      <c r="P5162" s="1201"/>
      <c r="Q5162" s="1201"/>
      <c r="R5162" s="1201"/>
      <c r="S5162" s="1201"/>
      <c r="T5162" s="1201"/>
    </row>
    <row r="5163" spans="12:20">
      <c r="L5163" s="1179"/>
      <c r="M5163" s="1183"/>
      <c r="N5163" s="1183"/>
      <c r="O5163" s="1183"/>
      <c r="P5163" s="1201"/>
      <c r="Q5163" s="1201"/>
      <c r="R5163" s="1201"/>
      <c r="S5163" s="1201"/>
      <c r="T5163" s="1201"/>
    </row>
    <row r="5164" spans="12:20">
      <c r="L5164" s="1179"/>
      <c r="M5164" s="1183"/>
      <c r="N5164" s="1183"/>
      <c r="O5164" s="1183"/>
      <c r="P5164" s="1201"/>
      <c r="Q5164" s="1201"/>
      <c r="R5164" s="1201"/>
      <c r="S5164" s="1201"/>
      <c r="T5164" s="1201"/>
    </row>
    <row r="5165" spans="12:20">
      <c r="L5165" s="1179"/>
      <c r="M5165" s="1183"/>
      <c r="N5165" s="1183"/>
      <c r="O5165" s="1183"/>
      <c r="P5165" s="1201"/>
      <c r="Q5165" s="1201"/>
      <c r="R5165" s="1201"/>
      <c r="S5165" s="1201"/>
      <c r="T5165" s="1201"/>
    </row>
    <row r="5166" spans="12:20">
      <c r="L5166" s="1179"/>
      <c r="M5166" s="1183"/>
      <c r="N5166" s="1183"/>
      <c r="O5166" s="1183"/>
      <c r="P5166" s="1201"/>
      <c r="Q5166" s="1201"/>
      <c r="R5166" s="1201"/>
      <c r="S5166" s="1201"/>
      <c r="T5166" s="1201"/>
    </row>
    <row r="5167" spans="12:20">
      <c r="L5167" s="1179"/>
      <c r="M5167" s="1183"/>
      <c r="N5167" s="1183"/>
      <c r="O5167" s="1183"/>
      <c r="P5167" s="1201"/>
      <c r="Q5167" s="1201"/>
      <c r="R5167" s="1201"/>
      <c r="S5167" s="1201"/>
      <c r="T5167" s="1201"/>
    </row>
    <row r="5168" spans="12:20">
      <c r="L5168" s="1179"/>
      <c r="M5168" s="1183"/>
      <c r="N5168" s="1183"/>
      <c r="O5168" s="1183"/>
      <c r="P5168" s="1201"/>
      <c r="Q5168" s="1201"/>
      <c r="R5168" s="1201"/>
      <c r="S5168" s="1201"/>
      <c r="T5168" s="1201"/>
    </row>
    <row r="5169" spans="12:20">
      <c r="L5169" s="1179"/>
      <c r="M5169" s="1183"/>
      <c r="N5169" s="1183"/>
      <c r="O5169" s="1183"/>
      <c r="P5169" s="1201"/>
      <c r="Q5169" s="1201"/>
      <c r="R5169" s="1201"/>
      <c r="S5169" s="1201"/>
      <c r="T5169" s="1201"/>
    </row>
    <row r="5170" spans="12:20">
      <c r="L5170" s="1179"/>
      <c r="M5170" s="1183"/>
      <c r="N5170" s="1183"/>
      <c r="O5170" s="1183"/>
      <c r="P5170" s="1201"/>
      <c r="Q5170" s="1201"/>
      <c r="R5170" s="1201"/>
      <c r="S5170" s="1201"/>
      <c r="T5170" s="1201"/>
    </row>
    <row r="5171" spans="12:20">
      <c r="L5171" s="1179"/>
      <c r="M5171" s="1183"/>
      <c r="N5171" s="1183"/>
      <c r="O5171" s="1183"/>
      <c r="P5171" s="1201"/>
      <c r="Q5171" s="1201"/>
      <c r="R5171" s="1201"/>
      <c r="S5171" s="1201"/>
      <c r="T5171" s="1201"/>
    </row>
    <row r="5172" spans="12:20">
      <c r="L5172" s="1179"/>
      <c r="M5172" s="1183"/>
      <c r="N5172" s="1183"/>
      <c r="O5172" s="1183"/>
      <c r="P5172" s="1201"/>
      <c r="Q5172" s="1201"/>
      <c r="R5172" s="1201"/>
      <c r="S5172" s="1201"/>
      <c r="T5172" s="1201"/>
    </row>
    <row r="5173" spans="12:20">
      <c r="L5173" s="1179"/>
      <c r="M5173" s="1183"/>
      <c r="N5173" s="1183"/>
      <c r="O5173" s="1183"/>
      <c r="P5173" s="1201"/>
      <c r="Q5173" s="1201"/>
      <c r="R5173" s="1201"/>
      <c r="S5173" s="1201"/>
      <c r="T5173" s="1201"/>
    </row>
    <row r="5174" spans="12:20">
      <c r="L5174" s="1179"/>
      <c r="M5174" s="1183"/>
      <c r="N5174" s="1183"/>
      <c r="O5174" s="1183"/>
      <c r="P5174" s="1201"/>
      <c r="Q5174" s="1201"/>
      <c r="R5174" s="1201"/>
      <c r="S5174" s="1201"/>
      <c r="T5174" s="1201"/>
    </row>
    <row r="5175" spans="12:20">
      <c r="L5175" s="1179"/>
      <c r="M5175" s="1183"/>
      <c r="N5175" s="1183"/>
      <c r="O5175" s="1183"/>
      <c r="P5175" s="1201"/>
      <c r="Q5175" s="1201"/>
      <c r="R5175" s="1201"/>
      <c r="S5175" s="1201"/>
      <c r="T5175" s="1201"/>
    </row>
    <row r="5176" spans="12:20">
      <c r="L5176" s="1179"/>
      <c r="M5176" s="1183"/>
      <c r="N5176" s="1183"/>
      <c r="O5176" s="1183"/>
      <c r="P5176" s="1201"/>
      <c r="Q5176" s="1201"/>
      <c r="R5176" s="1201"/>
      <c r="S5176" s="1201"/>
      <c r="T5176" s="1201"/>
    </row>
    <row r="5177" spans="12:20">
      <c r="L5177" s="1179"/>
      <c r="M5177" s="1183"/>
      <c r="N5177" s="1183"/>
      <c r="O5177" s="1183"/>
      <c r="P5177" s="1201"/>
      <c r="Q5177" s="1201"/>
      <c r="R5177" s="1201"/>
      <c r="S5177" s="1201"/>
      <c r="T5177" s="1201"/>
    </row>
    <row r="5178" spans="12:20">
      <c r="L5178" s="1179"/>
      <c r="M5178" s="1183"/>
      <c r="N5178" s="1183"/>
      <c r="O5178" s="1183"/>
      <c r="P5178" s="1201"/>
      <c r="Q5178" s="1201"/>
      <c r="R5178" s="1201"/>
      <c r="S5178" s="1201"/>
      <c r="T5178" s="1201"/>
    </row>
    <row r="5179" spans="12:20">
      <c r="L5179" s="1179"/>
      <c r="M5179" s="1183"/>
      <c r="N5179" s="1183"/>
      <c r="O5179" s="1183"/>
      <c r="P5179" s="1201"/>
      <c r="Q5179" s="1201"/>
      <c r="R5179" s="1201"/>
      <c r="S5179" s="1201"/>
      <c r="T5179" s="1201"/>
    </row>
    <row r="5180" spans="12:20">
      <c r="L5180" s="1179"/>
      <c r="M5180" s="1183"/>
      <c r="N5180" s="1183"/>
      <c r="O5180" s="1183"/>
      <c r="P5180" s="1201"/>
      <c r="Q5180" s="1201"/>
      <c r="R5180" s="1201"/>
      <c r="S5180" s="1201"/>
      <c r="T5180" s="1201"/>
    </row>
    <row r="5181" spans="12:20">
      <c r="L5181" s="1179"/>
      <c r="M5181" s="1183"/>
      <c r="N5181" s="1183"/>
      <c r="O5181" s="1183"/>
      <c r="P5181" s="1201"/>
      <c r="Q5181" s="1201"/>
      <c r="R5181" s="1201"/>
      <c r="S5181" s="1201"/>
      <c r="T5181" s="1201"/>
    </row>
    <row r="5182" spans="12:20">
      <c r="L5182" s="1179"/>
      <c r="M5182" s="1183"/>
      <c r="N5182" s="1183"/>
      <c r="O5182" s="1183"/>
      <c r="P5182" s="1201"/>
      <c r="Q5182" s="1201"/>
      <c r="R5182" s="1201"/>
      <c r="S5182" s="1201"/>
      <c r="T5182" s="1201"/>
    </row>
    <row r="5183" spans="12:20">
      <c r="L5183" s="1179"/>
      <c r="M5183" s="1183"/>
      <c r="N5183" s="1183"/>
      <c r="O5183" s="1183"/>
      <c r="P5183" s="1201"/>
      <c r="Q5183" s="1201"/>
      <c r="R5183" s="1201"/>
      <c r="S5183" s="1201"/>
      <c r="T5183" s="1201"/>
    </row>
    <row r="5184" spans="12:20">
      <c r="L5184" s="1179"/>
      <c r="M5184" s="1183"/>
      <c r="N5184" s="1183"/>
      <c r="O5184" s="1183"/>
      <c r="P5184" s="1201"/>
      <c r="Q5184" s="1201"/>
      <c r="R5184" s="1201"/>
      <c r="S5184" s="1201"/>
      <c r="T5184" s="1201"/>
    </row>
    <row r="5185" spans="12:20">
      <c r="L5185" s="1179"/>
      <c r="M5185" s="1183"/>
      <c r="N5185" s="1183"/>
      <c r="O5185" s="1183"/>
      <c r="P5185" s="1201"/>
      <c r="Q5185" s="1201"/>
      <c r="R5185" s="1201"/>
      <c r="S5185" s="1201"/>
      <c r="T5185" s="1201"/>
    </row>
    <row r="5186" spans="12:20">
      <c r="L5186" s="1179"/>
      <c r="M5186" s="1183"/>
      <c r="N5186" s="1183"/>
      <c r="O5186" s="1183"/>
      <c r="P5186" s="1201"/>
      <c r="Q5186" s="1201"/>
      <c r="R5186" s="1201"/>
      <c r="S5186" s="1201"/>
      <c r="T5186" s="1201"/>
    </row>
    <row r="5187" spans="12:20">
      <c r="L5187" s="1179"/>
      <c r="M5187" s="1183"/>
      <c r="N5187" s="1183"/>
      <c r="O5187" s="1183"/>
      <c r="P5187" s="1201"/>
      <c r="Q5187" s="1201"/>
      <c r="R5187" s="1201"/>
      <c r="S5187" s="1201"/>
      <c r="T5187" s="1201"/>
    </row>
    <row r="5188" spans="12:20">
      <c r="L5188" s="1179"/>
      <c r="M5188" s="1183"/>
      <c r="N5188" s="1183"/>
      <c r="O5188" s="1183"/>
      <c r="P5188" s="1201"/>
      <c r="Q5188" s="1201"/>
      <c r="R5188" s="1201"/>
      <c r="S5188" s="1201"/>
      <c r="T5188" s="1201"/>
    </row>
    <row r="5189" spans="12:20">
      <c r="L5189" s="1179"/>
      <c r="M5189" s="1183"/>
      <c r="N5189" s="1183"/>
      <c r="O5189" s="1183"/>
      <c r="P5189" s="1201"/>
      <c r="Q5189" s="1201"/>
      <c r="R5189" s="1201"/>
      <c r="S5189" s="1201"/>
      <c r="T5189" s="1201"/>
    </row>
    <row r="5190" spans="12:20">
      <c r="L5190" s="1179"/>
      <c r="M5190" s="1183"/>
      <c r="N5190" s="1183"/>
      <c r="O5190" s="1183"/>
      <c r="P5190" s="1201"/>
      <c r="Q5190" s="1201"/>
      <c r="R5190" s="1201"/>
      <c r="S5190" s="1201"/>
      <c r="T5190" s="1201"/>
    </row>
    <row r="5191" spans="12:20">
      <c r="L5191" s="1179"/>
      <c r="M5191" s="1183"/>
      <c r="N5191" s="1183"/>
      <c r="O5191" s="1183"/>
      <c r="P5191" s="1201"/>
      <c r="Q5191" s="1201"/>
      <c r="R5191" s="1201"/>
      <c r="S5191" s="1201"/>
      <c r="T5191" s="1201"/>
    </row>
    <row r="5192" spans="12:20">
      <c r="L5192" s="1179"/>
      <c r="M5192" s="1183"/>
      <c r="N5192" s="1183"/>
      <c r="O5192" s="1183"/>
      <c r="P5192" s="1201"/>
      <c r="Q5192" s="1201"/>
      <c r="R5192" s="1201"/>
      <c r="S5192" s="1201"/>
      <c r="T5192" s="1201"/>
    </row>
    <row r="5193" spans="12:20">
      <c r="L5193" s="1179"/>
      <c r="M5193" s="1183"/>
      <c r="N5193" s="1183"/>
      <c r="O5193" s="1183"/>
      <c r="P5193" s="1201"/>
      <c r="Q5193" s="1201"/>
      <c r="R5193" s="1201"/>
      <c r="S5193" s="1201"/>
      <c r="T5193" s="1201"/>
    </row>
    <row r="5194" spans="12:20">
      <c r="L5194" s="1179"/>
      <c r="M5194" s="1183"/>
      <c r="N5194" s="1183"/>
      <c r="O5194" s="1183"/>
      <c r="P5194" s="1201"/>
      <c r="Q5194" s="1201"/>
      <c r="R5194" s="1201"/>
      <c r="S5194" s="1201"/>
      <c r="T5194" s="1201"/>
    </row>
    <row r="5195" spans="12:20">
      <c r="L5195" s="1179"/>
      <c r="M5195" s="1183"/>
      <c r="N5195" s="1183"/>
      <c r="O5195" s="1183"/>
      <c r="P5195" s="1201"/>
      <c r="Q5195" s="1201"/>
      <c r="R5195" s="1201"/>
      <c r="S5195" s="1201"/>
      <c r="T5195" s="1201"/>
    </row>
    <row r="5196" spans="12:20">
      <c r="L5196" s="1179"/>
      <c r="M5196" s="1183"/>
      <c r="N5196" s="1183"/>
      <c r="O5196" s="1183"/>
      <c r="P5196" s="1201"/>
      <c r="Q5196" s="1201"/>
      <c r="R5196" s="1201"/>
      <c r="S5196" s="1201"/>
      <c r="T5196" s="1201"/>
    </row>
    <row r="5197" spans="12:20">
      <c r="L5197" s="1179"/>
      <c r="M5197" s="1183"/>
      <c r="N5197" s="1183"/>
      <c r="O5197" s="1183"/>
      <c r="P5197" s="1201"/>
      <c r="Q5197" s="1201"/>
      <c r="R5197" s="1201"/>
      <c r="S5197" s="1201"/>
      <c r="T5197" s="1201"/>
    </row>
    <row r="5198" spans="12:20">
      <c r="L5198" s="1179"/>
      <c r="M5198" s="1183"/>
      <c r="N5198" s="1183"/>
      <c r="O5198" s="1183"/>
      <c r="P5198" s="1201"/>
      <c r="Q5198" s="1201"/>
      <c r="R5198" s="1201"/>
      <c r="S5198" s="1201"/>
      <c r="T5198" s="1201"/>
    </row>
    <row r="5199" spans="12:20">
      <c r="L5199" s="1179"/>
      <c r="M5199" s="1183"/>
      <c r="N5199" s="1183"/>
      <c r="O5199" s="1183"/>
      <c r="P5199" s="1201"/>
      <c r="Q5199" s="1201"/>
      <c r="R5199" s="1201"/>
      <c r="S5199" s="1201"/>
      <c r="T5199" s="1201"/>
    </row>
    <row r="5200" spans="12:20">
      <c r="L5200" s="1179"/>
      <c r="M5200" s="1183"/>
      <c r="N5200" s="1183"/>
      <c r="O5200" s="1183"/>
      <c r="P5200" s="1201"/>
      <c r="Q5200" s="1201"/>
      <c r="R5200" s="1201"/>
      <c r="S5200" s="1201"/>
      <c r="T5200" s="1201"/>
    </row>
    <row r="5201" spans="12:20">
      <c r="L5201" s="1179"/>
      <c r="M5201" s="1183"/>
      <c r="N5201" s="1183"/>
      <c r="O5201" s="1183"/>
      <c r="P5201" s="1201"/>
      <c r="Q5201" s="1201"/>
      <c r="R5201" s="1201"/>
      <c r="S5201" s="1201"/>
      <c r="T5201" s="1201"/>
    </row>
    <row r="5202" spans="12:20">
      <c r="L5202" s="1179"/>
      <c r="M5202" s="1183"/>
      <c r="N5202" s="1183"/>
      <c r="O5202" s="1183"/>
      <c r="P5202" s="1201"/>
      <c r="Q5202" s="1201"/>
      <c r="R5202" s="1201"/>
      <c r="S5202" s="1201"/>
      <c r="T5202" s="1201"/>
    </row>
    <row r="5203" spans="12:20">
      <c r="L5203" s="1179"/>
      <c r="M5203" s="1183"/>
      <c r="N5203" s="1183"/>
      <c r="O5203" s="1183"/>
      <c r="P5203" s="1201"/>
      <c r="Q5203" s="1201"/>
      <c r="R5203" s="1201"/>
      <c r="S5203" s="1201"/>
      <c r="T5203" s="1201"/>
    </row>
    <row r="5204" spans="12:20">
      <c r="L5204" s="1179"/>
      <c r="M5204" s="1183"/>
      <c r="N5204" s="1183"/>
      <c r="O5204" s="1183"/>
      <c r="P5204" s="1201"/>
      <c r="Q5204" s="1201"/>
      <c r="R5204" s="1201"/>
      <c r="S5204" s="1201"/>
      <c r="T5204" s="1201"/>
    </row>
    <row r="5205" spans="12:20">
      <c r="L5205" s="1179"/>
      <c r="M5205" s="1183"/>
      <c r="N5205" s="1183"/>
      <c r="O5205" s="1183"/>
      <c r="P5205" s="1201"/>
      <c r="Q5205" s="1201"/>
      <c r="R5205" s="1201"/>
      <c r="S5205" s="1201"/>
      <c r="T5205" s="1201"/>
    </row>
    <row r="5206" spans="12:20">
      <c r="L5206" s="1179"/>
      <c r="M5206" s="1183"/>
      <c r="N5206" s="1183"/>
      <c r="O5206" s="1183"/>
      <c r="P5206" s="1201"/>
      <c r="Q5206" s="1201"/>
      <c r="R5206" s="1201"/>
      <c r="S5206" s="1201"/>
      <c r="T5206" s="1201"/>
    </row>
    <row r="5207" spans="12:20">
      <c r="L5207" s="1179"/>
      <c r="M5207" s="1183"/>
      <c r="N5207" s="1183"/>
      <c r="O5207" s="1183"/>
      <c r="P5207" s="1201"/>
      <c r="Q5207" s="1201"/>
      <c r="R5207" s="1201"/>
      <c r="S5207" s="1201"/>
      <c r="T5207" s="1201"/>
    </row>
    <row r="5208" spans="12:20">
      <c r="L5208" s="1179"/>
      <c r="M5208" s="1183"/>
      <c r="N5208" s="1183"/>
      <c r="O5208" s="1183"/>
      <c r="P5208" s="1201"/>
      <c r="Q5208" s="1201"/>
      <c r="R5208" s="1201"/>
      <c r="S5208" s="1201"/>
      <c r="T5208" s="1201"/>
    </row>
    <row r="5209" spans="12:20">
      <c r="L5209" s="1179"/>
      <c r="M5209" s="1183"/>
      <c r="N5209" s="1183"/>
      <c r="O5209" s="1183"/>
      <c r="P5209" s="1201"/>
      <c r="Q5209" s="1201"/>
      <c r="R5209" s="1201"/>
      <c r="S5209" s="1201"/>
      <c r="T5209" s="1201"/>
    </row>
    <row r="5210" spans="12:20">
      <c r="L5210" s="1179"/>
      <c r="M5210" s="1183"/>
      <c r="N5210" s="1183"/>
      <c r="O5210" s="1183"/>
      <c r="P5210" s="1201"/>
      <c r="Q5210" s="1201"/>
      <c r="R5210" s="1201"/>
      <c r="S5210" s="1201"/>
      <c r="T5210" s="1201"/>
    </row>
    <row r="5211" spans="12:20">
      <c r="L5211" s="1179"/>
      <c r="M5211" s="1183"/>
      <c r="N5211" s="1183"/>
      <c r="O5211" s="1183"/>
      <c r="P5211" s="1201"/>
      <c r="Q5211" s="1201"/>
      <c r="R5211" s="1201"/>
      <c r="S5211" s="1201"/>
      <c r="T5211" s="1201"/>
    </row>
    <row r="5212" spans="12:20">
      <c r="L5212" s="1179"/>
      <c r="M5212" s="1183"/>
      <c r="N5212" s="1183"/>
      <c r="O5212" s="1183"/>
      <c r="P5212" s="1201"/>
      <c r="Q5212" s="1201"/>
      <c r="R5212" s="1201"/>
      <c r="S5212" s="1201"/>
      <c r="T5212" s="1201"/>
    </row>
    <row r="5213" spans="12:20">
      <c r="L5213" s="1179"/>
      <c r="M5213" s="1183"/>
      <c r="N5213" s="1183"/>
      <c r="O5213" s="1183"/>
      <c r="P5213" s="1201"/>
      <c r="Q5213" s="1201"/>
      <c r="R5213" s="1201"/>
      <c r="S5213" s="1201"/>
      <c r="T5213" s="1201"/>
    </row>
    <row r="5214" spans="12:20">
      <c r="L5214" s="1179"/>
      <c r="M5214" s="1183"/>
      <c r="N5214" s="1183"/>
      <c r="O5214" s="1183"/>
      <c r="P5214" s="1201"/>
      <c r="Q5214" s="1201"/>
      <c r="R5214" s="1201"/>
      <c r="S5214" s="1201"/>
      <c r="T5214" s="1201"/>
    </row>
    <row r="5215" spans="12:20">
      <c r="L5215" s="1179"/>
      <c r="M5215" s="1183"/>
      <c r="N5215" s="1183"/>
      <c r="O5215" s="1183"/>
      <c r="P5215" s="1201"/>
      <c r="Q5215" s="1201"/>
      <c r="R5215" s="1201"/>
      <c r="S5215" s="1201"/>
      <c r="T5215" s="1201"/>
    </row>
    <row r="5216" spans="12:20">
      <c r="L5216" s="1179"/>
      <c r="M5216" s="1183"/>
      <c r="N5216" s="1183"/>
      <c r="O5216" s="1183"/>
      <c r="P5216" s="1201"/>
      <c r="Q5216" s="1201"/>
      <c r="R5216" s="1201"/>
      <c r="S5216" s="1201"/>
      <c r="T5216" s="1201"/>
    </row>
    <row r="5217" spans="12:20">
      <c r="L5217" s="1179"/>
      <c r="M5217" s="1183"/>
      <c r="N5217" s="1183"/>
      <c r="O5217" s="1183"/>
      <c r="P5217" s="1201"/>
      <c r="Q5217" s="1201"/>
      <c r="R5217" s="1201"/>
      <c r="S5217" s="1201"/>
      <c r="T5217" s="1201"/>
    </row>
    <row r="5218" spans="12:20">
      <c r="L5218" s="1179"/>
      <c r="M5218" s="1183"/>
      <c r="N5218" s="1183"/>
      <c r="O5218" s="1183"/>
      <c r="P5218" s="1201"/>
      <c r="Q5218" s="1201"/>
      <c r="R5218" s="1201"/>
      <c r="S5218" s="1201"/>
      <c r="T5218" s="1201"/>
    </row>
    <row r="5219" spans="12:20">
      <c r="L5219" s="1179"/>
      <c r="M5219" s="1183"/>
      <c r="N5219" s="1183"/>
      <c r="O5219" s="1183"/>
      <c r="P5219" s="1201"/>
      <c r="Q5219" s="1201"/>
      <c r="R5219" s="1201"/>
      <c r="S5219" s="1201"/>
      <c r="T5219" s="1201"/>
    </row>
    <row r="5220" spans="12:20">
      <c r="L5220" s="1179"/>
      <c r="M5220" s="1183"/>
      <c r="N5220" s="1183"/>
      <c r="O5220" s="1183"/>
      <c r="P5220" s="1201"/>
      <c r="Q5220" s="1201"/>
      <c r="R5220" s="1201"/>
      <c r="S5220" s="1201"/>
      <c r="T5220" s="1201"/>
    </row>
    <row r="5221" spans="12:20">
      <c r="L5221" s="1179"/>
      <c r="M5221" s="1183"/>
      <c r="N5221" s="1183"/>
      <c r="O5221" s="1183"/>
      <c r="P5221" s="1201"/>
      <c r="Q5221" s="1201"/>
      <c r="R5221" s="1201"/>
      <c r="S5221" s="1201"/>
      <c r="T5221" s="1201"/>
    </row>
    <row r="5222" spans="12:20">
      <c r="L5222" s="1179"/>
      <c r="M5222" s="1183"/>
      <c r="N5222" s="1183"/>
      <c r="O5222" s="1183"/>
      <c r="P5222" s="1201"/>
      <c r="Q5222" s="1201"/>
      <c r="R5222" s="1201"/>
      <c r="S5222" s="1201"/>
      <c r="T5222" s="1201"/>
    </row>
    <row r="5223" spans="12:20">
      <c r="L5223" s="1179"/>
      <c r="M5223" s="1183"/>
      <c r="N5223" s="1183"/>
      <c r="O5223" s="1183"/>
      <c r="P5223" s="1201"/>
      <c r="Q5223" s="1201"/>
      <c r="R5223" s="1201"/>
      <c r="S5223" s="1201"/>
      <c r="T5223" s="1201"/>
    </row>
    <row r="5224" spans="12:20">
      <c r="L5224" s="1179"/>
      <c r="M5224" s="1183"/>
      <c r="N5224" s="1183"/>
      <c r="O5224" s="1183"/>
      <c r="P5224" s="1201"/>
      <c r="Q5224" s="1201"/>
      <c r="R5224" s="1201"/>
      <c r="S5224" s="1201"/>
      <c r="T5224" s="1201"/>
    </row>
    <row r="5225" spans="12:20">
      <c r="L5225" s="1179"/>
      <c r="M5225" s="1183"/>
      <c r="N5225" s="1183"/>
      <c r="O5225" s="1183"/>
      <c r="P5225" s="1201"/>
      <c r="Q5225" s="1201"/>
      <c r="R5225" s="1201"/>
      <c r="S5225" s="1201"/>
      <c r="T5225" s="1201"/>
    </row>
    <row r="5226" spans="12:20">
      <c r="L5226" s="1179"/>
      <c r="M5226" s="1183"/>
      <c r="N5226" s="1183"/>
      <c r="O5226" s="1183"/>
      <c r="P5226" s="1201"/>
      <c r="Q5226" s="1201"/>
      <c r="R5226" s="1201"/>
      <c r="S5226" s="1201"/>
      <c r="T5226" s="1201"/>
    </row>
    <row r="5227" spans="12:20">
      <c r="L5227" s="1179"/>
      <c r="M5227" s="1183"/>
      <c r="N5227" s="1183"/>
      <c r="O5227" s="1183"/>
      <c r="P5227" s="1201"/>
      <c r="Q5227" s="1201"/>
      <c r="R5227" s="1201"/>
      <c r="S5227" s="1201"/>
      <c r="T5227" s="1201"/>
    </row>
    <row r="5228" spans="12:20">
      <c r="L5228" s="1179"/>
      <c r="M5228" s="1183"/>
      <c r="N5228" s="1183"/>
      <c r="O5228" s="1183"/>
      <c r="P5228" s="1201"/>
      <c r="Q5228" s="1201"/>
      <c r="R5228" s="1201"/>
      <c r="S5228" s="1201"/>
      <c r="T5228" s="1201"/>
    </row>
    <row r="5229" spans="12:20">
      <c r="L5229" s="1179"/>
      <c r="M5229" s="1183"/>
      <c r="N5229" s="1183"/>
      <c r="O5229" s="1183"/>
      <c r="P5229" s="1201"/>
      <c r="Q5229" s="1201"/>
      <c r="R5229" s="1201"/>
      <c r="S5229" s="1201"/>
      <c r="T5229" s="1201"/>
    </row>
    <row r="5230" spans="12:20">
      <c r="L5230" s="1179"/>
      <c r="M5230" s="1183"/>
      <c r="N5230" s="1183"/>
      <c r="O5230" s="1183"/>
      <c r="P5230" s="1201"/>
      <c r="Q5230" s="1201"/>
      <c r="R5230" s="1201"/>
      <c r="S5230" s="1201"/>
      <c r="T5230" s="1201"/>
    </row>
    <row r="5231" spans="12:20">
      <c r="L5231" s="1179"/>
      <c r="M5231" s="1183"/>
      <c r="N5231" s="1183"/>
      <c r="O5231" s="1183"/>
      <c r="P5231" s="1201"/>
      <c r="Q5231" s="1201"/>
      <c r="R5231" s="1201"/>
      <c r="S5231" s="1201"/>
      <c r="T5231" s="1201"/>
    </row>
    <row r="5232" spans="12:20">
      <c r="L5232" s="1179"/>
      <c r="M5232" s="1183"/>
      <c r="N5232" s="1183"/>
      <c r="O5232" s="1183"/>
      <c r="P5232" s="1201"/>
      <c r="Q5232" s="1201"/>
      <c r="R5232" s="1201"/>
      <c r="S5232" s="1201"/>
      <c r="T5232" s="1201"/>
    </row>
    <row r="5233" spans="12:20">
      <c r="L5233" s="1179"/>
      <c r="M5233" s="1183"/>
      <c r="N5233" s="1183"/>
      <c r="O5233" s="1183"/>
      <c r="P5233" s="1201"/>
      <c r="Q5233" s="1201"/>
      <c r="R5233" s="1201"/>
      <c r="S5233" s="1201"/>
      <c r="T5233" s="1201"/>
    </row>
    <row r="5234" spans="12:20">
      <c r="L5234" s="1179"/>
      <c r="M5234" s="1183"/>
      <c r="N5234" s="1183"/>
      <c r="O5234" s="1183"/>
      <c r="P5234" s="1201"/>
      <c r="Q5234" s="1201"/>
      <c r="R5234" s="1201"/>
      <c r="S5234" s="1201"/>
      <c r="T5234" s="1201"/>
    </row>
    <row r="5235" spans="12:20">
      <c r="L5235" s="1179"/>
      <c r="M5235" s="1183"/>
      <c r="N5235" s="1183"/>
      <c r="O5235" s="1183"/>
      <c r="P5235" s="1201"/>
      <c r="Q5235" s="1201"/>
      <c r="R5235" s="1201"/>
      <c r="S5235" s="1201"/>
      <c r="T5235" s="1201"/>
    </row>
    <row r="5236" spans="12:20">
      <c r="L5236" s="1179"/>
      <c r="M5236" s="1183"/>
      <c r="N5236" s="1183"/>
      <c r="O5236" s="1183"/>
      <c r="P5236" s="1201"/>
      <c r="Q5236" s="1201"/>
      <c r="R5236" s="1201"/>
      <c r="S5236" s="1201"/>
      <c r="T5236" s="1201"/>
    </row>
    <row r="5237" spans="12:20">
      <c r="L5237" s="1179"/>
      <c r="M5237" s="1183"/>
      <c r="N5237" s="1183"/>
      <c r="O5237" s="1183"/>
      <c r="P5237" s="1201"/>
      <c r="Q5237" s="1201"/>
      <c r="R5237" s="1201"/>
      <c r="S5237" s="1201"/>
      <c r="T5237" s="1201"/>
    </row>
    <row r="5238" spans="12:20">
      <c r="L5238" s="1179"/>
      <c r="M5238" s="1183"/>
      <c r="N5238" s="1183"/>
      <c r="O5238" s="1183"/>
      <c r="P5238" s="1201"/>
      <c r="Q5238" s="1201"/>
      <c r="R5238" s="1201"/>
      <c r="S5238" s="1201"/>
      <c r="T5238" s="1201"/>
    </row>
    <row r="5239" spans="12:20">
      <c r="L5239" s="1179"/>
      <c r="M5239" s="1183"/>
      <c r="N5239" s="1183"/>
      <c r="O5239" s="1183"/>
      <c r="P5239" s="1201"/>
      <c r="Q5239" s="1201"/>
      <c r="R5239" s="1201"/>
      <c r="S5239" s="1201"/>
      <c r="T5239" s="1201"/>
    </row>
    <row r="5240" spans="12:20">
      <c r="L5240" s="1179"/>
      <c r="M5240" s="1183"/>
      <c r="N5240" s="1183"/>
      <c r="O5240" s="1183"/>
      <c r="P5240" s="1201"/>
      <c r="Q5240" s="1201"/>
      <c r="R5240" s="1201"/>
      <c r="S5240" s="1201"/>
      <c r="T5240" s="1201"/>
    </row>
    <row r="5241" spans="12:20">
      <c r="L5241" s="1179"/>
      <c r="M5241" s="1183"/>
      <c r="N5241" s="1183"/>
      <c r="O5241" s="1183"/>
      <c r="P5241" s="1201"/>
      <c r="Q5241" s="1201"/>
      <c r="R5241" s="1201"/>
      <c r="S5241" s="1201"/>
      <c r="T5241" s="1201"/>
    </row>
    <row r="5242" spans="12:20">
      <c r="L5242" s="1179"/>
      <c r="M5242" s="1183"/>
      <c r="N5242" s="1183"/>
      <c r="O5242" s="1183"/>
      <c r="P5242" s="1201"/>
      <c r="Q5242" s="1201"/>
      <c r="R5242" s="1201"/>
      <c r="S5242" s="1201"/>
      <c r="T5242" s="1201"/>
    </row>
    <row r="5243" spans="12:20">
      <c r="L5243" s="1179"/>
      <c r="M5243" s="1183"/>
      <c r="N5243" s="1183"/>
      <c r="O5243" s="1183"/>
      <c r="P5243" s="1201"/>
      <c r="Q5243" s="1201"/>
      <c r="R5243" s="1201"/>
      <c r="S5243" s="1201"/>
      <c r="T5243" s="1201"/>
    </row>
    <row r="5244" spans="12:20">
      <c r="L5244" s="1179"/>
      <c r="M5244" s="1183"/>
      <c r="N5244" s="1183"/>
      <c r="O5244" s="1183"/>
      <c r="P5244" s="1201"/>
      <c r="Q5244" s="1201"/>
      <c r="R5244" s="1201"/>
      <c r="S5244" s="1201"/>
      <c r="T5244" s="1201"/>
    </row>
    <row r="5245" spans="12:20">
      <c r="L5245" s="1179"/>
      <c r="M5245" s="1183"/>
      <c r="N5245" s="1183"/>
      <c r="O5245" s="1183"/>
      <c r="P5245" s="1201"/>
      <c r="Q5245" s="1201"/>
      <c r="R5245" s="1201"/>
      <c r="S5245" s="1201"/>
      <c r="T5245" s="1201"/>
    </row>
    <row r="5246" spans="12:20">
      <c r="L5246" s="1179"/>
      <c r="M5246" s="1183"/>
      <c r="N5246" s="1183"/>
      <c r="O5246" s="1183"/>
      <c r="P5246" s="1201"/>
      <c r="Q5246" s="1201"/>
      <c r="R5246" s="1201"/>
      <c r="S5246" s="1201"/>
      <c r="T5246" s="1201"/>
    </row>
    <row r="5247" spans="12:20">
      <c r="L5247" s="1179"/>
      <c r="M5247" s="1183"/>
      <c r="N5247" s="1183"/>
      <c r="O5247" s="1183"/>
      <c r="P5247" s="1201"/>
      <c r="Q5247" s="1201"/>
      <c r="R5247" s="1201"/>
      <c r="S5247" s="1201"/>
      <c r="T5247" s="1201"/>
    </row>
    <row r="5248" spans="12:20">
      <c r="L5248" s="1179"/>
      <c r="M5248" s="1183"/>
      <c r="N5248" s="1183"/>
      <c r="O5248" s="1183"/>
      <c r="P5248" s="1201"/>
      <c r="Q5248" s="1201"/>
      <c r="R5248" s="1201"/>
      <c r="S5248" s="1201"/>
      <c r="T5248" s="1201"/>
    </row>
    <row r="5249" spans="12:20">
      <c r="L5249" s="1179"/>
      <c r="M5249" s="1183"/>
      <c r="N5249" s="1183"/>
      <c r="O5249" s="1183"/>
      <c r="P5249" s="1201"/>
      <c r="Q5249" s="1201"/>
      <c r="R5249" s="1201"/>
      <c r="S5249" s="1201"/>
      <c r="T5249" s="1201"/>
    </row>
    <row r="5250" spans="12:20">
      <c r="L5250" s="1179"/>
      <c r="M5250" s="1183"/>
      <c r="N5250" s="1183"/>
      <c r="O5250" s="1183"/>
      <c r="P5250" s="1201"/>
      <c r="Q5250" s="1201"/>
      <c r="R5250" s="1201"/>
      <c r="S5250" s="1201"/>
      <c r="T5250" s="1201"/>
    </row>
    <row r="5251" spans="12:20">
      <c r="L5251" s="1179"/>
      <c r="M5251" s="1183"/>
      <c r="N5251" s="1183"/>
      <c r="O5251" s="1183"/>
      <c r="P5251" s="1201"/>
      <c r="Q5251" s="1201"/>
      <c r="R5251" s="1201"/>
      <c r="S5251" s="1201"/>
      <c r="T5251" s="1201"/>
    </row>
    <row r="5252" spans="12:20">
      <c r="L5252" s="1179"/>
      <c r="M5252" s="1183"/>
      <c r="N5252" s="1183"/>
      <c r="O5252" s="1183"/>
      <c r="P5252" s="1201"/>
      <c r="Q5252" s="1201"/>
      <c r="R5252" s="1201"/>
      <c r="S5252" s="1201"/>
      <c r="T5252" s="1201"/>
    </row>
    <row r="5253" spans="12:20">
      <c r="L5253" s="1179"/>
      <c r="M5253" s="1183"/>
      <c r="N5253" s="1183"/>
      <c r="O5253" s="1183"/>
      <c r="P5253" s="1201"/>
      <c r="Q5253" s="1201"/>
      <c r="R5253" s="1201"/>
      <c r="S5253" s="1201"/>
      <c r="T5253" s="1201"/>
    </row>
    <row r="5254" spans="12:20">
      <c r="L5254" s="1179"/>
      <c r="M5254" s="1183"/>
      <c r="N5254" s="1183"/>
      <c r="O5254" s="1183"/>
      <c r="P5254" s="1201"/>
      <c r="Q5254" s="1201"/>
      <c r="R5254" s="1201"/>
      <c r="S5254" s="1201"/>
      <c r="T5254" s="1201"/>
    </row>
    <row r="5255" spans="12:20">
      <c r="L5255" s="1179"/>
      <c r="M5255" s="1183"/>
      <c r="N5255" s="1183"/>
      <c r="O5255" s="1183"/>
      <c r="P5255" s="1201"/>
      <c r="Q5255" s="1201"/>
      <c r="R5255" s="1201"/>
      <c r="S5255" s="1201"/>
      <c r="T5255" s="1201"/>
    </row>
    <row r="5256" spans="12:20">
      <c r="L5256" s="1179"/>
      <c r="M5256" s="1183"/>
      <c r="N5256" s="1183"/>
      <c r="O5256" s="1183"/>
      <c r="P5256" s="1201"/>
      <c r="Q5256" s="1201"/>
      <c r="R5256" s="1201"/>
      <c r="S5256" s="1201"/>
      <c r="T5256" s="1201"/>
    </row>
    <row r="5257" spans="12:20">
      <c r="L5257" s="1179"/>
      <c r="M5257" s="1183"/>
      <c r="N5257" s="1183"/>
      <c r="O5257" s="1183"/>
      <c r="P5257" s="1201"/>
      <c r="Q5257" s="1201"/>
      <c r="R5257" s="1201"/>
      <c r="S5257" s="1201"/>
      <c r="T5257" s="1201"/>
    </row>
    <row r="5258" spans="12:20">
      <c r="L5258" s="1179"/>
      <c r="M5258" s="1183"/>
      <c r="N5258" s="1183"/>
      <c r="O5258" s="1183"/>
      <c r="P5258" s="1201"/>
      <c r="Q5258" s="1201"/>
      <c r="R5258" s="1201"/>
      <c r="S5258" s="1201"/>
      <c r="T5258" s="1201"/>
    </row>
    <row r="5259" spans="12:20">
      <c r="L5259" s="1179"/>
      <c r="M5259" s="1183"/>
      <c r="N5259" s="1183"/>
      <c r="O5259" s="1183"/>
      <c r="P5259" s="1201"/>
      <c r="Q5259" s="1201"/>
      <c r="R5259" s="1201"/>
      <c r="S5259" s="1201"/>
      <c r="T5259" s="1201"/>
    </row>
    <row r="5260" spans="12:20">
      <c r="L5260" s="1179"/>
      <c r="M5260" s="1183"/>
      <c r="N5260" s="1183"/>
      <c r="O5260" s="1183"/>
      <c r="P5260" s="1201"/>
      <c r="Q5260" s="1201"/>
      <c r="R5260" s="1201"/>
      <c r="S5260" s="1201"/>
      <c r="T5260" s="1201"/>
    </row>
    <row r="5261" spans="12:20">
      <c r="L5261" s="1179"/>
      <c r="M5261" s="1183"/>
      <c r="N5261" s="1183"/>
      <c r="O5261" s="1183"/>
      <c r="P5261" s="1201"/>
      <c r="Q5261" s="1201"/>
      <c r="R5261" s="1201"/>
      <c r="S5261" s="1201"/>
      <c r="T5261" s="1201"/>
    </row>
    <row r="5262" spans="12:20">
      <c r="L5262" s="1179"/>
      <c r="M5262" s="1183"/>
      <c r="N5262" s="1183"/>
      <c r="O5262" s="1183"/>
      <c r="P5262" s="1201"/>
      <c r="Q5262" s="1201"/>
      <c r="R5262" s="1201"/>
      <c r="S5262" s="1201"/>
      <c r="T5262" s="1201"/>
    </row>
    <row r="5263" spans="12:20">
      <c r="L5263" s="1179"/>
      <c r="M5263" s="1183"/>
      <c r="N5263" s="1183"/>
      <c r="O5263" s="1183"/>
      <c r="P5263" s="1201"/>
      <c r="Q5263" s="1201"/>
      <c r="R5263" s="1201"/>
      <c r="S5263" s="1201"/>
      <c r="T5263" s="1201"/>
    </row>
    <row r="5264" spans="12:20">
      <c r="L5264" s="1179"/>
      <c r="M5264" s="1183"/>
      <c r="N5264" s="1183"/>
      <c r="O5264" s="1183"/>
      <c r="P5264" s="1201"/>
      <c r="Q5264" s="1201"/>
      <c r="R5264" s="1201"/>
      <c r="S5264" s="1201"/>
      <c r="T5264" s="1201"/>
    </row>
    <row r="5265" spans="12:20">
      <c r="L5265" s="1179"/>
      <c r="M5265" s="1183"/>
      <c r="N5265" s="1183"/>
      <c r="O5265" s="1183"/>
      <c r="P5265" s="1201"/>
      <c r="Q5265" s="1201"/>
      <c r="R5265" s="1201"/>
      <c r="S5265" s="1201"/>
      <c r="T5265" s="1201"/>
    </row>
    <row r="5266" spans="12:20">
      <c r="L5266" s="1179"/>
      <c r="M5266" s="1183"/>
      <c r="N5266" s="1183"/>
      <c r="O5266" s="1183"/>
      <c r="P5266" s="1201"/>
      <c r="Q5266" s="1201"/>
      <c r="R5266" s="1201"/>
      <c r="S5266" s="1201"/>
      <c r="T5266" s="1201"/>
    </row>
    <row r="5267" spans="12:20">
      <c r="L5267" s="1179"/>
      <c r="M5267" s="1183"/>
      <c r="N5267" s="1183"/>
      <c r="O5267" s="1183"/>
      <c r="P5267" s="1201"/>
      <c r="Q5267" s="1201"/>
      <c r="R5267" s="1201"/>
      <c r="S5267" s="1201"/>
      <c r="T5267" s="1201"/>
    </row>
    <row r="5268" spans="12:20">
      <c r="L5268" s="1179"/>
      <c r="M5268" s="1183"/>
      <c r="N5268" s="1183"/>
      <c r="O5268" s="1183"/>
      <c r="P5268" s="1201"/>
      <c r="Q5268" s="1201"/>
      <c r="R5268" s="1201"/>
      <c r="S5268" s="1201"/>
      <c r="T5268" s="1201"/>
    </row>
    <row r="5269" spans="12:20">
      <c r="L5269" s="1179"/>
      <c r="M5269" s="1183"/>
      <c r="N5269" s="1183"/>
      <c r="O5269" s="1183"/>
      <c r="P5269" s="1201"/>
      <c r="Q5269" s="1201"/>
      <c r="R5269" s="1201"/>
      <c r="S5269" s="1201"/>
      <c r="T5269" s="1201"/>
    </row>
    <row r="5270" spans="12:20">
      <c r="L5270" s="1179"/>
      <c r="M5270" s="1183"/>
      <c r="N5270" s="1183"/>
      <c r="O5270" s="1183"/>
      <c r="P5270" s="1201"/>
      <c r="Q5270" s="1201"/>
      <c r="R5270" s="1201"/>
      <c r="S5270" s="1201"/>
      <c r="T5270" s="1201"/>
    </row>
    <row r="5271" spans="12:20">
      <c r="L5271" s="1179"/>
      <c r="M5271" s="1183"/>
      <c r="N5271" s="1183"/>
      <c r="O5271" s="1183"/>
      <c r="P5271" s="1201"/>
      <c r="Q5271" s="1201"/>
      <c r="R5271" s="1201"/>
      <c r="S5271" s="1201"/>
      <c r="T5271" s="1201"/>
    </row>
    <row r="5272" spans="12:20">
      <c r="L5272" s="1179"/>
      <c r="M5272" s="1183"/>
      <c r="N5272" s="1183"/>
      <c r="O5272" s="1183"/>
      <c r="P5272" s="1201"/>
      <c r="Q5272" s="1201"/>
      <c r="R5272" s="1201"/>
      <c r="S5272" s="1201"/>
      <c r="T5272" s="1201"/>
    </row>
    <row r="5273" spans="12:20">
      <c r="L5273" s="1179"/>
      <c r="M5273" s="1183"/>
      <c r="N5273" s="1183"/>
      <c r="O5273" s="1183"/>
      <c r="P5273" s="1201"/>
      <c r="Q5273" s="1201"/>
      <c r="R5273" s="1201"/>
      <c r="S5273" s="1201"/>
      <c r="T5273" s="1201"/>
    </row>
    <row r="5274" spans="12:20">
      <c r="L5274" s="1179"/>
      <c r="M5274" s="1183"/>
      <c r="N5274" s="1183"/>
      <c r="O5274" s="1183"/>
      <c r="P5274" s="1201"/>
      <c r="Q5274" s="1201"/>
      <c r="R5274" s="1201"/>
      <c r="S5274" s="1201"/>
      <c r="T5274" s="1201"/>
    </row>
    <row r="5275" spans="12:20">
      <c r="L5275" s="1179"/>
      <c r="M5275" s="1183"/>
      <c r="N5275" s="1183"/>
      <c r="O5275" s="1183"/>
      <c r="P5275" s="1201"/>
      <c r="Q5275" s="1201"/>
      <c r="R5275" s="1201"/>
      <c r="S5275" s="1201"/>
      <c r="T5275" s="1201"/>
    </row>
    <row r="5276" spans="12:20">
      <c r="L5276" s="1179"/>
      <c r="M5276" s="1183"/>
      <c r="N5276" s="1183"/>
      <c r="O5276" s="1183"/>
      <c r="P5276" s="1201"/>
      <c r="Q5276" s="1201"/>
      <c r="R5276" s="1201"/>
      <c r="S5276" s="1201"/>
      <c r="T5276" s="1201"/>
    </row>
    <row r="5277" spans="12:20">
      <c r="L5277" s="1179"/>
      <c r="M5277" s="1183"/>
      <c r="N5277" s="1183"/>
      <c r="O5277" s="1183"/>
      <c r="P5277" s="1201"/>
      <c r="Q5277" s="1201"/>
      <c r="R5277" s="1201"/>
      <c r="S5277" s="1201"/>
      <c r="T5277" s="1201"/>
    </row>
    <row r="5278" spans="12:20">
      <c r="L5278" s="1179"/>
      <c r="M5278" s="1183"/>
      <c r="N5278" s="1183"/>
      <c r="O5278" s="1183"/>
      <c r="P5278" s="1201"/>
      <c r="Q5278" s="1201"/>
      <c r="R5278" s="1201"/>
      <c r="S5278" s="1201"/>
      <c r="T5278" s="1201"/>
    </row>
    <row r="5279" spans="12:20">
      <c r="L5279" s="1179"/>
      <c r="M5279" s="1183"/>
      <c r="N5279" s="1183"/>
      <c r="O5279" s="1183"/>
      <c r="P5279" s="1201"/>
      <c r="Q5279" s="1201"/>
      <c r="R5279" s="1201"/>
      <c r="S5279" s="1201"/>
      <c r="T5279" s="1201"/>
    </row>
    <row r="5280" spans="12:20">
      <c r="L5280" s="1179"/>
      <c r="M5280" s="1183"/>
      <c r="N5280" s="1183"/>
      <c r="O5280" s="1183"/>
      <c r="P5280" s="1201"/>
      <c r="Q5280" s="1201"/>
      <c r="R5280" s="1201"/>
      <c r="S5280" s="1201"/>
      <c r="T5280" s="1201"/>
    </row>
    <row r="5281" spans="12:20">
      <c r="L5281" s="1179"/>
      <c r="M5281" s="1183"/>
      <c r="N5281" s="1183"/>
      <c r="O5281" s="1183"/>
      <c r="P5281" s="1201"/>
      <c r="Q5281" s="1201"/>
      <c r="R5281" s="1201"/>
      <c r="S5281" s="1201"/>
      <c r="T5281" s="1201"/>
    </row>
    <row r="5282" spans="12:20">
      <c r="L5282" s="1179"/>
      <c r="M5282" s="1183"/>
      <c r="N5282" s="1183"/>
      <c r="O5282" s="1183"/>
      <c r="P5282" s="1201"/>
      <c r="Q5282" s="1201"/>
      <c r="R5282" s="1201"/>
      <c r="S5282" s="1201"/>
      <c r="T5282" s="1201"/>
    </row>
    <row r="5283" spans="12:20">
      <c r="L5283" s="1179"/>
      <c r="M5283" s="1183"/>
      <c r="N5283" s="1183"/>
      <c r="O5283" s="1183"/>
      <c r="P5283" s="1201"/>
      <c r="Q5283" s="1201"/>
      <c r="R5283" s="1201"/>
      <c r="S5283" s="1201"/>
      <c r="T5283" s="1201"/>
    </row>
    <row r="5284" spans="12:20">
      <c r="L5284" s="1179"/>
      <c r="M5284" s="1183"/>
      <c r="N5284" s="1183"/>
      <c r="O5284" s="1183"/>
      <c r="P5284" s="1201"/>
      <c r="Q5284" s="1201"/>
      <c r="R5284" s="1201"/>
      <c r="S5284" s="1201"/>
      <c r="T5284" s="1201"/>
    </row>
    <row r="5285" spans="12:20">
      <c r="L5285" s="1179"/>
      <c r="M5285" s="1183"/>
      <c r="N5285" s="1183"/>
      <c r="O5285" s="1183"/>
      <c r="P5285" s="1201"/>
      <c r="Q5285" s="1201"/>
      <c r="R5285" s="1201"/>
      <c r="S5285" s="1201"/>
      <c r="T5285" s="1201"/>
    </row>
    <row r="5286" spans="12:20">
      <c r="L5286" s="1179"/>
      <c r="M5286" s="1183"/>
      <c r="N5286" s="1183"/>
      <c r="O5286" s="1183"/>
      <c r="P5286" s="1201"/>
      <c r="Q5286" s="1201"/>
      <c r="R5286" s="1201"/>
      <c r="S5286" s="1201"/>
      <c r="T5286" s="1201"/>
    </row>
    <row r="5287" spans="12:20">
      <c r="L5287" s="1179"/>
      <c r="M5287" s="1183"/>
      <c r="N5287" s="1183"/>
      <c r="O5287" s="1183"/>
      <c r="P5287" s="1201"/>
      <c r="Q5287" s="1201"/>
      <c r="R5287" s="1201"/>
      <c r="S5287" s="1201"/>
      <c r="T5287" s="1201"/>
    </row>
    <row r="5288" spans="12:20">
      <c r="L5288" s="1179"/>
      <c r="M5288" s="1183"/>
      <c r="N5288" s="1183"/>
      <c r="O5288" s="1183"/>
      <c r="P5288" s="1201"/>
      <c r="Q5288" s="1201"/>
      <c r="R5288" s="1201"/>
      <c r="S5288" s="1201"/>
      <c r="T5288" s="1201"/>
    </row>
    <row r="5289" spans="12:20">
      <c r="L5289" s="1179"/>
      <c r="M5289" s="1183"/>
      <c r="N5289" s="1183"/>
      <c r="O5289" s="1183"/>
      <c r="P5289" s="1201"/>
      <c r="Q5289" s="1201"/>
      <c r="R5289" s="1201"/>
      <c r="S5289" s="1201"/>
      <c r="T5289" s="1201"/>
    </row>
    <row r="5290" spans="12:20">
      <c r="L5290" s="1179"/>
      <c r="M5290" s="1183"/>
      <c r="N5290" s="1183"/>
      <c r="O5290" s="1183"/>
      <c r="P5290" s="1201"/>
      <c r="Q5290" s="1201"/>
      <c r="R5290" s="1201"/>
      <c r="S5290" s="1201"/>
      <c r="T5290" s="1201"/>
    </row>
    <row r="5291" spans="12:20">
      <c r="L5291" s="1179"/>
      <c r="M5291" s="1183"/>
      <c r="N5291" s="1183"/>
      <c r="O5291" s="1183"/>
      <c r="P5291" s="1201"/>
      <c r="Q5291" s="1201"/>
      <c r="R5291" s="1201"/>
      <c r="S5291" s="1201"/>
      <c r="T5291" s="1201"/>
    </row>
    <row r="5292" spans="12:20">
      <c r="L5292" s="1179"/>
      <c r="M5292" s="1183"/>
      <c r="N5292" s="1183"/>
      <c r="O5292" s="1183"/>
      <c r="P5292" s="1201"/>
      <c r="Q5292" s="1201"/>
      <c r="R5292" s="1201"/>
      <c r="S5292" s="1201"/>
      <c r="T5292" s="1201"/>
    </row>
    <row r="5293" spans="12:20">
      <c r="L5293" s="1179"/>
      <c r="M5293" s="1183"/>
      <c r="N5293" s="1183"/>
      <c r="O5293" s="1183"/>
      <c r="P5293" s="1201"/>
      <c r="Q5293" s="1201"/>
      <c r="R5293" s="1201"/>
      <c r="S5293" s="1201"/>
      <c r="T5293" s="1201"/>
    </row>
    <row r="5294" spans="12:20">
      <c r="L5294" s="1179"/>
      <c r="M5294" s="1183"/>
      <c r="N5294" s="1183"/>
      <c r="O5294" s="1183"/>
      <c r="P5294" s="1201"/>
      <c r="Q5294" s="1201"/>
      <c r="R5294" s="1201"/>
      <c r="S5294" s="1201"/>
      <c r="T5294" s="1201"/>
    </row>
    <row r="5295" spans="12:20">
      <c r="L5295" s="1179"/>
      <c r="M5295" s="1183"/>
      <c r="N5295" s="1183"/>
      <c r="O5295" s="1183"/>
      <c r="P5295" s="1201"/>
      <c r="Q5295" s="1201"/>
      <c r="R5295" s="1201"/>
      <c r="S5295" s="1201"/>
      <c r="T5295" s="1201"/>
    </row>
    <row r="5296" spans="12:20">
      <c r="L5296" s="1179"/>
      <c r="M5296" s="1183"/>
      <c r="N5296" s="1183"/>
      <c r="O5296" s="1183"/>
      <c r="P5296" s="1201"/>
      <c r="Q5296" s="1201"/>
      <c r="R5296" s="1201"/>
      <c r="S5296" s="1201"/>
      <c r="T5296" s="1201"/>
    </row>
    <row r="5297" spans="12:20">
      <c r="L5297" s="1179"/>
      <c r="M5297" s="1183"/>
      <c r="N5297" s="1183"/>
      <c r="O5297" s="1183"/>
      <c r="P5297" s="1201"/>
      <c r="Q5297" s="1201"/>
      <c r="R5297" s="1201"/>
      <c r="S5297" s="1201"/>
      <c r="T5297" s="1201"/>
    </row>
    <row r="5298" spans="12:20">
      <c r="L5298" s="1179"/>
      <c r="M5298" s="1183"/>
      <c r="N5298" s="1183"/>
      <c r="O5298" s="1183"/>
      <c r="P5298" s="1201"/>
      <c r="Q5298" s="1201"/>
      <c r="R5298" s="1201"/>
      <c r="S5298" s="1201"/>
      <c r="T5298" s="1201"/>
    </row>
    <row r="5299" spans="12:20">
      <c r="L5299" s="1179"/>
      <c r="M5299" s="1183"/>
      <c r="N5299" s="1183"/>
      <c r="O5299" s="1183"/>
      <c r="P5299" s="1201"/>
      <c r="Q5299" s="1201"/>
      <c r="R5299" s="1201"/>
      <c r="S5299" s="1201"/>
      <c r="T5299" s="1201"/>
    </row>
    <row r="5300" spans="12:20">
      <c r="L5300" s="1179"/>
      <c r="M5300" s="1183"/>
      <c r="N5300" s="1183"/>
      <c r="O5300" s="1183"/>
      <c r="P5300" s="1201"/>
      <c r="Q5300" s="1201"/>
      <c r="R5300" s="1201"/>
      <c r="S5300" s="1201"/>
      <c r="T5300" s="1201"/>
    </row>
    <row r="5301" spans="12:20">
      <c r="L5301" s="1179"/>
      <c r="M5301" s="1183"/>
      <c r="N5301" s="1183"/>
      <c r="O5301" s="1183"/>
      <c r="P5301" s="1201"/>
      <c r="Q5301" s="1201"/>
      <c r="R5301" s="1201"/>
      <c r="S5301" s="1201"/>
      <c r="T5301" s="1201"/>
    </row>
    <row r="5302" spans="12:20">
      <c r="L5302" s="1179"/>
      <c r="M5302" s="1183"/>
      <c r="N5302" s="1183"/>
      <c r="O5302" s="1183"/>
      <c r="P5302" s="1201"/>
      <c r="Q5302" s="1201"/>
      <c r="R5302" s="1201"/>
      <c r="S5302" s="1201"/>
      <c r="T5302" s="1201"/>
    </row>
    <row r="5303" spans="12:20">
      <c r="L5303" s="1179"/>
      <c r="M5303" s="1183"/>
      <c r="N5303" s="1183"/>
      <c r="O5303" s="1183"/>
      <c r="P5303" s="1201"/>
      <c r="Q5303" s="1201"/>
      <c r="R5303" s="1201"/>
      <c r="S5303" s="1201"/>
      <c r="T5303" s="1201"/>
    </row>
    <row r="5304" spans="12:20">
      <c r="L5304" s="1179"/>
      <c r="M5304" s="1183"/>
      <c r="N5304" s="1183"/>
      <c r="O5304" s="1183"/>
      <c r="P5304" s="1201"/>
      <c r="Q5304" s="1201"/>
      <c r="R5304" s="1201"/>
      <c r="S5304" s="1201"/>
      <c r="T5304" s="1201"/>
    </row>
    <row r="5305" spans="12:20">
      <c r="L5305" s="1179"/>
      <c r="M5305" s="1183"/>
      <c r="N5305" s="1183"/>
      <c r="O5305" s="1183"/>
      <c r="P5305" s="1201"/>
      <c r="Q5305" s="1201"/>
      <c r="R5305" s="1201"/>
      <c r="S5305" s="1201"/>
      <c r="T5305" s="1201"/>
    </row>
    <row r="5306" spans="12:20">
      <c r="L5306" s="1179"/>
      <c r="M5306" s="1183"/>
      <c r="N5306" s="1183"/>
      <c r="O5306" s="1183"/>
      <c r="P5306" s="1201"/>
      <c r="Q5306" s="1201"/>
      <c r="R5306" s="1201"/>
      <c r="S5306" s="1201"/>
      <c r="T5306" s="1201"/>
    </row>
    <row r="5307" spans="12:20">
      <c r="L5307" s="1179"/>
      <c r="M5307" s="1183"/>
      <c r="N5307" s="1183"/>
      <c r="O5307" s="1183"/>
      <c r="P5307" s="1201"/>
      <c r="Q5307" s="1201"/>
      <c r="R5307" s="1201"/>
      <c r="S5307" s="1201"/>
      <c r="T5307" s="1201"/>
    </row>
    <row r="5308" spans="12:20">
      <c r="L5308" s="1179"/>
      <c r="M5308" s="1183"/>
      <c r="N5308" s="1183"/>
      <c r="O5308" s="1183"/>
      <c r="P5308" s="1201"/>
      <c r="Q5308" s="1201"/>
      <c r="R5308" s="1201"/>
      <c r="S5308" s="1201"/>
      <c r="T5308" s="1201"/>
    </row>
    <row r="5309" spans="12:20">
      <c r="L5309" s="1179"/>
      <c r="M5309" s="1183"/>
      <c r="N5309" s="1183"/>
      <c r="O5309" s="1183"/>
      <c r="P5309" s="1201"/>
      <c r="Q5309" s="1201"/>
      <c r="R5309" s="1201"/>
      <c r="S5309" s="1201"/>
      <c r="T5309" s="1201"/>
    </row>
    <row r="5310" spans="12:20">
      <c r="L5310" s="1179"/>
      <c r="M5310" s="1183"/>
      <c r="N5310" s="1183"/>
      <c r="O5310" s="1183"/>
      <c r="P5310" s="1201"/>
      <c r="Q5310" s="1201"/>
      <c r="R5310" s="1201"/>
      <c r="S5310" s="1201"/>
      <c r="T5310" s="1201"/>
    </row>
    <row r="5311" spans="12:20">
      <c r="L5311" s="1179"/>
      <c r="M5311" s="1183"/>
      <c r="N5311" s="1183"/>
      <c r="O5311" s="1183"/>
      <c r="P5311" s="1201"/>
      <c r="Q5311" s="1201"/>
      <c r="R5311" s="1201"/>
      <c r="S5311" s="1201"/>
      <c r="T5311" s="1201"/>
    </row>
    <row r="5312" spans="12:20">
      <c r="L5312" s="1179"/>
      <c r="M5312" s="1183"/>
      <c r="N5312" s="1183"/>
      <c r="O5312" s="1183"/>
      <c r="P5312" s="1201"/>
      <c r="Q5312" s="1201"/>
      <c r="R5312" s="1201"/>
      <c r="S5312" s="1201"/>
      <c r="T5312" s="1201"/>
    </row>
    <row r="5313" spans="12:20">
      <c r="L5313" s="1179"/>
      <c r="M5313" s="1183"/>
      <c r="N5313" s="1183"/>
      <c r="O5313" s="1183"/>
      <c r="P5313" s="1201"/>
      <c r="Q5313" s="1201"/>
      <c r="R5313" s="1201"/>
      <c r="S5313" s="1201"/>
      <c r="T5313" s="1201"/>
    </row>
    <row r="5314" spans="12:20">
      <c r="L5314" s="1179"/>
      <c r="M5314" s="1183"/>
      <c r="N5314" s="1183"/>
      <c r="O5314" s="1183"/>
      <c r="P5314" s="1201"/>
      <c r="Q5314" s="1201"/>
      <c r="R5314" s="1201"/>
      <c r="S5314" s="1201"/>
      <c r="T5314" s="1201"/>
    </row>
    <row r="5315" spans="12:20">
      <c r="L5315" s="1179"/>
      <c r="M5315" s="1183"/>
      <c r="N5315" s="1183"/>
      <c r="O5315" s="1183"/>
      <c r="P5315" s="1201"/>
      <c r="Q5315" s="1201"/>
      <c r="R5315" s="1201"/>
      <c r="S5315" s="1201"/>
      <c r="T5315" s="1201"/>
    </row>
    <row r="5316" spans="12:20">
      <c r="L5316" s="1179"/>
      <c r="M5316" s="1183"/>
      <c r="N5316" s="1183"/>
      <c r="O5316" s="1183"/>
      <c r="P5316" s="1201"/>
      <c r="Q5316" s="1201"/>
      <c r="R5316" s="1201"/>
      <c r="S5316" s="1201"/>
      <c r="T5316" s="1201"/>
    </row>
    <row r="5317" spans="12:20">
      <c r="L5317" s="1179"/>
      <c r="M5317" s="1183"/>
      <c r="N5317" s="1183"/>
      <c r="O5317" s="1183"/>
      <c r="P5317" s="1201"/>
      <c r="Q5317" s="1201"/>
      <c r="R5317" s="1201"/>
      <c r="S5317" s="1201"/>
      <c r="T5317" s="1201"/>
    </row>
    <row r="5318" spans="12:20">
      <c r="L5318" s="1179"/>
      <c r="M5318" s="1183"/>
      <c r="N5318" s="1183"/>
      <c r="O5318" s="1183"/>
      <c r="P5318" s="1201"/>
      <c r="Q5318" s="1201"/>
      <c r="R5318" s="1201"/>
      <c r="S5318" s="1201"/>
      <c r="T5318" s="1201"/>
    </row>
    <row r="5319" spans="12:20">
      <c r="L5319" s="1179"/>
      <c r="M5319" s="1183"/>
      <c r="N5319" s="1183"/>
      <c r="O5319" s="1183"/>
      <c r="P5319" s="1201"/>
      <c r="Q5319" s="1201"/>
      <c r="R5319" s="1201"/>
      <c r="S5319" s="1201"/>
      <c r="T5319" s="1201"/>
    </row>
    <row r="5320" spans="12:20">
      <c r="L5320" s="1179"/>
      <c r="M5320" s="1183"/>
      <c r="N5320" s="1183"/>
      <c r="O5320" s="1183"/>
      <c r="P5320" s="1201"/>
      <c r="Q5320" s="1201"/>
      <c r="R5320" s="1201"/>
      <c r="S5320" s="1201"/>
      <c r="T5320" s="1201"/>
    </row>
    <row r="5321" spans="12:20">
      <c r="L5321" s="1179"/>
      <c r="M5321" s="1183"/>
      <c r="N5321" s="1183"/>
      <c r="O5321" s="1183"/>
      <c r="P5321" s="1201"/>
      <c r="Q5321" s="1201"/>
      <c r="R5321" s="1201"/>
      <c r="S5321" s="1201"/>
      <c r="T5321" s="1201"/>
    </row>
    <row r="5322" spans="12:20">
      <c r="L5322" s="1179"/>
      <c r="M5322" s="1183"/>
      <c r="N5322" s="1183"/>
      <c r="O5322" s="1183"/>
      <c r="P5322" s="1201"/>
      <c r="Q5322" s="1201"/>
      <c r="R5322" s="1201"/>
      <c r="S5322" s="1201"/>
      <c r="T5322" s="1201"/>
    </row>
    <row r="5323" spans="12:20">
      <c r="L5323" s="1179"/>
      <c r="M5323" s="1183"/>
      <c r="N5323" s="1183"/>
      <c r="O5323" s="1183"/>
      <c r="P5323" s="1201"/>
      <c r="Q5323" s="1201"/>
      <c r="R5323" s="1201"/>
      <c r="S5323" s="1201"/>
      <c r="T5323" s="1201"/>
    </row>
    <row r="5324" spans="12:20">
      <c r="L5324" s="1179"/>
      <c r="M5324" s="1183"/>
      <c r="N5324" s="1183"/>
      <c r="O5324" s="1183"/>
      <c r="P5324" s="1201"/>
      <c r="Q5324" s="1201"/>
      <c r="R5324" s="1201"/>
      <c r="S5324" s="1201"/>
      <c r="T5324" s="1201"/>
    </row>
    <row r="5325" spans="12:20">
      <c r="L5325" s="1179"/>
      <c r="M5325" s="1183"/>
      <c r="N5325" s="1183"/>
      <c r="O5325" s="1183"/>
      <c r="P5325" s="1201"/>
      <c r="Q5325" s="1201"/>
      <c r="R5325" s="1201"/>
      <c r="S5325" s="1201"/>
      <c r="T5325" s="1201"/>
    </row>
    <row r="5326" spans="12:20">
      <c r="L5326" s="1179"/>
      <c r="M5326" s="1183"/>
      <c r="N5326" s="1183"/>
      <c r="O5326" s="1183"/>
      <c r="P5326" s="1201"/>
      <c r="Q5326" s="1201"/>
      <c r="R5326" s="1201"/>
      <c r="S5326" s="1201"/>
      <c r="T5326" s="1201"/>
    </row>
    <row r="5327" spans="12:20">
      <c r="L5327" s="1179"/>
      <c r="M5327" s="1183"/>
      <c r="N5327" s="1183"/>
      <c r="O5327" s="1183"/>
      <c r="P5327" s="1201"/>
      <c r="Q5327" s="1201"/>
      <c r="R5327" s="1201"/>
      <c r="S5327" s="1201"/>
      <c r="T5327" s="1201"/>
    </row>
    <row r="5328" spans="12:20">
      <c r="L5328" s="1179"/>
      <c r="M5328" s="1183"/>
      <c r="N5328" s="1183"/>
      <c r="O5328" s="1183"/>
      <c r="P5328" s="1201"/>
      <c r="Q5328" s="1201"/>
      <c r="R5328" s="1201"/>
      <c r="S5328" s="1201"/>
      <c r="T5328" s="1201"/>
    </row>
    <row r="5329" spans="12:20">
      <c r="L5329" s="1179"/>
      <c r="M5329" s="1183"/>
      <c r="N5329" s="1183"/>
      <c r="O5329" s="1183"/>
      <c r="P5329" s="1201"/>
      <c r="Q5329" s="1201"/>
      <c r="R5329" s="1201"/>
      <c r="S5329" s="1201"/>
      <c r="T5329" s="1201"/>
    </row>
    <row r="5330" spans="12:20">
      <c r="L5330" s="1179"/>
      <c r="M5330" s="1183"/>
      <c r="N5330" s="1183"/>
      <c r="O5330" s="1183"/>
      <c r="P5330" s="1201"/>
      <c r="Q5330" s="1201"/>
      <c r="R5330" s="1201"/>
      <c r="S5330" s="1201"/>
      <c r="T5330" s="1201"/>
    </row>
    <row r="5331" spans="12:20">
      <c r="L5331" s="1179"/>
      <c r="M5331" s="1183"/>
      <c r="N5331" s="1183"/>
      <c r="O5331" s="1183"/>
      <c r="P5331" s="1201"/>
      <c r="Q5331" s="1201"/>
      <c r="R5331" s="1201"/>
      <c r="S5331" s="1201"/>
      <c r="T5331" s="1201"/>
    </row>
    <row r="5332" spans="12:20">
      <c r="L5332" s="1179"/>
      <c r="M5332" s="1183"/>
      <c r="N5332" s="1183"/>
      <c r="O5332" s="1183"/>
      <c r="P5332" s="1201"/>
      <c r="Q5332" s="1201"/>
      <c r="R5332" s="1201"/>
      <c r="S5332" s="1201"/>
      <c r="T5332" s="1201"/>
    </row>
    <row r="5333" spans="12:20">
      <c r="L5333" s="1179"/>
      <c r="M5333" s="1183"/>
      <c r="N5333" s="1183"/>
      <c r="O5333" s="1183"/>
      <c r="P5333" s="1201"/>
      <c r="Q5333" s="1201"/>
      <c r="R5333" s="1201"/>
      <c r="S5333" s="1201"/>
      <c r="T5333" s="1201"/>
    </row>
    <row r="5334" spans="12:20">
      <c r="L5334" s="1179"/>
      <c r="M5334" s="1183"/>
      <c r="N5334" s="1183"/>
      <c r="O5334" s="1183"/>
      <c r="P5334" s="1201"/>
      <c r="Q5334" s="1201"/>
      <c r="R5334" s="1201"/>
      <c r="S5334" s="1201"/>
      <c r="T5334" s="1201"/>
    </row>
    <row r="5335" spans="12:20">
      <c r="L5335" s="1179"/>
      <c r="M5335" s="1183"/>
      <c r="N5335" s="1183"/>
      <c r="O5335" s="1183"/>
      <c r="P5335" s="1201"/>
      <c r="Q5335" s="1201"/>
      <c r="R5335" s="1201"/>
      <c r="S5335" s="1201"/>
      <c r="T5335" s="1201"/>
    </row>
    <row r="5336" spans="12:20">
      <c r="L5336" s="1179"/>
      <c r="M5336" s="1183"/>
      <c r="N5336" s="1183"/>
      <c r="O5336" s="1183"/>
      <c r="P5336" s="1201"/>
      <c r="Q5336" s="1201"/>
      <c r="R5336" s="1201"/>
      <c r="S5336" s="1201"/>
      <c r="T5336" s="1201"/>
    </row>
    <row r="5337" spans="12:20">
      <c r="L5337" s="1179"/>
      <c r="M5337" s="1183"/>
      <c r="N5337" s="1183"/>
      <c r="O5337" s="1183"/>
      <c r="P5337" s="1201"/>
      <c r="Q5337" s="1201"/>
      <c r="R5337" s="1201"/>
      <c r="S5337" s="1201"/>
      <c r="T5337" s="1201"/>
    </row>
    <row r="5338" spans="12:20">
      <c r="L5338" s="1179"/>
      <c r="M5338" s="1183"/>
      <c r="N5338" s="1183"/>
      <c r="O5338" s="1183"/>
      <c r="P5338" s="1201"/>
      <c r="Q5338" s="1201"/>
      <c r="R5338" s="1201"/>
      <c r="S5338" s="1201"/>
      <c r="T5338" s="1201"/>
    </row>
    <row r="5339" spans="12:20">
      <c r="L5339" s="1179"/>
      <c r="M5339" s="1183"/>
      <c r="N5339" s="1183"/>
      <c r="O5339" s="1183"/>
      <c r="P5339" s="1201"/>
      <c r="Q5339" s="1201"/>
      <c r="R5339" s="1201"/>
      <c r="S5339" s="1201"/>
      <c r="T5339" s="1201"/>
    </row>
    <row r="5340" spans="12:20">
      <c r="L5340" s="1179"/>
      <c r="M5340" s="1183"/>
      <c r="N5340" s="1183"/>
      <c r="O5340" s="1183"/>
      <c r="P5340" s="1201"/>
      <c r="Q5340" s="1201"/>
      <c r="R5340" s="1201"/>
      <c r="S5340" s="1201"/>
      <c r="T5340" s="1201"/>
    </row>
    <row r="5341" spans="12:20">
      <c r="L5341" s="1179"/>
      <c r="M5341" s="1183"/>
      <c r="N5341" s="1183"/>
      <c r="O5341" s="1183"/>
      <c r="P5341" s="1201"/>
      <c r="Q5341" s="1201"/>
      <c r="R5341" s="1201"/>
      <c r="S5341" s="1201"/>
      <c r="T5341" s="1201"/>
    </row>
    <row r="5342" spans="12:20">
      <c r="L5342" s="1179"/>
      <c r="M5342" s="1183"/>
      <c r="N5342" s="1183"/>
      <c r="O5342" s="1183"/>
      <c r="P5342" s="1201"/>
      <c r="Q5342" s="1201"/>
      <c r="R5342" s="1201"/>
      <c r="S5342" s="1201"/>
      <c r="T5342" s="1201"/>
    </row>
    <row r="5343" spans="12:20">
      <c r="L5343" s="1179"/>
      <c r="M5343" s="1183"/>
      <c r="N5343" s="1183"/>
      <c r="O5343" s="1183"/>
      <c r="P5343" s="1201"/>
      <c r="Q5343" s="1201"/>
      <c r="R5343" s="1201"/>
      <c r="S5343" s="1201"/>
      <c r="T5343" s="1201"/>
    </row>
    <row r="5344" spans="12:20">
      <c r="L5344" s="1179"/>
      <c r="M5344" s="1183"/>
      <c r="N5344" s="1183"/>
      <c r="O5344" s="1183"/>
      <c r="P5344" s="1201"/>
      <c r="Q5344" s="1201"/>
      <c r="R5344" s="1201"/>
      <c r="S5344" s="1201"/>
      <c r="T5344" s="1201"/>
    </row>
    <row r="5345" spans="12:20">
      <c r="L5345" s="1179"/>
      <c r="M5345" s="1183"/>
      <c r="N5345" s="1183"/>
      <c r="O5345" s="1183"/>
      <c r="P5345" s="1201"/>
      <c r="Q5345" s="1201"/>
      <c r="R5345" s="1201"/>
      <c r="S5345" s="1201"/>
      <c r="T5345" s="1201"/>
    </row>
    <row r="5346" spans="12:20">
      <c r="L5346" s="1179"/>
      <c r="M5346" s="1183"/>
      <c r="N5346" s="1183"/>
      <c r="O5346" s="1183"/>
      <c r="P5346" s="1201"/>
      <c r="Q5346" s="1201"/>
      <c r="R5346" s="1201"/>
      <c r="S5346" s="1201"/>
      <c r="T5346" s="1201"/>
    </row>
    <row r="5347" spans="12:20">
      <c r="L5347" s="1179"/>
      <c r="M5347" s="1183"/>
      <c r="N5347" s="1183"/>
      <c r="O5347" s="1183"/>
      <c r="P5347" s="1201"/>
      <c r="Q5347" s="1201"/>
      <c r="R5347" s="1201"/>
      <c r="S5347" s="1201"/>
      <c r="T5347" s="1201"/>
    </row>
    <row r="5348" spans="12:20">
      <c r="L5348" s="1179"/>
      <c r="M5348" s="1183"/>
      <c r="N5348" s="1183"/>
      <c r="O5348" s="1183"/>
      <c r="P5348" s="1201"/>
      <c r="Q5348" s="1201"/>
      <c r="R5348" s="1201"/>
      <c r="S5348" s="1201"/>
      <c r="T5348" s="1201"/>
    </row>
    <row r="5349" spans="12:20">
      <c r="L5349" s="1179"/>
      <c r="M5349" s="1183"/>
      <c r="N5349" s="1183"/>
      <c r="O5349" s="1183"/>
      <c r="P5349" s="1201"/>
      <c r="Q5349" s="1201"/>
      <c r="R5349" s="1201"/>
      <c r="S5349" s="1201"/>
      <c r="T5349" s="1201"/>
    </row>
    <row r="5350" spans="12:20">
      <c r="L5350" s="1179"/>
      <c r="M5350" s="1183"/>
      <c r="N5350" s="1183"/>
      <c r="O5350" s="1183"/>
      <c r="P5350" s="1201"/>
      <c r="Q5350" s="1201"/>
      <c r="R5350" s="1201"/>
      <c r="S5350" s="1201"/>
      <c r="T5350" s="1201"/>
    </row>
    <row r="5351" spans="12:20">
      <c r="L5351" s="1179"/>
      <c r="M5351" s="1183"/>
      <c r="N5351" s="1183"/>
      <c r="O5351" s="1183"/>
      <c r="P5351" s="1201"/>
      <c r="Q5351" s="1201"/>
      <c r="R5351" s="1201"/>
      <c r="S5351" s="1201"/>
      <c r="T5351" s="1201"/>
    </row>
    <row r="5352" spans="12:20">
      <c r="L5352" s="1179"/>
      <c r="M5352" s="1183"/>
      <c r="N5352" s="1183"/>
      <c r="O5352" s="1183"/>
      <c r="P5352" s="1201"/>
      <c r="Q5352" s="1201"/>
      <c r="R5352" s="1201"/>
      <c r="S5352" s="1201"/>
      <c r="T5352" s="1201"/>
    </row>
    <row r="5353" spans="12:20">
      <c r="L5353" s="1179"/>
      <c r="M5353" s="1183"/>
      <c r="N5353" s="1183"/>
      <c r="O5353" s="1183"/>
      <c r="P5353" s="1201"/>
      <c r="Q5353" s="1201"/>
      <c r="R5353" s="1201"/>
      <c r="S5353" s="1201"/>
      <c r="T5353" s="1201"/>
    </row>
    <row r="5354" spans="12:20">
      <c r="L5354" s="1179"/>
      <c r="M5354" s="1183"/>
      <c r="N5354" s="1183"/>
      <c r="O5354" s="1183"/>
      <c r="P5354" s="1201"/>
      <c r="Q5354" s="1201"/>
      <c r="R5354" s="1201"/>
      <c r="S5354" s="1201"/>
      <c r="T5354" s="1201"/>
    </row>
    <row r="5355" spans="12:20">
      <c r="L5355" s="1179"/>
      <c r="M5355" s="1183"/>
      <c r="N5355" s="1183"/>
      <c r="O5355" s="1183"/>
      <c r="P5355" s="1201"/>
      <c r="Q5355" s="1201"/>
      <c r="R5355" s="1201"/>
      <c r="S5355" s="1201"/>
      <c r="T5355" s="1201"/>
    </row>
    <row r="5356" spans="12:20">
      <c r="L5356" s="1179"/>
      <c r="M5356" s="1183"/>
      <c r="N5356" s="1183"/>
      <c r="O5356" s="1183"/>
      <c r="P5356" s="1201"/>
      <c r="Q5356" s="1201"/>
      <c r="R5356" s="1201"/>
      <c r="S5356" s="1201"/>
      <c r="T5356" s="1201"/>
    </row>
    <row r="5357" spans="12:20">
      <c r="L5357" s="1179"/>
      <c r="M5357" s="1183"/>
      <c r="N5357" s="1183"/>
      <c r="O5357" s="1183"/>
      <c r="P5357" s="1201"/>
      <c r="Q5357" s="1201"/>
      <c r="R5357" s="1201"/>
      <c r="S5357" s="1201"/>
      <c r="T5357" s="1201"/>
    </row>
    <row r="5358" spans="12:20">
      <c r="L5358" s="1179"/>
      <c r="M5358" s="1183"/>
      <c r="N5358" s="1183"/>
      <c r="O5358" s="1183"/>
      <c r="P5358" s="1201"/>
      <c r="Q5358" s="1201"/>
      <c r="R5358" s="1201"/>
      <c r="S5358" s="1201"/>
      <c r="T5358" s="1201"/>
    </row>
    <row r="5359" spans="12:20">
      <c r="L5359" s="1179"/>
      <c r="M5359" s="1183"/>
      <c r="N5359" s="1183"/>
      <c r="O5359" s="1183"/>
      <c r="P5359" s="1201"/>
      <c r="Q5359" s="1201"/>
      <c r="R5359" s="1201"/>
      <c r="S5359" s="1201"/>
      <c r="T5359" s="1201"/>
    </row>
    <row r="5360" spans="12:20">
      <c r="L5360" s="1179"/>
      <c r="M5360" s="1183"/>
      <c r="N5360" s="1183"/>
      <c r="O5360" s="1183"/>
      <c r="P5360" s="1201"/>
      <c r="Q5360" s="1201"/>
      <c r="R5360" s="1201"/>
      <c r="S5360" s="1201"/>
      <c r="T5360" s="1201"/>
    </row>
    <row r="5361" spans="12:20">
      <c r="L5361" s="1179"/>
      <c r="M5361" s="1183"/>
      <c r="N5361" s="1183"/>
      <c r="O5361" s="1183"/>
      <c r="P5361" s="1201"/>
      <c r="Q5361" s="1201"/>
      <c r="R5361" s="1201"/>
      <c r="S5361" s="1201"/>
      <c r="T5361" s="1201"/>
    </row>
    <row r="5362" spans="12:20">
      <c r="L5362" s="1179"/>
      <c r="M5362" s="1183"/>
      <c r="N5362" s="1183"/>
      <c r="O5362" s="1183"/>
      <c r="P5362" s="1201"/>
      <c r="Q5362" s="1201"/>
      <c r="R5362" s="1201"/>
      <c r="S5362" s="1201"/>
      <c r="T5362" s="1201"/>
    </row>
    <row r="5363" spans="12:20">
      <c r="L5363" s="1179"/>
      <c r="M5363" s="1183"/>
      <c r="N5363" s="1183"/>
      <c r="O5363" s="1183"/>
      <c r="P5363" s="1201"/>
      <c r="Q5363" s="1201"/>
      <c r="R5363" s="1201"/>
      <c r="S5363" s="1201"/>
      <c r="T5363" s="1201"/>
    </row>
    <row r="5364" spans="12:20">
      <c r="L5364" s="1179"/>
      <c r="M5364" s="1183"/>
      <c r="N5364" s="1183"/>
      <c r="O5364" s="1183"/>
      <c r="P5364" s="1201"/>
      <c r="Q5364" s="1201"/>
      <c r="R5364" s="1201"/>
      <c r="S5364" s="1201"/>
      <c r="T5364" s="1201"/>
    </row>
    <row r="5365" spans="12:20">
      <c r="L5365" s="1179"/>
      <c r="M5365" s="1183"/>
      <c r="N5365" s="1183"/>
      <c r="O5365" s="1183"/>
      <c r="P5365" s="1201"/>
      <c r="Q5365" s="1201"/>
      <c r="R5365" s="1201"/>
      <c r="S5365" s="1201"/>
      <c r="T5365" s="1201"/>
    </row>
    <row r="5366" spans="12:20">
      <c r="L5366" s="1179"/>
      <c r="M5366" s="1183"/>
      <c r="N5366" s="1183"/>
      <c r="O5366" s="1183"/>
      <c r="P5366" s="1201"/>
      <c r="Q5366" s="1201"/>
      <c r="R5366" s="1201"/>
      <c r="S5366" s="1201"/>
      <c r="T5366" s="1201"/>
    </row>
    <row r="5367" spans="12:20">
      <c r="L5367" s="1179"/>
      <c r="M5367" s="1183"/>
      <c r="N5367" s="1183"/>
      <c r="O5367" s="1183"/>
      <c r="P5367" s="1201"/>
      <c r="Q5367" s="1201"/>
      <c r="R5367" s="1201"/>
      <c r="S5367" s="1201"/>
      <c r="T5367" s="1201"/>
    </row>
    <row r="5368" spans="12:20">
      <c r="L5368" s="1179"/>
      <c r="M5368" s="1183"/>
      <c r="N5368" s="1183"/>
      <c r="O5368" s="1183"/>
      <c r="P5368" s="1201"/>
      <c r="Q5368" s="1201"/>
      <c r="R5368" s="1201"/>
      <c r="S5368" s="1201"/>
      <c r="T5368" s="1201"/>
    </row>
    <row r="5369" spans="12:20">
      <c r="L5369" s="1179"/>
      <c r="M5369" s="1183"/>
      <c r="N5369" s="1183"/>
      <c r="O5369" s="1183"/>
      <c r="P5369" s="1201"/>
      <c r="Q5369" s="1201"/>
      <c r="R5369" s="1201"/>
      <c r="S5369" s="1201"/>
      <c r="T5369" s="1201"/>
    </row>
    <row r="5370" spans="12:20">
      <c r="L5370" s="1179"/>
      <c r="M5370" s="1183"/>
      <c r="N5370" s="1183"/>
      <c r="O5370" s="1183"/>
      <c r="P5370" s="1201"/>
      <c r="Q5370" s="1201"/>
      <c r="R5370" s="1201"/>
      <c r="S5370" s="1201"/>
      <c r="T5370" s="1201"/>
    </row>
    <row r="5371" spans="12:20">
      <c r="L5371" s="1179"/>
      <c r="M5371" s="1183"/>
      <c r="N5371" s="1183"/>
      <c r="O5371" s="1183"/>
      <c r="P5371" s="1201"/>
      <c r="Q5371" s="1201"/>
      <c r="R5371" s="1201"/>
      <c r="S5371" s="1201"/>
      <c r="T5371" s="1201"/>
    </row>
    <row r="5372" spans="12:20">
      <c r="L5372" s="1179"/>
      <c r="M5372" s="1183"/>
      <c r="N5372" s="1183"/>
      <c r="O5372" s="1183"/>
      <c r="P5372" s="1201"/>
      <c r="Q5372" s="1201"/>
      <c r="R5372" s="1201"/>
      <c r="S5372" s="1201"/>
      <c r="T5372" s="1201"/>
    </row>
    <row r="5373" spans="12:20">
      <c r="L5373" s="1179"/>
      <c r="M5373" s="1183"/>
      <c r="N5373" s="1183"/>
      <c r="O5373" s="1183"/>
      <c r="P5373" s="1201"/>
      <c r="Q5373" s="1201"/>
      <c r="R5373" s="1201"/>
      <c r="S5373" s="1201"/>
      <c r="T5373" s="1201"/>
    </row>
    <row r="5374" spans="12:20">
      <c r="L5374" s="1179"/>
      <c r="M5374" s="1183"/>
      <c r="N5374" s="1183"/>
      <c r="O5374" s="1183"/>
      <c r="P5374" s="1201"/>
      <c r="Q5374" s="1201"/>
      <c r="R5374" s="1201"/>
      <c r="S5374" s="1201"/>
      <c r="T5374" s="1201"/>
    </row>
    <row r="5375" spans="12:20">
      <c r="L5375" s="1179"/>
      <c r="M5375" s="1183"/>
      <c r="N5375" s="1183"/>
      <c r="O5375" s="1183"/>
      <c r="P5375" s="1201"/>
      <c r="Q5375" s="1201"/>
      <c r="R5375" s="1201"/>
      <c r="S5375" s="1201"/>
      <c r="T5375" s="1201"/>
    </row>
    <row r="5376" spans="12:20">
      <c r="L5376" s="1179"/>
      <c r="M5376" s="1183"/>
      <c r="N5376" s="1183"/>
      <c r="O5376" s="1183"/>
      <c r="P5376" s="1201"/>
      <c r="Q5376" s="1201"/>
      <c r="R5376" s="1201"/>
      <c r="S5376" s="1201"/>
      <c r="T5376" s="1201"/>
    </row>
    <row r="5377" spans="12:20">
      <c r="L5377" s="1179"/>
      <c r="M5377" s="1183"/>
      <c r="N5377" s="1183"/>
      <c r="O5377" s="1183"/>
      <c r="P5377" s="1201"/>
      <c r="Q5377" s="1201"/>
      <c r="R5377" s="1201"/>
      <c r="S5377" s="1201"/>
      <c r="T5377" s="1201"/>
    </row>
    <row r="5378" spans="12:20">
      <c r="L5378" s="1179"/>
      <c r="M5378" s="1183"/>
      <c r="N5378" s="1183"/>
      <c r="O5378" s="1183"/>
      <c r="P5378" s="1201"/>
      <c r="Q5378" s="1201"/>
      <c r="R5378" s="1201"/>
      <c r="S5378" s="1201"/>
      <c r="T5378" s="1201"/>
    </row>
    <row r="5379" spans="12:20">
      <c r="L5379" s="1179"/>
      <c r="M5379" s="1183"/>
      <c r="N5379" s="1183"/>
      <c r="O5379" s="1183"/>
      <c r="P5379" s="1201"/>
      <c r="Q5379" s="1201"/>
      <c r="R5379" s="1201"/>
      <c r="S5379" s="1201"/>
      <c r="T5379" s="1201"/>
    </row>
    <row r="5380" spans="12:20">
      <c r="L5380" s="1179"/>
      <c r="M5380" s="1183"/>
      <c r="N5380" s="1183"/>
      <c r="O5380" s="1183"/>
      <c r="P5380" s="1201"/>
      <c r="Q5380" s="1201"/>
      <c r="R5380" s="1201"/>
      <c r="S5380" s="1201"/>
      <c r="T5380" s="1201"/>
    </row>
    <row r="5381" spans="12:20">
      <c r="L5381" s="1179"/>
      <c r="M5381" s="1183"/>
      <c r="N5381" s="1183"/>
      <c r="O5381" s="1183"/>
      <c r="P5381" s="1201"/>
      <c r="Q5381" s="1201"/>
      <c r="R5381" s="1201"/>
      <c r="S5381" s="1201"/>
      <c r="T5381" s="1201"/>
    </row>
    <row r="5382" spans="12:20">
      <c r="L5382" s="1179"/>
      <c r="M5382" s="1183"/>
      <c r="N5382" s="1183"/>
      <c r="O5382" s="1183"/>
      <c r="P5382" s="1201"/>
      <c r="Q5382" s="1201"/>
      <c r="R5382" s="1201"/>
      <c r="S5382" s="1201"/>
      <c r="T5382" s="1201"/>
    </row>
    <row r="5383" spans="12:20">
      <c r="L5383" s="1179"/>
      <c r="M5383" s="1183"/>
      <c r="N5383" s="1183"/>
      <c r="O5383" s="1183"/>
      <c r="P5383" s="1201"/>
      <c r="Q5383" s="1201"/>
      <c r="R5383" s="1201"/>
      <c r="S5383" s="1201"/>
      <c r="T5383" s="1201"/>
    </row>
    <row r="5384" spans="12:20">
      <c r="L5384" s="1179"/>
      <c r="M5384" s="1183"/>
      <c r="N5384" s="1183"/>
      <c r="O5384" s="1183"/>
      <c r="P5384" s="1201"/>
      <c r="Q5384" s="1201"/>
      <c r="R5384" s="1201"/>
      <c r="S5384" s="1201"/>
      <c r="T5384" s="1201"/>
    </row>
    <row r="5385" spans="12:20">
      <c r="L5385" s="1179"/>
      <c r="M5385" s="1183"/>
      <c r="N5385" s="1183"/>
      <c r="O5385" s="1183"/>
      <c r="P5385" s="1201"/>
      <c r="Q5385" s="1201"/>
      <c r="R5385" s="1201"/>
      <c r="S5385" s="1201"/>
      <c r="T5385" s="1201"/>
    </row>
    <row r="5386" spans="12:20">
      <c r="L5386" s="1179"/>
      <c r="M5386" s="1183"/>
      <c r="N5386" s="1183"/>
      <c r="O5386" s="1183"/>
      <c r="P5386" s="1201"/>
      <c r="Q5386" s="1201"/>
      <c r="R5386" s="1201"/>
      <c r="S5386" s="1201"/>
      <c r="T5386" s="1201"/>
    </row>
    <row r="5387" spans="12:20">
      <c r="L5387" s="1179"/>
      <c r="M5387" s="1183"/>
      <c r="N5387" s="1183"/>
      <c r="O5387" s="1183"/>
      <c r="P5387" s="1201"/>
      <c r="Q5387" s="1201"/>
      <c r="R5387" s="1201"/>
      <c r="S5387" s="1201"/>
      <c r="T5387" s="1201"/>
    </row>
    <row r="5388" spans="12:20">
      <c r="L5388" s="1179"/>
      <c r="M5388" s="1183"/>
      <c r="N5388" s="1183"/>
      <c r="O5388" s="1183"/>
      <c r="P5388" s="1201"/>
      <c r="Q5388" s="1201"/>
      <c r="R5388" s="1201"/>
      <c r="S5388" s="1201"/>
      <c r="T5388" s="1201"/>
    </row>
    <row r="5389" spans="12:20">
      <c r="L5389" s="1179"/>
      <c r="M5389" s="1183"/>
      <c r="N5389" s="1183"/>
      <c r="O5389" s="1183"/>
      <c r="P5389" s="1201"/>
      <c r="Q5389" s="1201"/>
      <c r="R5389" s="1201"/>
      <c r="S5389" s="1201"/>
      <c r="T5389" s="1201"/>
    </row>
    <row r="5390" spans="12:20">
      <c r="L5390" s="1179"/>
      <c r="M5390" s="1183"/>
      <c r="N5390" s="1183"/>
      <c r="O5390" s="1183"/>
      <c r="P5390" s="1201"/>
      <c r="Q5390" s="1201"/>
      <c r="R5390" s="1201"/>
      <c r="S5390" s="1201"/>
      <c r="T5390" s="1201"/>
    </row>
    <row r="5391" spans="12:20">
      <c r="L5391" s="1179"/>
      <c r="M5391" s="1183"/>
      <c r="N5391" s="1183"/>
      <c r="O5391" s="1183"/>
      <c r="P5391" s="1201"/>
      <c r="Q5391" s="1201"/>
      <c r="R5391" s="1201"/>
      <c r="S5391" s="1201"/>
      <c r="T5391" s="1201"/>
    </row>
    <row r="5392" spans="12:20">
      <c r="L5392" s="1179"/>
      <c r="M5392" s="1183"/>
      <c r="N5392" s="1183"/>
      <c r="O5392" s="1183"/>
      <c r="P5392" s="1201"/>
      <c r="Q5392" s="1201"/>
      <c r="R5392" s="1201"/>
      <c r="S5392" s="1201"/>
      <c r="T5392" s="1201"/>
    </row>
    <row r="5393" spans="12:20">
      <c r="L5393" s="1179"/>
      <c r="M5393" s="1183"/>
      <c r="N5393" s="1183"/>
      <c r="O5393" s="1183"/>
      <c r="P5393" s="1201"/>
      <c r="Q5393" s="1201"/>
      <c r="R5393" s="1201"/>
      <c r="S5393" s="1201"/>
      <c r="T5393" s="1201"/>
    </row>
    <row r="5394" spans="12:20">
      <c r="L5394" s="1179"/>
      <c r="M5394" s="1183"/>
      <c r="N5394" s="1183"/>
      <c r="O5394" s="1183"/>
      <c r="P5394" s="1201"/>
      <c r="Q5394" s="1201"/>
      <c r="R5394" s="1201"/>
      <c r="S5394" s="1201"/>
      <c r="T5394" s="1201"/>
    </row>
    <row r="5395" spans="12:20">
      <c r="L5395" s="1179"/>
      <c r="M5395" s="1183"/>
      <c r="N5395" s="1183"/>
      <c r="O5395" s="1183"/>
      <c r="P5395" s="1201"/>
      <c r="Q5395" s="1201"/>
      <c r="R5395" s="1201"/>
      <c r="S5395" s="1201"/>
      <c r="T5395" s="1201"/>
    </row>
    <row r="5396" spans="12:20">
      <c r="L5396" s="1179"/>
      <c r="M5396" s="1183"/>
      <c r="N5396" s="1183"/>
      <c r="O5396" s="1183"/>
      <c r="P5396" s="1201"/>
      <c r="Q5396" s="1201"/>
      <c r="R5396" s="1201"/>
      <c r="S5396" s="1201"/>
      <c r="T5396" s="1201"/>
    </row>
    <row r="5397" spans="12:20">
      <c r="L5397" s="1179"/>
      <c r="M5397" s="1183"/>
      <c r="N5397" s="1183"/>
      <c r="O5397" s="1183"/>
      <c r="P5397" s="1201"/>
      <c r="Q5397" s="1201"/>
      <c r="R5397" s="1201"/>
      <c r="S5397" s="1201"/>
      <c r="T5397" s="1201"/>
    </row>
    <row r="5398" spans="12:20">
      <c r="L5398" s="1179"/>
      <c r="M5398" s="1183"/>
      <c r="N5398" s="1183"/>
      <c r="O5398" s="1183"/>
      <c r="P5398" s="1201"/>
      <c r="Q5398" s="1201"/>
      <c r="R5398" s="1201"/>
      <c r="S5398" s="1201"/>
      <c r="T5398" s="1201"/>
    </row>
    <row r="5399" spans="12:20">
      <c r="L5399" s="1179"/>
      <c r="M5399" s="1183"/>
      <c r="N5399" s="1183"/>
      <c r="O5399" s="1183"/>
      <c r="P5399" s="1201"/>
      <c r="Q5399" s="1201"/>
      <c r="R5399" s="1201"/>
      <c r="S5399" s="1201"/>
      <c r="T5399" s="1201"/>
    </row>
    <row r="5400" spans="12:20">
      <c r="L5400" s="1179"/>
      <c r="M5400" s="1183"/>
      <c r="N5400" s="1183"/>
      <c r="O5400" s="1183"/>
      <c r="P5400" s="1201"/>
      <c r="Q5400" s="1201"/>
      <c r="R5400" s="1201"/>
      <c r="S5400" s="1201"/>
      <c r="T5400" s="1201"/>
    </row>
    <row r="5401" spans="12:20">
      <c r="L5401" s="1179"/>
      <c r="M5401" s="1183"/>
      <c r="N5401" s="1183"/>
      <c r="O5401" s="1183"/>
      <c r="P5401" s="1201"/>
      <c r="Q5401" s="1201"/>
      <c r="R5401" s="1201"/>
      <c r="S5401" s="1201"/>
      <c r="T5401" s="1201"/>
    </row>
    <row r="5402" spans="12:20">
      <c r="L5402" s="1179"/>
      <c r="M5402" s="1183"/>
      <c r="N5402" s="1183"/>
      <c r="O5402" s="1183"/>
      <c r="P5402" s="1201"/>
      <c r="Q5402" s="1201"/>
      <c r="R5402" s="1201"/>
      <c r="S5402" s="1201"/>
      <c r="T5402" s="1201"/>
    </row>
    <row r="5403" spans="12:20">
      <c r="L5403" s="1179"/>
      <c r="M5403" s="1183"/>
      <c r="N5403" s="1183"/>
      <c r="O5403" s="1183"/>
      <c r="P5403" s="1201"/>
      <c r="Q5403" s="1201"/>
      <c r="R5403" s="1201"/>
      <c r="S5403" s="1201"/>
      <c r="T5403" s="1201"/>
    </row>
    <row r="5404" spans="12:20">
      <c r="L5404" s="1179"/>
      <c r="M5404" s="1183"/>
      <c r="N5404" s="1183"/>
      <c r="O5404" s="1183"/>
      <c r="P5404" s="1201"/>
      <c r="Q5404" s="1201"/>
      <c r="R5404" s="1201"/>
      <c r="S5404" s="1201"/>
      <c r="T5404" s="1201"/>
    </row>
    <row r="5405" spans="12:20">
      <c r="L5405" s="1179"/>
      <c r="M5405" s="1183"/>
      <c r="N5405" s="1183"/>
      <c r="O5405" s="1183"/>
      <c r="P5405" s="1201"/>
      <c r="Q5405" s="1201"/>
      <c r="R5405" s="1201"/>
      <c r="S5405" s="1201"/>
      <c r="T5405" s="1201"/>
    </row>
    <row r="5406" spans="12:20">
      <c r="L5406" s="1179"/>
      <c r="M5406" s="1183"/>
      <c r="N5406" s="1183"/>
      <c r="O5406" s="1183"/>
      <c r="P5406" s="1201"/>
      <c r="Q5406" s="1201"/>
      <c r="R5406" s="1201"/>
      <c r="S5406" s="1201"/>
      <c r="T5406" s="1201"/>
    </row>
    <row r="5407" spans="12:20">
      <c r="L5407" s="1179"/>
      <c r="M5407" s="1183"/>
      <c r="N5407" s="1183"/>
      <c r="O5407" s="1183"/>
      <c r="P5407" s="1201"/>
      <c r="Q5407" s="1201"/>
      <c r="R5407" s="1201"/>
      <c r="S5407" s="1201"/>
      <c r="T5407" s="1201"/>
    </row>
    <row r="5408" spans="12:20">
      <c r="L5408" s="1179"/>
      <c r="M5408" s="1183"/>
      <c r="N5408" s="1183"/>
      <c r="O5408" s="1183"/>
      <c r="P5408" s="1201"/>
      <c r="Q5408" s="1201"/>
      <c r="R5408" s="1201"/>
      <c r="S5408" s="1201"/>
      <c r="T5408" s="1201"/>
    </row>
    <row r="5409" spans="12:20">
      <c r="L5409" s="1179"/>
      <c r="M5409" s="1183"/>
      <c r="N5409" s="1183"/>
      <c r="O5409" s="1183"/>
      <c r="P5409" s="1201"/>
      <c r="Q5409" s="1201"/>
      <c r="R5409" s="1201"/>
      <c r="S5409" s="1201"/>
      <c r="T5409" s="1201"/>
    </row>
    <row r="5410" spans="12:20">
      <c r="L5410" s="1179"/>
      <c r="M5410" s="1183"/>
      <c r="N5410" s="1183"/>
      <c r="O5410" s="1183"/>
      <c r="P5410" s="1201"/>
      <c r="Q5410" s="1201"/>
      <c r="R5410" s="1201"/>
      <c r="S5410" s="1201"/>
      <c r="T5410" s="1201"/>
    </row>
    <row r="5411" spans="12:20">
      <c r="L5411" s="1179"/>
      <c r="M5411" s="1183"/>
      <c r="N5411" s="1183"/>
      <c r="O5411" s="1183"/>
      <c r="P5411" s="1201"/>
      <c r="Q5411" s="1201"/>
      <c r="R5411" s="1201"/>
      <c r="S5411" s="1201"/>
      <c r="T5411" s="1201"/>
    </row>
    <row r="5412" spans="12:20">
      <c r="L5412" s="1179"/>
      <c r="M5412" s="1183"/>
      <c r="N5412" s="1183"/>
      <c r="O5412" s="1183"/>
      <c r="P5412" s="1201"/>
      <c r="Q5412" s="1201"/>
      <c r="R5412" s="1201"/>
      <c r="S5412" s="1201"/>
      <c r="T5412" s="1201"/>
    </row>
    <row r="5413" spans="12:20">
      <c r="L5413" s="1179"/>
      <c r="M5413" s="1183"/>
      <c r="N5413" s="1183"/>
      <c r="O5413" s="1183"/>
      <c r="P5413" s="1201"/>
      <c r="Q5413" s="1201"/>
      <c r="R5413" s="1201"/>
      <c r="S5413" s="1201"/>
      <c r="T5413" s="1201"/>
    </row>
    <row r="5414" spans="12:20">
      <c r="L5414" s="1179"/>
      <c r="M5414" s="1183"/>
      <c r="N5414" s="1183"/>
      <c r="O5414" s="1183"/>
      <c r="P5414" s="1201"/>
      <c r="Q5414" s="1201"/>
      <c r="R5414" s="1201"/>
      <c r="S5414" s="1201"/>
      <c r="T5414" s="1201"/>
    </row>
    <row r="5415" spans="12:20">
      <c r="L5415" s="1179"/>
      <c r="M5415" s="1183"/>
      <c r="N5415" s="1183"/>
      <c r="O5415" s="1183"/>
      <c r="P5415" s="1201"/>
      <c r="Q5415" s="1201"/>
      <c r="R5415" s="1201"/>
      <c r="S5415" s="1201"/>
      <c r="T5415" s="1201"/>
    </row>
    <row r="5416" spans="12:20">
      <c r="L5416" s="1179"/>
      <c r="M5416" s="1183"/>
      <c r="N5416" s="1183"/>
      <c r="O5416" s="1183"/>
      <c r="P5416" s="1201"/>
      <c r="Q5416" s="1201"/>
      <c r="R5416" s="1201"/>
      <c r="S5416" s="1201"/>
      <c r="T5416" s="1201"/>
    </row>
    <row r="5417" spans="12:20">
      <c r="L5417" s="1179"/>
      <c r="M5417" s="1183"/>
      <c r="N5417" s="1183"/>
      <c r="O5417" s="1183"/>
      <c r="P5417" s="1201"/>
      <c r="Q5417" s="1201"/>
      <c r="R5417" s="1201"/>
      <c r="S5417" s="1201"/>
      <c r="T5417" s="1201"/>
    </row>
    <row r="5418" spans="12:20">
      <c r="L5418" s="1179"/>
      <c r="M5418" s="1183"/>
      <c r="N5418" s="1183"/>
      <c r="O5418" s="1183"/>
      <c r="P5418" s="1201"/>
      <c r="Q5418" s="1201"/>
      <c r="R5418" s="1201"/>
      <c r="S5418" s="1201"/>
      <c r="T5418" s="1201"/>
    </row>
    <row r="5419" spans="12:20">
      <c r="L5419" s="1179"/>
      <c r="M5419" s="1183"/>
      <c r="N5419" s="1183"/>
      <c r="O5419" s="1183"/>
      <c r="P5419" s="1201"/>
      <c r="Q5419" s="1201"/>
      <c r="R5419" s="1201"/>
      <c r="S5419" s="1201"/>
      <c r="T5419" s="1201"/>
    </row>
    <row r="5420" spans="12:20">
      <c r="L5420" s="1179"/>
      <c r="M5420" s="1183"/>
      <c r="N5420" s="1183"/>
      <c r="O5420" s="1183"/>
      <c r="P5420" s="1201"/>
      <c r="Q5420" s="1201"/>
      <c r="R5420" s="1201"/>
      <c r="S5420" s="1201"/>
      <c r="T5420" s="1201"/>
    </row>
    <row r="5421" spans="12:20">
      <c r="L5421" s="1179"/>
      <c r="M5421" s="1183"/>
      <c r="N5421" s="1183"/>
      <c r="O5421" s="1183"/>
      <c r="P5421" s="1201"/>
      <c r="Q5421" s="1201"/>
      <c r="R5421" s="1201"/>
      <c r="S5421" s="1201"/>
      <c r="T5421" s="1201"/>
    </row>
    <row r="5422" spans="12:20">
      <c r="L5422" s="1179"/>
      <c r="M5422" s="1183"/>
      <c r="N5422" s="1183"/>
      <c r="O5422" s="1183"/>
      <c r="P5422" s="1201"/>
      <c r="Q5422" s="1201"/>
      <c r="R5422" s="1201"/>
      <c r="S5422" s="1201"/>
      <c r="T5422" s="1201"/>
    </row>
    <row r="5423" spans="12:20">
      <c r="L5423" s="1179"/>
      <c r="M5423" s="1183"/>
      <c r="N5423" s="1183"/>
      <c r="O5423" s="1183"/>
      <c r="P5423" s="1201"/>
      <c r="Q5423" s="1201"/>
      <c r="R5423" s="1201"/>
      <c r="S5423" s="1201"/>
      <c r="T5423" s="1201"/>
    </row>
    <row r="5424" spans="12:20">
      <c r="L5424" s="1179"/>
      <c r="M5424" s="1183"/>
      <c r="N5424" s="1183"/>
      <c r="O5424" s="1183"/>
      <c r="P5424" s="1201"/>
      <c r="Q5424" s="1201"/>
      <c r="R5424" s="1201"/>
      <c r="S5424" s="1201"/>
      <c r="T5424" s="1201"/>
    </row>
    <row r="5425" spans="12:20">
      <c r="L5425" s="1179"/>
      <c r="M5425" s="1183"/>
      <c r="N5425" s="1183"/>
      <c r="O5425" s="1183"/>
      <c r="P5425" s="1201"/>
      <c r="Q5425" s="1201"/>
      <c r="R5425" s="1201"/>
      <c r="S5425" s="1201"/>
      <c r="T5425" s="1201"/>
    </row>
    <row r="5426" spans="12:20">
      <c r="L5426" s="1179"/>
      <c r="M5426" s="1183"/>
      <c r="N5426" s="1183"/>
      <c r="O5426" s="1183"/>
      <c r="P5426" s="1201"/>
      <c r="Q5426" s="1201"/>
      <c r="R5426" s="1201"/>
      <c r="S5426" s="1201"/>
      <c r="T5426" s="1201"/>
    </row>
    <row r="5427" spans="12:20">
      <c r="L5427" s="1179"/>
      <c r="M5427" s="1183"/>
      <c r="N5427" s="1183"/>
      <c r="O5427" s="1183"/>
      <c r="P5427" s="1201"/>
      <c r="Q5427" s="1201"/>
      <c r="R5427" s="1201"/>
      <c r="S5427" s="1201"/>
      <c r="T5427" s="1201"/>
    </row>
    <row r="5428" spans="12:20">
      <c r="L5428" s="1179"/>
      <c r="M5428" s="1183"/>
      <c r="N5428" s="1183"/>
      <c r="O5428" s="1183"/>
      <c r="P5428" s="1201"/>
      <c r="Q5428" s="1201"/>
      <c r="R5428" s="1201"/>
      <c r="S5428" s="1201"/>
      <c r="T5428" s="1201"/>
    </row>
    <row r="5429" spans="12:20">
      <c r="L5429" s="1179"/>
      <c r="M5429" s="1183"/>
      <c r="N5429" s="1183"/>
      <c r="O5429" s="1183"/>
      <c r="P5429" s="1201"/>
      <c r="Q5429" s="1201"/>
      <c r="R5429" s="1201"/>
      <c r="S5429" s="1201"/>
      <c r="T5429" s="1201"/>
    </row>
    <row r="5430" spans="12:20">
      <c r="L5430" s="1179"/>
      <c r="M5430" s="1183"/>
      <c r="N5430" s="1183"/>
      <c r="O5430" s="1183"/>
      <c r="P5430" s="1201"/>
      <c r="Q5430" s="1201"/>
      <c r="R5430" s="1201"/>
      <c r="S5430" s="1201"/>
      <c r="T5430" s="1201"/>
    </row>
    <row r="5431" spans="12:20">
      <c r="L5431" s="1179"/>
      <c r="M5431" s="1183"/>
      <c r="N5431" s="1183"/>
      <c r="O5431" s="1183"/>
      <c r="P5431" s="1201"/>
      <c r="Q5431" s="1201"/>
      <c r="R5431" s="1201"/>
      <c r="S5431" s="1201"/>
      <c r="T5431" s="1201"/>
    </row>
    <row r="5432" spans="12:20">
      <c r="L5432" s="1179"/>
      <c r="M5432" s="1183"/>
      <c r="N5432" s="1183"/>
      <c r="O5432" s="1183"/>
      <c r="P5432" s="1201"/>
      <c r="Q5432" s="1201"/>
      <c r="R5432" s="1201"/>
      <c r="S5432" s="1201"/>
      <c r="T5432" s="1201"/>
    </row>
    <row r="5433" spans="12:20">
      <c r="L5433" s="1179"/>
      <c r="M5433" s="1183"/>
      <c r="N5433" s="1183"/>
      <c r="O5433" s="1183"/>
      <c r="P5433" s="1201"/>
      <c r="Q5433" s="1201"/>
      <c r="R5433" s="1201"/>
      <c r="S5433" s="1201"/>
      <c r="T5433" s="1201"/>
    </row>
    <row r="5434" spans="12:20">
      <c r="L5434" s="1179"/>
      <c r="M5434" s="1183"/>
      <c r="N5434" s="1183"/>
      <c r="O5434" s="1183"/>
      <c r="P5434" s="1201"/>
      <c r="Q5434" s="1201"/>
      <c r="R5434" s="1201"/>
      <c r="S5434" s="1201"/>
      <c r="T5434" s="1201"/>
    </row>
    <row r="5435" spans="12:20">
      <c r="L5435" s="1179"/>
      <c r="M5435" s="1183"/>
      <c r="N5435" s="1183"/>
      <c r="O5435" s="1183"/>
      <c r="P5435" s="1201"/>
      <c r="Q5435" s="1201"/>
      <c r="R5435" s="1201"/>
      <c r="S5435" s="1201"/>
      <c r="T5435" s="1201"/>
    </row>
    <row r="5436" spans="12:20">
      <c r="L5436" s="1179"/>
      <c r="M5436" s="1183"/>
      <c r="N5436" s="1183"/>
      <c r="O5436" s="1183"/>
      <c r="P5436" s="1201"/>
      <c r="Q5436" s="1201"/>
      <c r="R5436" s="1201"/>
      <c r="S5436" s="1201"/>
      <c r="T5436" s="1201"/>
    </row>
    <row r="5437" spans="12:20">
      <c r="L5437" s="1179"/>
      <c r="M5437" s="1183"/>
      <c r="N5437" s="1183"/>
      <c r="O5437" s="1183"/>
      <c r="P5437" s="1201"/>
      <c r="Q5437" s="1201"/>
      <c r="R5437" s="1201"/>
      <c r="S5437" s="1201"/>
      <c r="T5437" s="1201"/>
    </row>
    <row r="5438" spans="12:20">
      <c r="L5438" s="1179"/>
      <c r="M5438" s="1183"/>
      <c r="N5438" s="1183"/>
      <c r="O5438" s="1183"/>
      <c r="P5438" s="1201"/>
      <c r="Q5438" s="1201"/>
      <c r="R5438" s="1201"/>
      <c r="S5438" s="1201"/>
      <c r="T5438" s="1201"/>
    </row>
    <row r="5439" spans="12:20">
      <c r="L5439" s="1179"/>
      <c r="M5439" s="1183"/>
      <c r="N5439" s="1183"/>
      <c r="O5439" s="1183"/>
      <c r="P5439" s="1201"/>
      <c r="Q5439" s="1201"/>
      <c r="R5439" s="1201"/>
      <c r="S5439" s="1201"/>
      <c r="T5439" s="1201"/>
    </row>
    <row r="5440" spans="12:20">
      <c r="L5440" s="1179"/>
      <c r="M5440" s="1183"/>
      <c r="N5440" s="1183"/>
      <c r="O5440" s="1183"/>
      <c r="P5440" s="1201"/>
      <c r="Q5440" s="1201"/>
      <c r="R5440" s="1201"/>
      <c r="S5440" s="1201"/>
      <c r="T5440" s="1201"/>
    </row>
    <row r="5441" spans="12:20">
      <c r="L5441" s="1179"/>
      <c r="M5441" s="1183"/>
      <c r="N5441" s="1183"/>
      <c r="O5441" s="1183"/>
      <c r="P5441" s="1201"/>
      <c r="Q5441" s="1201"/>
      <c r="R5441" s="1201"/>
      <c r="S5441" s="1201"/>
      <c r="T5441" s="1201"/>
    </row>
    <row r="5442" spans="12:20">
      <c r="L5442" s="1179"/>
      <c r="M5442" s="1183"/>
      <c r="N5442" s="1183"/>
      <c r="O5442" s="1183"/>
      <c r="P5442" s="1201"/>
      <c r="Q5442" s="1201"/>
      <c r="R5442" s="1201"/>
      <c r="S5442" s="1201"/>
      <c r="T5442" s="1201"/>
    </row>
    <row r="5443" spans="12:20">
      <c r="L5443" s="1179"/>
      <c r="M5443" s="1183"/>
      <c r="N5443" s="1183"/>
      <c r="O5443" s="1183"/>
      <c r="P5443" s="1201"/>
      <c r="Q5443" s="1201"/>
      <c r="R5443" s="1201"/>
      <c r="S5443" s="1201"/>
      <c r="T5443" s="1201"/>
    </row>
    <row r="5444" spans="12:20">
      <c r="L5444" s="1179"/>
      <c r="M5444" s="1183"/>
      <c r="N5444" s="1183"/>
      <c r="O5444" s="1183"/>
      <c r="P5444" s="1201"/>
      <c r="Q5444" s="1201"/>
      <c r="R5444" s="1201"/>
      <c r="S5444" s="1201"/>
      <c r="T5444" s="1201"/>
    </row>
    <row r="5445" spans="12:20">
      <c r="L5445" s="1179"/>
      <c r="M5445" s="1183"/>
      <c r="N5445" s="1183"/>
      <c r="O5445" s="1183"/>
      <c r="P5445" s="1201"/>
      <c r="Q5445" s="1201"/>
      <c r="R5445" s="1201"/>
      <c r="S5445" s="1201"/>
      <c r="T5445" s="1201"/>
    </row>
    <row r="5446" spans="12:20">
      <c r="L5446" s="1179"/>
      <c r="M5446" s="1183"/>
      <c r="N5446" s="1183"/>
      <c r="O5446" s="1183"/>
      <c r="P5446" s="1201"/>
      <c r="Q5446" s="1201"/>
      <c r="R5446" s="1201"/>
      <c r="S5446" s="1201"/>
      <c r="T5446" s="1201"/>
    </row>
    <row r="5447" spans="12:20">
      <c r="L5447" s="1179"/>
      <c r="M5447" s="1183"/>
      <c r="N5447" s="1183"/>
      <c r="O5447" s="1183"/>
      <c r="P5447" s="1201"/>
      <c r="Q5447" s="1201"/>
      <c r="R5447" s="1201"/>
      <c r="S5447" s="1201"/>
      <c r="T5447" s="1201"/>
    </row>
    <row r="5448" spans="12:20">
      <c r="L5448" s="1179"/>
      <c r="M5448" s="1183"/>
      <c r="N5448" s="1183"/>
      <c r="O5448" s="1183"/>
      <c r="P5448" s="1201"/>
      <c r="Q5448" s="1201"/>
      <c r="R5448" s="1201"/>
      <c r="S5448" s="1201"/>
      <c r="T5448" s="1201"/>
    </row>
    <row r="5449" spans="12:20">
      <c r="L5449" s="1179"/>
      <c r="M5449" s="1183"/>
      <c r="N5449" s="1183"/>
      <c r="O5449" s="1183"/>
      <c r="P5449" s="1201"/>
      <c r="Q5449" s="1201"/>
      <c r="R5449" s="1201"/>
      <c r="S5449" s="1201"/>
      <c r="T5449" s="1201"/>
    </row>
    <row r="5450" spans="12:20">
      <c r="L5450" s="1179"/>
      <c r="M5450" s="1183"/>
      <c r="N5450" s="1183"/>
      <c r="O5450" s="1183"/>
      <c r="P5450" s="1201"/>
      <c r="Q5450" s="1201"/>
      <c r="R5450" s="1201"/>
      <c r="S5450" s="1201"/>
      <c r="T5450" s="1201"/>
    </row>
    <row r="5451" spans="12:20">
      <c r="L5451" s="1179"/>
      <c r="M5451" s="1183"/>
      <c r="N5451" s="1183"/>
      <c r="O5451" s="1183"/>
      <c r="P5451" s="1201"/>
      <c r="Q5451" s="1201"/>
      <c r="R5451" s="1201"/>
      <c r="S5451" s="1201"/>
      <c r="T5451" s="1201"/>
    </row>
    <row r="5452" spans="12:20">
      <c r="L5452" s="1179"/>
      <c r="M5452" s="1183"/>
      <c r="N5452" s="1183"/>
      <c r="O5452" s="1183"/>
      <c r="P5452" s="1201"/>
      <c r="Q5452" s="1201"/>
      <c r="R5452" s="1201"/>
      <c r="S5452" s="1201"/>
      <c r="T5452" s="1201"/>
    </row>
    <row r="5453" spans="12:20">
      <c r="L5453" s="1179"/>
      <c r="M5453" s="1183"/>
      <c r="N5453" s="1183"/>
      <c r="O5453" s="1183"/>
      <c r="P5453" s="1201"/>
      <c r="Q5453" s="1201"/>
      <c r="R5453" s="1201"/>
      <c r="S5453" s="1201"/>
      <c r="T5453" s="1201"/>
    </row>
    <row r="5454" spans="12:20">
      <c r="L5454" s="1179"/>
      <c r="M5454" s="1183"/>
      <c r="N5454" s="1183"/>
      <c r="O5454" s="1183"/>
      <c r="P5454" s="1201"/>
      <c r="Q5454" s="1201"/>
      <c r="R5454" s="1201"/>
      <c r="S5454" s="1201"/>
      <c r="T5454" s="1201"/>
    </row>
    <row r="5455" spans="12:20">
      <c r="L5455" s="1179"/>
      <c r="M5455" s="1183"/>
      <c r="N5455" s="1183"/>
      <c r="O5455" s="1183"/>
      <c r="P5455" s="1201"/>
      <c r="Q5455" s="1201"/>
      <c r="R5455" s="1201"/>
      <c r="S5455" s="1201"/>
      <c r="T5455" s="1201"/>
    </row>
    <row r="5456" spans="12:20">
      <c r="L5456" s="1179"/>
      <c r="M5456" s="1183"/>
      <c r="N5456" s="1183"/>
      <c r="O5456" s="1183"/>
      <c r="P5456" s="1201"/>
      <c r="Q5456" s="1201"/>
      <c r="R5456" s="1201"/>
      <c r="S5456" s="1201"/>
      <c r="T5456" s="1201"/>
    </row>
    <row r="5457" spans="12:20">
      <c r="L5457" s="1179"/>
      <c r="M5457" s="1183"/>
      <c r="N5457" s="1183"/>
      <c r="O5457" s="1183"/>
      <c r="P5457" s="1201"/>
      <c r="Q5457" s="1201"/>
      <c r="R5457" s="1201"/>
      <c r="S5457" s="1201"/>
      <c r="T5457" s="1201"/>
    </row>
    <row r="5458" spans="12:20">
      <c r="L5458" s="1179"/>
      <c r="M5458" s="1183"/>
      <c r="N5458" s="1183"/>
      <c r="O5458" s="1183"/>
      <c r="P5458" s="1201"/>
      <c r="Q5458" s="1201"/>
      <c r="R5458" s="1201"/>
      <c r="S5458" s="1201"/>
      <c r="T5458" s="1201"/>
    </row>
    <row r="5459" spans="12:20">
      <c r="L5459" s="1179"/>
      <c r="M5459" s="1183"/>
      <c r="N5459" s="1183"/>
      <c r="O5459" s="1183"/>
      <c r="P5459" s="1201"/>
      <c r="Q5459" s="1201"/>
      <c r="R5459" s="1201"/>
      <c r="S5459" s="1201"/>
      <c r="T5459" s="1201"/>
    </row>
    <row r="5460" spans="12:20">
      <c r="L5460" s="1179"/>
    </row>
    <row r="5461" spans="12:20">
      <c r="L5461" s="1179"/>
    </row>
    <row r="5462" spans="12:20">
      <c r="L5462" s="1179"/>
    </row>
    <row r="5463" spans="12:20">
      <c r="L5463" s="1179"/>
    </row>
    <row r="5464" spans="12:20">
      <c r="L5464" s="1179"/>
    </row>
    <row r="5465" spans="12:20">
      <c r="L5465" s="1179"/>
    </row>
    <row r="5466" spans="12:20">
      <c r="L5466" s="1179"/>
    </row>
    <row r="5467" spans="12:20">
      <c r="L5467" s="1179"/>
    </row>
    <row r="5468" spans="12:20">
      <c r="L5468" s="1179"/>
    </row>
    <row r="5469" spans="12:20">
      <c r="L5469" s="1179"/>
    </row>
    <row r="5470" spans="12:20">
      <c r="L5470" s="1179"/>
    </row>
    <row r="5471" spans="12:20">
      <c r="L5471" s="1179"/>
    </row>
    <row r="5472" spans="12:20">
      <c r="L5472" s="1179"/>
    </row>
    <row r="5473" spans="12:12">
      <c r="L5473" s="1179"/>
    </row>
    <row r="5474" spans="12:12">
      <c r="L5474" s="1179"/>
    </row>
    <row r="5475" spans="12:12">
      <c r="L5475" s="1179"/>
    </row>
    <row r="5476" spans="12:12">
      <c r="L5476" s="1179"/>
    </row>
    <row r="5477" spans="12:12">
      <c r="L5477" s="1179"/>
    </row>
    <row r="5478" spans="12:12">
      <c r="L5478" s="1179"/>
    </row>
    <row r="5479" spans="12:12">
      <c r="L5479" s="1179"/>
    </row>
    <row r="5480" spans="12:12">
      <c r="L5480" s="1179"/>
    </row>
    <row r="5481" spans="12:12">
      <c r="L5481" s="1179"/>
    </row>
    <row r="5482" spans="12:12">
      <c r="L5482" s="1179"/>
    </row>
    <row r="5483" spans="12:12">
      <c r="L5483" s="1179"/>
    </row>
    <row r="5484" spans="12:12">
      <c r="L5484" s="1179"/>
    </row>
    <row r="5485" spans="12:12">
      <c r="L5485" s="1179"/>
    </row>
    <row r="5486" spans="12:12">
      <c r="L5486" s="1179"/>
    </row>
    <row r="5487" spans="12:12">
      <c r="L5487" s="1179"/>
    </row>
    <row r="5488" spans="12:12">
      <c r="L5488" s="1179"/>
    </row>
    <row r="5489" spans="12:12">
      <c r="L5489" s="1179"/>
    </row>
    <row r="5490" spans="12:12">
      <c r="L5490" s="1179"/>
    </row>
    <row r="5491" spans="12:12">
      <c r="L5491" s="1179"/>
    </row>
    <row r="5492" spans="12:12">
      <c r="L5492" s="1179"/>
    </row>
    <row r="5493" spans="12:12">
      <c r="L5493" s="1179"/>
    </row>
    <row r="5494" spans="12:12">
      <c r="L5494" s="1179"/>
    </row>
    <row r="5495" spans="12:12">
      <c r="L5495" s="1179"/>
    </row>
    <row r="5496" spans="12:12">
      <c r="L5496" s="1179"/>
    </row>
    <row r="5497" spans="12:12">
      <c r="L5497" s="1179"/>
    </row>
    <row r="5498" spans="12:12">
      <c r="L5498" s="1179"/>
    </row>
    <row r="5499" spans="12:12">
      <c r="L5499" s="1179"/>
    </row>
    <row r="5500" spans="12:12">
      <c r="L5500" s="1179"/>
    </row>
    <row r="5501" spans="12:12">
      <c r="L5501" s="1179"/>
    </row>
    <row r="5502" spans="12:12">
      <c r="L5502" s="1179"/>
    </row>
    <row r="5503" spans="12:12">
      <c r="L5503" s="1179"/>
    </row>
    <row r="5504" spans="12:12">
      <c r="L5504" s="1179"/>
    </row>
    <row r="5505" spans="12:12">
      <c r="L5505" s="1179"/>
    </row>
    <row r="5506" spans="12:12">
      <c r="L5506" s="1179"/>
    </row>
    <row r="5507" spans="12:12">
      <c r="L5507" s="1179"/>
    </row>
    <row r="5508" spans="12:12">
      <c r="L5508" s="1179"/>
    </row>
    <row r="5509" spans="12:12">
      <c r="L5509" s="1179"/>
    </row>
    <row r="5510" spans="12:12">
      <c r="L5510" s="1179"/>
    </row>
    <row r="5511" spans="12:12">
      <c r="L5511" s="1179"/>
    </row>
    <row r="5512" spans="12:12">
      <c r="L5512" s="1179"/>
    </row>
    <row r="5513" spans="12:12">
      <c r="L5513" s="1179"/>
    </row>
    <row r="5514" spans="12:12">
      <c r="L5514" s="1179"/>
    </row>
    <row r="5515" spans="12:12">
      <c r="L5515" s="1179"/>
    </row>
    <row r="5516" spans="12:12">
      <c r="L5516" s="1179"/>
    </row>
    <row r="5517" spans="12:12">
      <c r="L5517" s="1179"/>
    </row>
    <row r="5518" spans="12:12">
      <c r="L5518" s="1179"/>
    </row>
    <row r="5519" spans="12:12">
      <c r="L5519" s="1179"/>
    </row>
    <row r="5520" spans="12:12">
      <c r="L5520" s="1179"/>
    </row>
    <row r="5521" spans="12:12">
      <c r="L5521" s="1179"/>
    </row>
    <row r="5522" spans="12:12">
      <c r="L5522" s="1179"/>
    </row>
    <row r="5523" spans="12:12">
      <c r="L5523" s="1179"/>
    </row>
    <row r="5524" spans="12:12">
      <c r="L5524" s="1179"/>
    </row>
    <row r="5525" spans="12:12">
      <c r="L5525" s="1179"/>
    </row>
    <row r="5526" spans="12:12">
      <c r="L5526" s="1179"/>
    </row>
    <row r="5527" spans="12:12">
      <c r="L5527" s="1179"/>
    </row>
    <row r="5528" spans="12:12">
      <c r="L5528" s="1179"/>
    </row>
    <row r="5529" spans="12:12">
      <c r="L5529" s="1179"/>
    </row>
    <row r="5530" spans="12:12">
      <c r="L5530" s="1179"/>
    </row>
    <row r="5531" spans="12:12">
      <c r="L5531" s="1179"/>
    </row>
    <row r="5532" spans="12:12">
      <c r="L5532" s="1179"/>
    </row>
    <row r="5533" spans="12:12">
      <c r="L5533" s="1179"/>
    </row>
    <row r="5534" spans="12:12">
      <c r="L5534" s="1179"/>
    </row>
    <row r="5535" spans="12:12">
      <c r="L5535" s="1179"/>
    </row>
    <row r="5536" spans="12:12">
      <c r="L5536" s="1179"/>
    </row>
    <row r="5537" spans="12:12">
      <c r="L5537" s="1179"/>
    </row>
    <row r="5538" spans="12:12">
      <c r="L5538" s="1179"/>
    </row>
    <row r="5539" spans="12:12">
      <c r="L5539" s="1179"/>
    </row>
    <row r="5540" spans="12:12">
      <c r="L5540" s="1179"/>
    </row>
    <row r="5541" spans="12:12">
      <c r="L5541" s="1179"/>
    </row>
    <row r="5542" spans="12:12">
      <c r="L5542" s="1179"/>
    </row>
    <row r="5543" spans="12:12">
      <c r="L5543" s="1179"/>
    </row>
    <row r="5544" spans="12:12">
      <c r="L5544" s="1179"/>
    </row>
    <row r="5545" spans="12:12">
      <c r="L5545" s="1179"/>
    </row>
    <row r="5546" spans="12:12">
      <c r="L5546" s="1179"/>
    </row>
    <row r="5547" spans="12:12">
      <c r="L5547" s="1179"/>
    </row>
    <row r="5548" spans="12:12">
      <c r="L5548" s="1179"/>
    </row>
    <row r="5549" spans="12:12">
      <c r="L5549" s="1179"/>
    </row>
    <row r="5550" spans="12:12">
      <c r="L5550" s="1179"/>
    </row>
    <row r="5551" spans="12:12">
      <c r="L5551" s="1179"/>
    </row>
    <row r="5552" spans="12:12">
      <c r="L5552" s="1179"/>
    </row>
    <row r="5553" spans="12:12">
      <c r="L5553" s="1179"/>
    </row>
    <row r="5554" spans="12:12">
      <c r="L5554" s="1179"/>
    </row>
    <row r="5555" spans="12:12">
      <c r="L5555" s="1179"/>
    </row>
    <row r="5556" spans="12:12">
      <c r="L5556" s="1179"/>
    </row>
    <row r="5557" spans="12:12">
      <c r="L5557" s="1179"/>
    </row>
    <row r="5558" spans="12:12">
      <c r="L5558" s="1179"/>
    </row>
    <row r="5559" spans="12:12">
      <c r="L5559" s="1179"/>
    </row>
    <row r="5560" spans="12:12">
      <c r="L5560" s="1179"/>
    </row>
    <row r="5561" spans="12:12">
      <c r="L5561" s="1179"/>
    </row>
    <row r="5562" spans="12:12">
      <c r="L5562" s="1179"/>
    </row>
    <row r="5563" spans="12:12">
      <c r="L5563" s="1179"/>
    </row>
    <row r="5564" spans="12:12">
      <c r="L5564" s="1179"/>
    </row>
    <row r="5565" spans="12:12">
      <c r="L5565" s="1179"/>
    </row>
    <row r="5566" spans="12:12">
      <c r="L5566" s="1179"/>
    </row>
    <row r="5567" spans="12:12">
      <c r="L5567" s="1179"/>
    </row>
    <row r="5568" spans="12:12">
      <c r="L5568" s="1179"/>
    </row>
    <row r="5569" spans="12:12">
      <c r="L5569" s="1179"/>
    </row>
    <row r="5570" spans="12:12">
      <c r="L5570" s="1179"/>
    </row>
    <row r="5571" spans="12:12">
      <c r="L5571" s="1179"/>
    </row>
    <row r="5572" spans="12:12">
      <c r="L5572" s="1179"/>
    </row>
    <row r="5573" spans="12:12">
      <c r="L5573" s="1179"/>
    </row>
    <row r="5574" spans="12:12">
      <c r="L5574" s="1179"/>
    </row>
    <row r="5575" spans="12:12">
      <c r="L5575" s="1179"/>
    </row>
    <row r="5576" spans="12:12">
      <c r="L5576" s="1179"/>
    </row>
    <row r="5577" spans="12:12">
      <c r="L5577" s="1179"/>
    </row>
    <row r="5578" spans="12:12">
      <c r="L5578" s="1179"/>
    </row>
    <row r="5579" spans="12:12">
      <c r="L5579" s="1179"/>
    </row>
    <row r="5580" spans="12:12">
      <c r="L5580" s="1179"/>
    </row>
    <row r="5581" spans="12:12">
      <c r="L5581" s="1179"/>
    </row>
    <row r="5582" spans="12:12">
      <c r="L5582" s="1179"/>
    </row>
    <row r="5583" spans="12:12">
      <c r="L5583" s="1179"/>
    </row>
    <row r="5584" spans="12:12">
      <c r="L5584" s="1179"/>
    </row>
    <row r="5585" spans="12:12">
      <c r="L5585" s="1179"/>
    </row>
    <row r="5586" spans="12:12">
      <c r="L5586" s="1179"/>
    </row>
    <row r="5587" spans="12:12">
      <c r="L5587" s="1179"/>
    </row>
    <row r="5588" spans="12:12">
      <c r="L5588" s="1179"/>
    </row>
    <row r="5589" spans="12:12">
      <c r="L5589" s="1179"/>
    </row>
    <row r="5590" spans="12:12">
      <c r="L5590" s="1179"/>
    </row>
    <row r="5591" spans="12:12">
      <c r="L5591" s="1179"/>
    </row>
    <row r="5592" spans="12:12">
      <c r="L5592" s="1179"/>
    </row>
    <row r="5593" spans="12:12">
      <c r="L5593" s="1179"/>
    </row>
    <row r="5594" spans="12:12">
      <c r="L5594" s="1179"/>
    </row>
    <row r="5595" spans="12:12">
      <c r="L5595" s="1179"/>
    </row>
    <row r="5596" spans="12:12">
      <c r="L5596" s="1179"/>
    </row>
    <row r="5597" spans="12:12">
      <c r="L5597" s="1179"/>
    </row>
    <row r="5598" spans="12:12">
      <c r="L5598" s="1179"/>
    </row>
    <row r="5599" spans="12:12">
      <c r="L5599" s="1179"/>
    </row>
    <row r="5600" spans="12:12">
      <c r="L5600" s="1179"/>
    </row>
    <row r="5601" spans="12:12">
      <c r="L5601" s="1179"/>
    </row>
    <row r="5602" spans="12:12">
      <c r="L5602" s="1179"/>
    </row>
    <row r="5603" spans="12:12">
      <c r="L5603" s="1179"/>
    </row>
    <row r="5604" spans="12:12">
      <c r="L5604" s="1179"/>
    </row>
    <row r="5605" spans="12:12">
      <c r="L5605" s="1179"/>
    </row>
    <row r="5606" spans="12:12">
      <c r="L5606" s="1179"/>
    </row>
    <row r="5607" spans="12:12">
      <c r="L5607" s="1179"/>
    </row>
    <row r="5608" spans="12:12">
      <c r="L5608" s="1179"/>
    </row>
    <row r="5609" spans="12:12">
      <c r="L5609" s="1179"/>
    </row>
    <row r="5610" spans="12:12">
      <c r="L5610" s="1179"/>
    </row>
    <row r="5611" spans="12:12">
      <c r="L5611" s="1179"/>
    </row>
    <row r="5612" spans="12:12">
      <c r="L5612" s="1179"/>
    </row>
    <row r="5613" spans="12:12">
      <c r="L5613" s="1179"/>
    </row>
    <row r="5614" spans="12:12">
      <c r="L5614" s="1179"/>
    </row>
    <row r="5615" spans="12:12">
      <c r="L5615" s="1179"/>
    </row>
    <row r="5616" spans="12:12">
      <c r="L5616" s="1179"/>
    </row>
    <row r="5617" spans="12:12">
      <c r="L5617" s="1179"/>
    </row>
    <row r="5618" spans="12:12">
      <c r="L5618" s="1179"/>
    </row>
    <row r="5619" spans="12:12">
      <c r="L5619" s="1179"/>
    </row>
    <row r="5620" spans="12:12">
      <c r="L5620" s="1179"/>
    </row>
    <row r="5621" spans="12:12">
      <c r="L5621" s="1179"/>
    </row>
    <row r="5622" spans="12:12">
      <c r="L5622" s="1179"/>
    </row>
    <row r="5623" spans="12:12">
      <c r="L5623" s="1179"/>
    </row>
    <row r="5624" spans="12:12">
      <c r="L5624" s="1179"/>
    </row>
    <row r="5625" spans="12:12">
      <c r="L5625" s="1179"/>
    </row>
    <row r="5626" spans="12:12">
      <c r="L5626" s="1179"/>
    </row>
    <row r="5627" spans="12:12">
      <c r="L5627" s="1179"/>
    </row>
    <row r="5628" spans="12:12">
      <c r="L5628" s="1179"/>
    </row>
    <row r="5629" spans="12:12">
      <c r="L5629" s="1179"/>
    </row>
    <row r="5630" spans="12:12">
      <c r="L5630" s="1179"/>
    </row>
    <row r="5631" spans="12:12">
      <c r="L5631" s="1179"/>
    </row>
    <row r="5632" spans="12:12">
      <c r="L5632" s="1179"/>
    </row>
    <row r="5633" spans="12:12">
      <c r="L5633" s="1179"/>
    </row>
    <row r="5634" spans="12:12">
      <c r="L5634" s="1179"/>
    </row>
    <row r="5635" spans="12:12">
      <c r="L5635" s="1179"/>
    </row>
    <row r="5636" spans="12:12">
      <c r="L5636" s="1179"/>
    </row>
    <row r="5637" spans="12:12">
      <c r="L5637" s="1179"/>
    </row>
    <row r="5638" spans="12:12">
      <c r="L5638" s="1179"/>
    </row>
    <row r="5639" spans="12:12">
      <c r="L5639" s="1179"/>
    </row>
    <row r="5640" spans="12:12">
      <c r="L5640" s="1179"/>
    </row>
    <row r="5641" spans="12:12">
      <c r="L5641" s="1179"/>
    </row>
    <row r="5642" spans="12:12">
      <c r="L5642" s="1179"/>
    </row>
    <row r="5643" spans="12:12">
      <c r="L5643" s="1179"/>
    </row>
    <row r="5644" spans="12:12">
      <c r="L5644" s="1179"/>
    </row>
    <row r="5645" spans="12:12">
      <c r="L5645" s="1179"/>
    </row>
    <row r="5646" spans="12:12">
      <c r="L5646" s="1179"/>
    </row>
    <row r="5647" spans="12:12">
      <c r="L5647" s="1179"/>
    </row>
    <row r="5648" spans="12:12">
      <c r="L5648" s="1179"/>
    </row>
    <row r="5649" spans="12:12">
      <c r="L5649" s="1179"/>
    </row>
    <row r="5650" spans="12:12">
      <c r="L5650" s="1179"/>
    </row>
    <row r="5651" spans="12:12">
      <c r="L5651" s="1179"/>
    </row>
    <row r="5652" spans="12:12">
      <c r="L5652" s="1179"/>
    </row>
    <row r="5653" spans="12:12">
      <c r="L5653" s="1179"/>
    </row>
    <row r="5654" spans="12:12">
      <c r="L5654" s="1179"/>
    </row>
    <row r="5655" spans="12:12">
      <c r="L5655" s="1179"/>
    </row>
    <row r="5656" spans="12:12">
      <c r="L5656" s="1179"/>
    </row>
    <row r="5657" spans="12:12">
      <c r="L5657" s="1179"/>
    </row>
    <row r="5658" spans="12:12">
      <c r="L5658" s="1179"/>
    </row>
    <row r="5659" spans="12:12">
      <c r="L5659" s="1179"/>
    </row>
    <row r="5660" spans="12:12">
      <c r="L5660" s="1179"/>
    </row>
    <row r="5661" spans="12:12">
      <c r="L5661" s="1179"/>
    </row>
    <row r="5662" spans="12:12">
      <c r="L5662" s="1179"/>
    </row>
    <row r="5663" spans="12:12">
      <c r="L5663" s="1179"/>
    </row>
    <row r="5664" spans="12:12">
      <c r="L5664" s="1179"/>
    </row>
    <row r="5665" spans="12:12">
      <c r="L5665" s="1179"/>
    </row>
    <row r="5666" spans="12:12">
      <c r="L5666" s="1179"/>
    </row>
    <row r="5667" spans="12:12">
      <c r="L5667" s="1179"/>
    </row>
    <row r="5668" spans="12:12">
      <c r="L5668" s="1179"/>
    </row>
    <row r="5669" spans="12:12">
      <c r="L5669" s="1179"/>
    </row>
    <row r="5670" spans="12:12">
      <c r="L5670" s="1179"/>
    </row>
    <row r="5671" spans="12:12">
      <c r="L5671" s="1179"/>
    </row>
    <row r="5672" spans="12:12">
      <c r="L5672" s="1179"/>
    </row>
    <row r="5673" spans="12:12">
      <c r="L5673" s="1179"/>
    </row>
    <row r="5674" spans="12:12">
      <c r="L5674" s="1179"/>
    </row>
    <row r="5675" spans="12:12">
      <c r="L5675" s="1179"/>
    </row>
    <row r="5676" spans="12:12">
      <c r="L5676" s="1179"/>
    </row>
    <row r="5677" spans="12:12">
      <c r="L5677" s="1179"/>
    </row>
    <row r="5678" spans="12:12">
      <c r="L5678" s="1179"/>
    </row>
    <row r="5679" spans="12:12">
      <c r="L5679" s="1179"/>
    </row>
    <row r="5680" spans="12:12">
      <c r="L5680" s="1179"/>
    </row>
    <row r="5681" spans="12:12">
      <c r="L5681" s="1179"/>
    </row>
    <row r="5682" spans="12:12">
      <c r="L5682" s="1179"/>
    </row>
    <row r="5683" spans="12:12">
      <c r="L5683" s="1179"/>
    </row>
    <row r="5684" spans="12:12">
      <c r="L5684" s="1179"/>
    </row>
    <row r="5685" spans="12:12">
      <c r="L5685" s="1179"/>
    </row>
    <row r="5686" spans="12:12">
      <c r="L5686" s="1179"/>
    </row>
    <row r="5687" spans="12:12">
      <c r="L5687" s="1179"/>
    </row>
    <row r="5688" spans="12:12">
      <c r="L5688" s="1179"/>
    </row>
    <row r="5689" spans="12:12">
      <c r="L5689" s="1179"/>
    </row>
    <row r="5690" spans="12:12">
      <c r="L5690" s="1179"/>
    </row>
    <row r="5691" spans="12:12">
      <c r="L5691" s="1179"/>
    </row>
    <row r="5692" spans="12:12">
      <c r="L5692" s="1179"/>
    </row>
    <row r="5693" spans="12:12">
      <c r="L5693" s="1179"/>
    </row>
    <row r="5694" spans="12:12">
      <c r="L5694" s="1179"/>
    </row>
    <row r="5695" spans="12:12">
      <c r="L5695" s="1179"/>
    </row>
    <row r="5696" spans="12:12">
      <c r="L5696" s="1179"/>
    </row>
    <row r="5697" spans="12:12">
      <c r="L5697" s="1179"/>
    </row>
    <row r="5698" spans="12:12">
      <c r="L5698" s="1179"/>
    </row>
    <row r="5699" spans="12:12">
      <c r="L5699" s="1179"/>
    </row>
    <row r="5700" spans="12:12">
      <c r="L5700" s="1179"/>
    </row>
    <row r="5701" spans="12:12">
      <c r="L5701" s="1179"/>
    </row>
    <row r="5702" spans="12:12">
      <c r="L5702" s="1179"/>
    </row>
    <row r="5703" spans="12:12">
      <c r="L5703" s="1179"/>
    </row>
    <row r="5704" spans="12:12">
      <c r="L5704" s="1179"/>
    </row>
    <row r="5705" spans="12:12">
      <c r="L5705" s="1179"/>
    </row>
    <row r="5706" spans="12:12">
      <c r="L5706" s="1179"/>
    </row>
    <row r="5707" spans="12:12">
      <c r="L5707" s="1179"/>
    </row>
    <row r="5708" spans="12:12">
      <c r="L5708" s="1179"/>
    </row>
    <row r="5709" spans="12:12">
      <c r="L5709" s="1179"/>
    </row>
    <row r="5710" spans="12:12">
      <c r="L5710" s="1179"/>
    </row>
    <row r="5711" spans="12:12">
      <c r="L5711" s="1179"/>
    </row>
    <row r="5712" spans="12:12">
      <c r="L5712" s="1179"/>
    </row>
    <row r="5713" spans="12:12">
      <c r="L5713" s="1179"/>
    </row>
    <row r="5714" spans="12:12">
      <c r="L5714" s="1179"/>
    </row>
    <row r="5715" spans="12:12">
      <c r="L5715" s="1179"/>
    </row>
    <row r="5716" spans="12:12">
      <c r="L5716" s="1179"/>
    </row>
    <row r="5717" spans="12:12">
      <c r="L5717" s="1179"/>
    </row>
    <row r="5718" spans="12:12">
      <c r="L5718" s="1179"/>
    </row>
    <row r="5719" spans="12:12">
      <c r="L5719" s="1179"/>
    </row>
    <row r="5720" spans="12:12">
      <c r="L5720" s="1179"/>
    </row>
    <row r="5721" spans="12:12">
      <c r="L5721" s="1179"/>
    </row>
    <row r="5722" spans="12:12">
      <c r="L5722" s="1179"/>
    </row>
    <row r="5723" spans="12:12">
      <c r="L5723" s="1179"/>
    </row>
    <row r="5724" spans="12:12">
      <c r="L5724" s="1179"/>
    </row>
    <row r="5725" spans="12:12">
      <c r="L5725" s="1179"/>
    </row>
    <row r="5726" spans="12:12">
      <c r="L5726" s="1179"/>
    </row>
    <row r="5727" spans="12:12">
      <c r="L5727" s="1179"/>
    </row>
    <row r="5728" spans="12:12">
      <c r="L5728" s="1179"/>
    </row>
    <row r="5729" spans="12:12">
      <c r="L5729" s="1179"/>
    </row>
    <row r="5730" spans="12:12">
      <c r="L5730" s="1179"/>
    </row>
    <row r="5731" spans="12:12">
      <c r="L5731" s="1179"/>
    </row>
    <row r="5732" spans="12:12">
      <c r="L5732" s="1179"/>
    </row>
    <row r="5733" spans="12:12">
      <c r="L5733" s="1179"/>
    </row>
    <row r="5734" spans="12:12">
      <c r="L5734" s="1179"/>
    </row>
    <row r="5735" spans="12:12">
      <c r="L5735" s="1179"/>
    </row>
    <row r="5736" spans="12:12">
      <c r="L5736" s="1179"/>
    </row>
    <row r="5737" spans="12:12">
      <c r="L5737" s="1179"/>
    </row>
    <row r="5738" spans="12:12">
      <c r="L5738" s="1179"/>
    </row>
    <row r="5739" spans="12:12">
      <c r="L5739" s="1179"/>
    </row>
    <row r="5740" spans="12:12">
      <c r="L5740" s="1179"/>
    </row>
    <row r="5741" spans="12:12">
      <c r="L5741" s="1179"/>
    </row>
    <row r="5742" spans="12:12">
      <c r="L5742" s="1179"/>
    </row>
    <row r="5743" spans="12:12">
      <c r="L5743" s="1179"/>
    </row>
    <row r="5744" spans="12:12">
      <c r="L5744" s="1179"/>
    </row>
    <row r="5745" spans="12:12">
      <c r="L5745" s="1179"/>
    </row>
    <row r="5746" spans="12:12">
      <c r="L5746" s="1179"/>
    </row>
    <row r="5747" spans="12:12">
      <c r="L5747" s="1179"/>
    </row>
    <row r="5748" spans="12:12">
      <c r="L5748" s="1179"/>
    </row>
    <row r="5749" spans="12:12">
      <c r="L5749" s="1179"/>
    </row>
    <row r="5750" spans="12:12">
      <c r="L5750" s="1179"/>
    </row>
    <row r="5751" spans="12:12">
      <c r="L5751" s="1179"/>
    </row>
    <row r="5752" spans="12:12">
      <c r="L5752" s="1179"/>
    </row>
    <row r="5753" spans="12:12">
      <c r="L5753" s="1179"/>
    </row>
    <row r="5754" spans="12:12">
      <c r="L5754" s="1179"/>
    </row>
    <row r="5755" spans="12:12">
      <c r="L5755" s="1179"/>
    </row>
    <row r="5756" spans="12:12">
      <c r="L5756" s="1179"/>
    </row>
    <row r="5757" spans="12:12">
      <c r="L5757" s="1179"/>
    </row>
    <row r="5758" spans="12:12">
      <c r="L5758" s="1179"/>
    </row>
    <row r="5759" spans="12:12">
      <c r="L5759" s="1179"/>
    </row>
    <row r="5760" spans="12:12">
      <c r="L5760" s="1179"/>
    </row>
    <row r="5761" spans="12:12">
      <c r="L5761" s="1179"/>
    </row>
    <row r="5762" spans="12:12">
      <c r="L5762" s="1179"/>
    </row>
    <row r="5763" spans="12:12">
      <c r="L5763" s="1179"/>
    </row>
    <row r="5764" spans="12:12">
      <c r="L5764" s="1179"/>
    </row>
    <row r="5765" spans="12:12">
      <c r="L5765" s="1179"/>
    </row>
    <row r="5766" spans="12:12">
      <c r="L5766" s="1179"/>
    </row>
    <row r="5767" spans="12:12">
      <c r="L5767" s="1179"/>
    </row>
    <row r="5768" spans="12:12">
      <c r="L5768" s="1179"/>
    </row>
    <row r="5769" spans="12:12">
      <c r="L5769" s="1179"/>
    </row>
    <row r="5770" spans="12:12">
      <c r="L5770" s="1179"/>
    </row>
    <row r="5771" spans="12:12">
      <c r="L5771" s="1179"/>
    </row>
    <row r="5772" spans="12:12">
      <c r="L5772" s="1179"/>
    </row>
    <row r="5773" spans="12:12">
      <c r="L5773" s="1179"/>
    </row>
    <row r="5774" spans="12:12">
      <c r="L5774" s="1179"/>
    </row>
    <row r="5775" spans="12:12">
      <c r="L5775" s="1179"/>
    </row>
    <row r="5776" spans="12:12">
      <c r="L5776" s="1179"/>
    </row>
    <row r="5777" spans="12:12">
      <c r="L5777" s="1179"/>
    </row>
    <row r="5778" spans="12:12">
      <c r="L5778" s="1179"/>
    </row>
    <row r="5779" spans="12:12">
      <c r="L5779" s="1179"/>
    </row>
    <row r="5780" spans="12:12">
      <c r="L5780" s="1179"/>
    </row>
    <row r="5781" spans="12:12">
      <c r="L5781" s="1179"/>
    </row>
    <row r="5782" spans="12:12">
      <c r="L5782" s="1179"/>
    </row>
    <row r="5783" spans="12:12">
      <c r="L5783" s="1179"/>
    </row>
    <row r="5784" spans="12:12">
      <c r="L5784" s="1179"/>
    </row>
    <row r="5785" spans="12:12">
      <c r="L5785" s="1179"/>
    </row>
    <row r="5786" spans="12:12">
      <c r="L5786" s="1179"/>
    </row>
    <row r="5787" spans="12:12">
      <c r="L5787" s="1179"/>
    </row>
    <row r="5788" spans="12:12">
      <c r="L5788" s="1179"/>
    </row>
    <row r="5789" spans="12:12">
      <c r="L5789" s="1179"/>
    </row>
    <row r="5790" spans="12:12">
      <c r="L5790" s="1179"/>
    </row>
    <row r="5791" spans="12:12">
      <c r="L5791" s="1179"/>
    </row>
    <row r="5792" spans="12:12">
      <c r="L5792" s="1179"/>
    </row>
    <row r="5793" spans="12:12">
      <c r="L5793" s="1179"/>
    </row>
    <row r="5794" spans="12:12">
      <c r="L5794" s="1179"/>
    </row>
    <row r="5795" spans="12:12">
      <c r="L5795" s="1179"/>
    </row>
    <row r="5796" spans="12:12">
      <c r="L5796" s="1179"/>
    </row>
    <row r="5797" spans="12:12">
      <c r="L5797" s="1179"/>
    </row>
    <row r="5798" spans="12:12">
      <c r="L5798" s="1179"/>
    </row>
    <row r="5799" spans="12:12">
      <c r="L5799" s="1179"/>
    </row>
    <row r="5800" spans="12:12">
      <c r="L5800" s="1179"/>
    </row>
    <row r="5801" spans="12:12">
      <c r="L5801" s="1179"/>
    </row>
    <row r="5802" spans="12:12">
      <c r="L5802" s="1179"/>
    </row>
    <row r="5803" spans="12:12">
      <c r="L5803" s="1179"/>
    </row>
    <row r="5804" spans="12:12">
      <c r="L5804" s="1179"/>
    </row>
    <row r="5805" spans="12:12">
      <c r="L5805" s="1179"/>
    </row>
    <row r="5806" spans="12:12">
      <c r="L5806" s="1179"/>
    </row>
    <row r="5807" spans="12:12">
      <c r="L5807" s="1179"/>
    </row>
    <row r="5808" spans="12:12">
      <c r="L5808" s="1179"/>
    </row>
    <row r="5809" spans="12:12">
      <c r="L5809" s="1179"/>
    </row>
    <row r="5810" spans="12:12">
      <c r="L5810" s="1179"/>
    </row>
    <row r="5811" spans="12:12">
      <c r="L5811" s="1179"/>
    </row>
    <row r="5812" spans="12:12">
      <c r="L5812" s="1179"/>
    </row>
    <row r="5813" spans="12:12">
      <c r="L5813" s="1179"/>
    </row>
    <row r="5814" spans="12:12">
      <c r="L5814" s="1179"/>
    </row>
    <row r="5815" spans="12:12">
      <c r="L5815" s="1179"/>
    </row>
    <row r="5816" spans="12:12">
      <c r="L5816" s="1179"/>
    </row>
    <row r="5817" spans="12:12">
      <c r="L5817" s="1179"/>
    </row>
    <row r="5818" spans="12:12">
      <c r="L5818" s="1179"/>
    </row>
    <row r="5819" spans="12:12">
      <c r="L5819" s="1179"/>
    </row>
    <row r="5820" spans="12:12">
      <c r="L5820" s="1179"/>
    </row>
    <row r="5821" spans="12:12">
      <c r="L5821" s="1179"/>
    </row>
    <row r="5822" spans="12:12">
      <c r="L5822" s="1179"/>
    </row>
    <row r="5823" spans="12:12">
      <c r="L5823" s="1179"/>
    </row>
    <row r="5824" spans="12:12">
      <c r="L5824" s="1179"/>
    </row>
    <row r="5825" spans="12:12">
      <c r="L5825" s="1179"/>
    </row>
    <row r="5826" spans="12:12">
      <c r="L5826" s="1179"/>
    </row>
    <row r="5827" spans="12:12">
      <c r="L5827" s="1179"/>
    </row>
    <row r="5828" spans="12:12">
      <c r="L5828" s="1179"/>
    </row>
    <row r="5829" spans="12:12">
      <c r="L5829" s="1179"/>
    </row>
    <row r="5830" spans="12:12">
      <c r="L5830" s="1179"/>
    </row>
    <row r="5831" spans="12:12">
      <c r="L5831" s="1179"/>
    </row>
    <row r="5832" spans="12:12">
      <c r="L5832" s="1179"/>
    </row>
    <row r="5833" spans="12:12">
      <c r="L5833" s="1179"/>
    </row>
    <row r="5834" spans="12:12">
      <c r="L5834" s="1179"/>
    </row>
    <row r="5835" spans="12:12">
      <c r="L5835" s="1179"/>
    </row>
    <row r="5836" spans="12:12">
      <c r="L5836" s="1179"/>
    </row>
    <row r="5837" spans="12:12">
      <c r="L5837" s="1179"/>
    </row>
    <row r="5838" spans="12:12">
      <c r="L5838" s="1179"/>
    </row>
    <row r="5839" spans="12:12">
      <c r="L5839" s="1179"/>
    </row>
    <row r="5840" spans="12:12">
      <c r="L5840" s="1179"/>
    </row>
    <row r="5841" spans="12:12">
      <c r="L5841" s="1179"/>
    </row>
    <row r="5842" spans="12:12">
      <c r="L5842" s="1179"/>
    </row>
    <row r="5843" spans="12:12">
      <c r="L5843" s="1179"/>
    </row>
    <row r="5844" spans="12:12">
      <c r="L5844" s="1179"/>
    </row>
    <row r="5845" spans="12:12">
      <c r="L5845" s="1179"/>
    </row>
    <row r="5846" spans="12:12">
      <c r="L5846" s="1179"/>
    </row>
    <row r="5847" spans="12:12">
      <c r="L5847" s="1179"/>
    </row>
    <row r="5848" spans="12:12">
      <c r="L5848" s="1179"/>
    </row>
    <row r="5849" spans="12:12">
      <c r="L5849" s="1179"/>
    </row>
    <row r="5850" spans="12:12">
      <c r="L5850" s="1179"/>
    </row>
    <row r="5851" spans="12:12">
      <c r="L5851" s="1179"/>
    </row>
    <row r="5852" spans="12:12">
      <c r="L5852" s="1179"/>
    </row>
    <row r="5853" spans="12:12">
      <c r="L5853" s="1179"/>
    </row>
    <row r="5854" spans="12:12">
      <c r="L5854" s="1179"/>
    </row>
    <row r="5855" spans="12:12">
      <c r="L5855" s="1179"/>
    </row>
    <row r="5856" spans="12:12">
      <c r="L5856" s="1179"/>
    </row>
    <row r="5857" spans="12:12">
      <c r="L5857" s="1179"/>
    </row>
    <row r="5858" spans="12:12">
      <c r="L5858" s="1179"/>
    </row>
    <row r="5859" spans="12:12">
      <c r="L5859" s="1179"/>
    </row>
    <row r="5860" spans="12:12">
      <c r="L5860" s="1179"/>
    </row>
    <row r="5861" spans="12:12">
      <c r="L5861" s="1179"/>
    </row>
    <row r="5862" spans="12:12">
      <c r="L5862" s="1179"/>
    </row>
    <row r="5863" spans="12:12">
      <c r="L5863" s="1179"/>
    </row>
    <row r="5864" spans="12:12">
      <c r="L5864" s="1179"/>
    </row>
    <row r="5865" spans="12:12">
      <c r="L5865" s="1179"/>
    </row>
    <row r="5866" spans="12:12">
      <c r="L5866" s="1179"/>
    </row>
    <row r="5867" spans="12:12">
      <c r="L5867" s="1179"/>
    </row>
    <row r="5868" spans="12:12">
      <c r="L5868" s="1179"/>
    </row>
    <row r="5869" spans="12:12">
      <c r="L5869" s="1179"/>
    </row>
    <row r="5870" spans="12:12">
      <c r="L5870" s="1179"/>
    </row>
    <row r="5871" spans="12:12">
      <c r="L5871" s="1179"/>
    </row>
    <row r="5872" spans="12:12">
      <c r="L5872" s="1179"/>
    </row>
    <row r="5873" spans="12:12">
      <c r="L5873" s="1179"/>
    </row>
    <row r="5874" spans="12:12">
      <c r="L5874" s="1179"/>
    </row>
    <row r="5875" spans="12:12">
      <c r="L5875" s="1179"/>
    </row>
    <row r="5876" spans="12:12">
      <c r="L5876" s="1179"/>
    </row>
    <row r="5877" spans="12:12">
      <c r="L5877" s="1179"/>
    </row>
    <row r="5878" spans="12:12">
      <c r="L5878" s="1179"/>
    </row>
    <row r="5879" spans="12:12">
      <c r="L5879" s="1179"/>
    </row>
    <row r="5880" spans="12:12">
      <c r="L5880" s="1179"/>
    </row>
    <row r="5881" spans="12:12">
      <c r="L5881" s="1179"/>
    </row>
    <row r="5882" spans="12:12">
      <c r="L5882" s="1179"/>
    </row>
    <row r="5883" spans="12:12">
      <c r="L5883" s="1179"/>
    </row>
    <row r="5884" spans="12:12">
      <c r="L5884" s="1179"/>
    </row>
    <row r="5885" spans="12:12">
      <c r="L5885" s="1179"/>
    </row>
    <row r="5886" spans="12:12">
      <c r="L5886" s="1179"/>
    </row>
    <row r="5887" spans="12:12">
      <c r="L5887" s="1179"/>
    </row>
    <row r="5888" spans="12:12">
      <c r="L5888" s="1179"/>
    </row>
    <row r="5889" spans="12:12">
      <c r="L5889" s="1179"/>
    </row>
    <row r="5890" spans="12:12">
      <c r="L5890" s="1179"/>
    </row>
    <row r="5891" spans="12:12">
      <c r="L5891" s="1179"/>
    </row>
    <row r="5892" spans="12:12">
      <c r="L5892" s="1179"/>
    </row>
    <row r="5893" spans="12:12">
      <c r="L5893" s="1179"/>
    </row>
    <row r="5894" spans="12:12">
      <c r="L5894" s="1179"/>
    </row>
    <row r="5895" spans="12:12">
      <c r="L5895" s="1179"/>
    </row>
    <row r="5896" spans="12:12">
      <c r="L5896" s="1179"/>
    </row>
    <row r="5897" spans="12:12">
      <c r="L5897" s="1179"/>
    </row>
    <row r="5898" spans="12:12">
      <c r="L5898" s="1179"/>
    </row>
    <row r="5899" spans="12:12">
      <c r="L5899" s="1179"/>
    </row>
    <row r="5900" spans="12:12">
      <c r="L5900" s="1179"/>
    </row>
    <row r="5901" spans="12:12">
      <c r="L5901" s="1179"/>
    </row>
    <row r="5902" spans="12:12">
      <c r="L5902" s="1179"/>
    </row>
    <row r="5903" spans="12:12">
      <c r="L5903" s="1179"/>
    </row>
    <row r="5904" spans="12:12">
      <c r="L5904" s="1179"/>
    </row>
    <row r="5905" spans="12:12">
      <c r="L5905" s="1179"/>
    </row>
    <row r="5906" spans="12:12">
      <c r="L5906" s="1179"/>
    </row>
    <row r="5907" spans="12:12">
      <c r="L5907" s="1179"/>
    </row>
    <row r="5908" spans="12:12">
      <c r="L5908" s="1179"/>
    </row>
    <row r="5909" spans="12:12">
      <c r="L5909" s="1179"/>
    </row>
    <row r="5910" spans="12:12">
      <c r="L5910" s="1179"/>
    </row>
    <row r="5911" spans="12:12">
      <c r="L5911" s="1179"/>
    </row>
    <row r="5912" spans="12:12">
      <c r="L5912" s="1179"/>
    </row>
    <row r="5913" spans="12:12">
      <c r="L5913" s="1179"/>
    </row>
    <row r="5914" spans="12:12">
      <c r="L5914" s="1179"/>
    </row>
    <row r="5915" spans="12:12">
      <c r="L5915" s="1179"/>
    </row>
    <row r="5916" spans="12:12">
      <c r="L5916" s="1179"/>
    </row>
    <row r="5917" spans="12:12">
      <c r="L5917" s="1179"/>
    </row>
    <row r="5918" spans="12:12">
      <c r="L5918" s="1179"/>
    </row>
    <row r="5919" spans="12:12">
      <c r="L5919" s="1179"/>
    </row>
    <row r="5920" spans="12:12">
      <c r="L5920" s="1179"/>
    </row>
    <row r="5921" spans="12:12">
      <c r="L5921" s="1179"/>
    </row>
    <row r="5922" spans="12:12">
      <c r="L5922" s="1179"/>
    </row>
    <row r="5923" spans="12:12">
      <c r="L5923" s="1179"/>
    </row>
    <row r="5924" spans="12:12">
      <c r="L5924" s="1179"/>
    </row>
    <row r="5925" spans="12:12">
      <c r="L5925" s="1179"/>
    </row>
    <row r="5926" spans="12:12">
      <c r="L5926" s="1179"/>
    </row>
    <row r="5927" spans="12:12">
      <c r="L5927" s="1179"/>
    </row>
    <row r="5928" spans="12:12">
      <c r="L5928" s="1179"/>
    </row>
    <row r="5929" spans="12:12">
      <c r="L5929" s="1179"/>
    </row>
    <row r="5930" spans="12:12">
      <c r="L5930" s="1179"/>
    </row>
    <row r="5931" spans="12:12">
      <c r="L5931" s="1179"/>
    </row>
    <row r="5932" spans="12:12">
      <c r="L5932" s="1179"/>
    </row>
    <row r="5933" spans="12:12">
      <c r="L5933" s="1179"/>
    </row>
    <row r="5934" spans="12:12">
      <c r="L5934" s="1179"/>
    </row>
    <row r="5935" spans="12:12">
      <c r="L5935" s="1179"/>
    </row>
    <row r="5936" spans="12:12">
      <c r="L5936" s="1179"/>
    </row>
    <row r="5937" spans="12:12">
      <c r="L5937" s="1179"/>
    </row>
    <row r="5938" spans="12:12">
      <c r="L5938" s="1179"/>
    </row>
    <row r="5939" spans="12:12">
      <c r="L5939" s="1179"/>
    </row>
    <row r="5940" spans="12:12">
      <c r="L5940" s="1179"/>
    </row>
    <row r="5941" spans="12:12">
      <c r="L5941" s="1179"/>
    </row>
    <row r="5942" spans="12:12">
      <c r="L5942" s="1179"/>
    </row>
    <row r="5943" spans="12:12">
      <c r="L5943" s="1179"/>
    </row>
    <row r="5944" spans="12:12">
      <c r="L5944" s="1179"/>
    </row>
    <row r="5945" spans="12:12">
      <c r="L5945" s="1179"/>
    </row>
    <row r="5946" spans="12:12">
      <c r="L5946" s="1179"/>
    </row>
    <row r="5947" spans="12:12">
      <c r="L5947" s="1179"/>
    </row>
    <row r="5948" spans="12:12">
      <c r="L5948" s="1179"/>
    </row>
    <row r="5949" spans="12:12">
      <c r="L5949" s="1179"/>
    </row>
    <row r="5950" spans="12:12">
      <c r="L5950" s="1179"/>
    </row>
    <row r="5951" spans="12:12">
      <c r="L5951" s="1179"/>
    </row>
    <row r="5952" spans="12:12">
      <c r="L5952" s="1179"/>
    </row>
    <row r="5953" spans="12:12">
      <c r="L5953" s="1179"/>
    </row>
    <row r="5954" spans="12:12">
      <c r="L5954" s="1179"/>
    </row>
    <row r="5955" spans="12:12">
      <c r="L5955" s="1179"/>
    </row>
    <row r="5956" spans="12:12">
      <c r="L5956" s="1179"/>
    </row>
    <row r="5957" spans="12:12">
      <c r="L5957" s="1179"/>
    </row>
    <row r="5958" spans="12:12">
      <c r="L5958" s="1179"/>
    </row>
    <row r="5959" spans="12:12">
      <c r="L5959" s="1179"/>
    </row>
    <row r="5960" spans="12:12">
      <c r="L5960" s="1179"/>
    </row>
    <row r="5961" spans="12:12">
      <c r="L5961" s="1179"/>
    </row>
    <row r="5962" spans="12:12">
      <c r="L5962" s="1179"/>
    </row>
    <row r="5963" spans="12:12">
      <c r="L5963" s="1179"/>
    </row>
    <row r="5964" spans="12:12">
      <c r="L5964" s="1179"/>
    </row>
    <row r="5965" spans="12:12">
      <c r="L5965" s="1179"/>
    </row>
    <row r="5966" spans="12:12">
      <c r="L5966" s="1179"/>
    </row>
    <row r="5967" spans="12:12">
      <c r="L5967" s="1179"/>
    </row>
    <row r="5968" spans="12:12">
      <c r="L5968" s="1179"/>
    </row>
    <row r="5969" spans="12:12">
      <c r="L5969" s="1179"/>
    </row>
    <row r="5970" spans="12:12">
      <c r="L5970" s="1179"/>
    </row>
    <row r="5971" spans="12:12">
      <c r="L5971" s="1179"/>
    </row>
    <row r="5972" spans="12:12">
      <c r="L5972" s="1179"/>
    </row>
    <row r="5973" spans="12:12">
      <c r="L5973" s="1179"/>
    </row>
    <row r="5974" spans="12:12">
      <c r="L5974" s="1179"/>
    </row>
    <row r="5975" spans="12:12">
      <c r="L5975" s="1179"/>
    </row>
    <row r="5976" spans="12:12">
      <c r="L5976" s="1179"/>
    </row>
    <row r="5977" spans="12:12">
      <c r="L5977" s="1179"/>
    </row>
    <row r="5978" spans="12:12">
      <c r="L5978" s="1179"/>
    </row>
    <row r="5979" spans="12:12">
      <c r="L5979" s="1179"/>
    </row>
    <row r="5980" spans="12:12">
      <c r="L5980" s="1179"/>
    </row>
    <row r="5981" spans="12:12">
      <c r="L5981" s="1179"/>
    </row>
    <row r="5982" spans="12:12">
      <c r="L5982" s="1179"/>
    </row>
    <row r="5983" spans="12:12">
      <c r="L5983" s="1179"/>
    </row>
    <row r="5984" spans="12:12">
      <c r="L5984" s="1179"/>
    </row>
    <row r="5985" spans="12:12">
      <c r="L5985" s="1179"/>
    </row>
    <row r="5986" spans="12:12">
      <c r="L5986" s="1179"/>
    </row>
    <row r="5987" spans="12:12">
      <c r="L5987" s="1179"/>
    </row>
    <row r="5988" spans="12:12">
      <c r="L5988" s="1179"/>
    </row>
    <row r="5989" spans="12:12">
      <c r="L5989" s="1179"/>
    </row>
    <row r="5990" spans="12:12">
      <c r="L5990" s="1179"/>
    </row>
    <row r="5991" spans="12:12">
      <c r="L5991" s="1179"/>
    </row>
    <row r="5992" spans="12:12">
      <c r="L5992" s="1179"/>
    </row>
    <row r="5993" spans="12:12">
      <c r="L5993" s="1179"/>
    </row>
    <row r="5994" spans="12:12">
      <c r="L5994" s="1179"/>
    </row>
    <row r="5995" spans="12:12">
      <c r="L5995" s="1179"/>
    </row>
    <row r="5996" spans="12:12">
      <c r="L5996" s="1179"/>
    </row>
    <row r="5997" spans="12:12">
      <c r="L5997" s="1179"/>
    </row>
    <row r="5998" spans="12:12">
      <c r="L5998" s="1179"/>
    </row>
    <row r="5999" spans="12:12">
      <c r="L5999" s="1179"/>
    </row>
    <row r="6000" spans="12:12">
      <c r="L6000" s="1179"/>
    </row>
    <row r="6001" spans="12:12">
      <c r="L6001" s="1179"/>
    </row>
    <row r="6002" spans="12:12">
      <c r="L6002" s="1179"/>
    </row>
    <row r="6003" spans="12:12">
      <c r="L6003" s="1179"/>
    </row>
    <row r="6004" spans="12:12">
      <c r="L6004" s="1179"/>
    </row>
    <row r="6005" spans="12:12">
      <c r="L6005" s="1179"/>
    </row>
    <row r="6006" spans="12:12">
      <c r="L6006" s="1179"/>
    </row>
    <row r="6007" spans="12:12">
      <c r="L6007" s="1179"/>
    </row>
    <row r="6008" spans="12:12">
      <c r="L6008" s="1179"/>
    </row>
    <row r="6009" spans="12:12">
      <c r="L6009" s="1179"/>
    </row>
    <row r="6010" spans="12:12">
      <c r="L6010" s="1179"/>
    </row>
    <row r="6011" spans="12:12">
      <c r="L6011" s="1179"/>
    </row>
    <row r="6012" spans="12:12">
      <c r="L6012" s="1179"/>
    </row>
    <row r="6013" spans="12:12">
      <c r="L6013" s="1179"/>
    </row>
    <row r="6014" spans="12:12">
      <c r="L6014" s="1179"/>
    </row>
    <row r="6015" spans="12:12">
      <c r="L6015" s="1179"/>
    </row>
    <row r="6016" spans="12:12">
      <c r="L6016" s="1179"/>
    </row>
    <row r="6017" spans="12:12">
      <c r="L6017" s="1179"/>
    </row>
    <row r="6018" spans="12:12">
      <c r="L6018" s="1179"/>
    </row>
    <row r="6019" spans="12:12">
      <c r="L6019" s="1179"/>
    </row>
    <row r="6020" spans="12:12">
      <c r="L6020" s="1179"/>
    </row>
    <row r="6021" spans="12:12">
      <c r="L6021" s="1179"/>
    </row>
    <row r="6022" spans="12:12">
      <c r="L6022" s="1179"/>
    </row>
    <row r="6023" spans="12:12">
      <c r="L6023" s="1179"/>
    </row>
    <row r="6024" spans="12:12">
      <c r="L6024" s="1179"/>
    </row>
    <row r="6025" spans="12:12">
      <c r="L6025" s="1179"/>
    </row>
    <row r="6026" spans="12:12">
      <c r="L6026" s="1179"/>
    </row>
    <row r="6027" spans="12:12">
      <c r="L6027" s="1179"/>
    </row>
    <row r="6028" spans="12:12">
      <c r="L6028" s="1179"/>
    </row>
    <row r="6029" spans="12:12">
      <c r="L6029" s="1179"/>
    </row>
    <row r="6030" spans="12:12">
      <c r="L6030" s="1179"/>
    </row>
    <row r="6031" spans="12:12">
      <c r="L6031" s="1179"/>
    </row>
    <row r="6032" spans="12:12">
      <c r="L6032" s="1179"/>
    </row>
    <row r="6033" spans="12:12">
      <c r="L6033" s="1179"/>
    </row>
    <row r="6034" spans="12:12">
      <c r="L6034" s="1179"/>
    </row>
    <row r="6035" spans="12:12">
      <c r="L6035" s="1179"/>
    </row>
    <row r="6036" spans="12:12">
      <c r="L6036" s="1179"/>
    </row>
    <row r="6037" spans="12:12">
      <c r="L6037" s="1179"/>
    </row>
    <row r="6038" spans="12:12">
      <c r="L6038" s="1179"/>
    </row>
    <row r="6039" spans="12:12">
      <c r="L6039" s="1179"/>
    </row>
    <row r="6040" spans="12:12">
      <c r="L6040" s="1179"/>
    </row>
    <row r="6041" spans="12:12">
      <c r="L6041" s="1179"/>
    </row>
    <row r="6042" spans="12:12">
      <c r="L6042" s="1179"/>
    </row>
    <row r="6043" spans="12:12">
      <c r="L6043" s="1179"/>
    </row>
    <row r="6044" spans="12:12">
      <c r="L6044" s="1179"/>
    </row>
    <row r="6045" spans="12:12">
      <c r="L6045" s="1179"/>
    </row>
    <row r="6046" spans="12:12">
      <c r="L6046" s="1179"/>
    </row>
    <row r="6047" spans="12:12">
      <c r="L6047" s="1179"/>
    </row>
    <row r="6048" spans="12:12">
      <c r="L6048" s="1179"/>
    </row>
    <row r="6049" spans="12:12">
      <c r="L6049" s="1179"/>
    </row>
    <row r="6050" spans="12:12">
      <c r="L6050" s="1179"/>
    </row>
    <row r="6051" spans="12:12">
      <c r="L6051" s="1179"/>
    </row>
    <row r="6052" spans="12:12">
      <c r="L6052" s="1179"/>
    </row>
    <row r="6053" spans="12:12">
      <c r="L6053" s="1179"/>
    </row>
    <row r="6054" spans="12:12">
      <c r="L6054" s="1179"/>
    </row>
    <row r="6055" spans="12:12">
      <c r="L6055" s="1179"/>
    </row>
    <row r="6056" spans="12:12">
      <c r="L6056" s="1179"/>
    </row>
    <row r="6057" spans="12:12">
      <c r="L6057" s="1179"/>
    </row>
    <row r="6058" spans="12:12">
      <c r="L6058" s="1179"/>
    </row>
    <row r="6059" spans="12:12">
      <c r="L6059" s="1179"/>
    </row>
    <row r="6060" spans="12:12">
      <c r="L6060" s="1179"/>
    </row>
    <row r="6061" spans="12:12">
      <c r="L6061" s="1179"/>
    </row>
    <row r="6062" spans="12:12">
      <c r="L6062" s="1179"/>
    </row>
    <row r="6063" spans="12:12">
      <c r="L6063" s="1179"/>
    </row>
    <row r="6064" spans="12:12">
      <c r="L6064" s="1179"/>
    </row>
    <row r="6065" spans="12:12">
      <c r="L6065" s="1179"/>
    </row>
    <row r="6066" spans="12:12">
      <c r="L6066" s="1179"/>
    </row>
    <row r="6067" spans="12:12">
      <c r="L6067" s="1179"/>
    </row>
    <row r="6068" spans="12:12">
      <c r="L6068" s="1179"/>
    </row>
    <row r="6069" spans="12:12">
      <c r="L6069" s="1179"/>
    </row>
    <row r="6070" spans="12:12">
      <c r="L6070" s="1179"/>
    </row>
    <row r="6071" spans="12:12">
      <c r="L6071" s="1179"/>
    </row>
    <row r="6072" spans="12:12">
      <c r="L6072" s="1179"/>
    </row>
    <row r="6073" spans="12:12">
      <c r="L6073" s="1179"/>
    </row>
    <row r="6074" spans="12:12">
      <c r="L6074" s="1179"/>
    </row>
    <row r="6075" spans="12:12">
      <c r="L6075" s="1179"/>
    </row>
    <row r="6076" spans="12:12">
      <c r="L6076" s="1179"/>
    </row>
    <row r="6077" spans="12:12">
      <c r="L6077" s="1179"/>
    </row>
    <row r="6078" spans="12:12">
      <c r="L6078" s="1179"/>
    </row>
    <row r="6079" spans="12:12">
      <c r="L6079" s="1179"/>
    </row>
    <row r="6080" spans="12:12">
      <c r="L6080" s="1179"/>
    </row>
    <row r="6081" spans="12:12">
      <c r="L6081" s="1179"/>
    </row>
    <row r="6082" spans="12:12">
      <c r="L6082" s="1179"/>
    </row>
    <row r="6083" spans="12:12">
      <c r="L6083" s="1179"/>
    </row>
    <row r="6084" spans="12:12">
      <c r="L6084" s="1179"/>
    </row>
    <row r="6085" spans="12:12">
      <c r="L6085" s="1179"/>
    </row>
    <row r="6086" spans="12:12">
      <c r="L6086" s="1179"/>
    </row>
    <row r="6087" spans="12:12">
      <c r="L6087" s="1179"/>
    </row>
    <row r="6088" spans="12:12">
      <c r="L6088" s="1179"/>
    </row>
    <row r="6089" spans="12:12">
      <c r="L6089" s="1179"/>
    </row>
    <row r="6090" spans="12:12">
      <c r="L6090" s="1179"/>
    </row>
    <row r="6091" spans="12:12">
      <c r="L6091" s="1179"/>
    </row>
    <row r="6092" spans="12:12">
      <c r="L6092" s="1179"/>
    </row>
    <row r="6093" spans="12:12">
      <c r="L6093" s="1179"/>
    </row>
    <row r="6094" spans="12:12">
      <c r="L6094" s="1179"/>
    </row>
    <row r="6095" spans="12:12">
      <c r="L6095" s="1179"/>
    </row>
    <row r="6096" spans="12:12">
      <c r="L6096" s="1179"/>
    </row>
    <row r="6097" spans="12:12">
      <c r="L6097" s="1179"/>
    </row>
    <row r="6098" spans="12:12">
      <c r="L6098" s="1179"/>
    </row>
    <row r="6099" spans="12:12">
      <c r="L6099" s="1179"/>
    </row>
    <row r="6100" spans="12:12">
      <c r="L6100" s="1179"/>
    </row>
    <row r="6101" spans="12:12">
      <c r="L6101" s="1179"/>
    </row>
    <row r="6102" spans="12:12">
      <c r="L6102" s="1179"/>
    </row>
    <row r="6103" spans="12:12">
      <c r="L6103" s="1179"/>
    </row>
    <row r="6104" spans="12:12">
      <c r="L6104" s="1179"/>
    </row>
    <row r="6105" spans="12:12">
      <c r="L6105" s="1179"/>
    </row>
    <row r="6106" spans="12:12">
      <c r="L6106" s="1179"/>
    </row>
    <row r="6107" spans="12:12">
      <c r="L6107" s="1179"/>
    </row>
    <row r="6108" spans="12:12">
      <c r="L6108" s="1179"/>
    </row>
    <row r="6109" spans="12:12">
      <c r="L6109" s="1179"/>
    </row>
    <row r="6110" spans="12:12">
      <c r="L6110" s="1179"/>
    </row>
    <row r="6111" spans="12:12">
      <c r="L6111" s="1179"/>
    </row>
    <row r="6112" spans="12:12">
      <c r="L6112" s="1179"/>
    </row>
    <row r="6113" spans="12:12">
      <c r="L6113" s="1179"/>
    </row>
    <row r="6114" spans="12:12">
      <c r="L6114" s="1179"/>
    </row>
    <row r="6115" spans="12:12">
      <c r="L6115" s="1179"/>
    </row>
    <row r="6116" spans="12:12">
      <c r="L6116" s="1179"/>
    </row>
    <row r="6117" spans="12:12">
      <c r="L6117" s="1179"/>
    </row>
    <row r="6118" spans="12:12">
      <c r="L6118" s="1179"/>
    </row>
    <row r="6119" spans="12:12">
      <c r="L6119" s="1179"/>
    </row>
    <row r="6120" spans="12:12">
      <c r="L6120" s="1179"/>
    </row>
    <row r="6121" spans="12:12">
      <c r="L6121" s="1179"/>
    </row>
    <row r="6122" spans="12:12">
      <c r="L6122" s="1179"/>
    </row>
    <row r="6123" spans="12:12">
      <c r="L6123" s="1179"/>
    </row>
    <row r="6124" spans="12:12">
      <c r="L6124" s="1179"/>
    </row>
    <row r="6125" spans="12:12">
      <c r="L6125" s="1179"/>
    </row>
    <row r="6126" spans="12:12">
      <c r="L6126" s="1179"/>
    </row>
    <row r="6127" spans="12:12">
      <c r="L6127" s="1179"/>
    </row>
    <row r="6128" spans="12:12">
      <c r="L6128" s="1179"/>
    </row>
    <row r="6129" spans="12:12">
      <c r="L6129" s="1179"/>
    </row>
    <row r="6130" spans="12:12">
      <c r="L6130" s="1179"/>
    </row>
    <row r="6131" spans="12:12">
      <c r="L6131" s="1179"/>
    </row>
    <row r="6132" spans="12:12">
      <c r="L6132" s="1179"/>
    </row>
    <row r="6133" spans="12:12">
      <c r="L6133" s="1179"/>
    </row>
    <row r="6134" spans="12:12">
      <c r="L6134" s="1179"/>
    </row>
    <row r="6135" spans="12:12">
      <c r="L6135" s="1179"/>
    </row>
    <row r="6136" spans="12:12">
      <c r="L6136" s="1179"/>
    </row>
    <row r="6137" spans="12:12">
      <c r="L6137" s="1179"/>
    </row>
    <row r="6138" spans="12:12">
      <c r="L6138" s="1179"/>
    </row>
    <row r="6139" spans="12:12">
      <c r="L6139" s="1179"/>
    </row>
    <row r="6140" spans="12:12">
      <c r="L6140" s="1179"/>
    </row>
    <row r="6141" spans="12:12">
      <c r="L6141" s="1179"/>
    </row>
    <row r="6142" spans="12:12">
      <c r="L6142" s="1179"/>
    </row>
    <row r="6143" spans="12:12">
      <c r="L6143" s="1179"/>
    </row>
    <row r="6144" spans="12:12">
      <c r="L6144" s="1179"/>
    </row>
    <row r="6145" spans="12:12">
      <c r="L6145" s="1179"/>
    </row>
    <row r="6146" spans="12:12">
      <c r="L6146" s="1179"/>
    </row>
    <row r="6147" spans="12:12">
      <c r="L6147" s="1179"/>
    </row>
    <row r="6148" spans="12:12">
      <c r="L6148" s="1179"/>
    </row>
    <row r="6149" spans="12:12">
      <c r="L6149" s="1179"/>
    </row>
    <row r="6150" spans="12:12">
      <c r="L6150" s="1179"/>
    </row>
    <row r="6151" spans="12:12">
      <c r="L6151" s="1179"/>
    </row>
    <row r="6152" spans="12:12">
      <c r="L6152" s="1179"/>
    </row>
    <row r="6153" spans="12:12">
      <c r="L6153" s="1179"/>
    </row>
    <row r="6154" spans="12:12">
      <c r="L6154" s="1179"/>
    </row>
    <row r="6155" spans="12:12">
      <c r="L6155" s="1179"/>
    </row>
    <row r="6156" spans="12:12">
      <c r="L6156" s="1179"/>
    </row>
    <row r="6157" spans="12:12">
      <c r="L6157" s="1179"/>
    </row>
    <row r="6158" spans="12:12">
      <c r="L6158" s="1179"/>
    </row>
    <row r="6159" spans="12:12">
      <c r="L6159" s="1179"/>
    </row>
    <row r="6160" spans="12:12">
      <c r="L6160" s="1179"/>
    </row>
    <row r="6161" spans="12:12">
      <c r="L6161" s="1179"/>
    </row>
    <row r="6162" spans="12:12">
      <c r="L6162" s="1179"/>
    </row>
    <row r="6163" spans="12:12">
      <c r="L6163" s="1179"/>
    </row>
    <row r="6164" spans="12:12">
      <c r="L6164" s="1179"/>
    </row>
    <row r="6165" spans="12:12">
      <c r="L6165" s="1179"/>
    </row>
    <row r="6166" spans="12:12">
      <c r="L6166" s="1179"/>
    </row>
    <row r="6167" spans="12:12">
      <c r="L6167" s="1179"/>
    </row>
    <row r="6168" spans="12:12">
      <c r="L6168" s="1179"/>
    </row>
    <row r="6169" spans="12:12">
      <c r="L6169" s="1179"/>
    </row>
    <row r="6170" spans="12:12">
      <c r="L6170" s="1179"/>
    </row>
    <row r="6171" spans="12:12">
      <c r="L6171" s="1179"/>
    </row>
    <row r="6172" spans="12:12">
      <c r="L6172" s="1179"/>
    </row>
    <row r="6173" spans="12:12">
      <c r="L6173" s="1179"/>
    </row>
    <row r="6174" spans="12:12">
      <c r="L6174" s="1179"/>
    </row>
    <row r="6175" spans="12:12">
      <c r="L6175" s="1179"/>
    </row>
    <row r="6176" spans="12:12">
      <c r="L6176" s="1179"/>
    </row>
    <row r="6177" spans="12:12">
      <c r="L6177" s="1179"/>
    </row>
    <row r="6178" spans="12:12">
      <c r="L6178" s="1179"/>
    </row>
    <row r="6179" spans="12:12">
      <c r="L6179" s="1179"/>
    </row>
    <row r="6180" spans="12:12">
      <c r="L6180" s="1179"/>
    </row>
    <row r="6181" spans="12:12">
      <c r="L6181" s="1179"/>
    </row>
    <row r="6182" spans="12:12">
      <c r="L6182" s="1179"/>
    </row>
    <row r="6183" spans="12:12">
      <c r="L6183" s="1179"/>
    </row>
    <row r="6184" spans="12:12">
      <c r="L6184" s="1179"/>
    </row>
    <row r="6185" spans="12:12">
      <c r="L6185" s="1179"/>
    </row>
    <row r="6186" spans="12:12">
      <c r="L6186" s="1179"/>
    </row>
    <row r="6187" spans="12:12">
      <c r="L6187" s="1179"/>
    </row>
    <row r="6188" spans="12:12">
      <c r="L6188" s="1179"/>
    </row>
    <row r="6189" spans="12:12">
      <c r="L6189" s="1179"/>
    </row>
    <row r="6190" spans="12:12">
      <c r="L6190" s="1179"/>
    </row>
    <row r="6191" spans="12:12">
      <c r="L6191" s="1179"/>
    </row>
    <row r="6192" spans="12:12">
      <c r="L6192" s="1179"/>
    </row>
    <row r="6193" spans="12:12">
      <c r="L6193" s="1179"/>
    </row>
    <row r="6194" spans="12:12">
      <c r="L6194" s="1179"/>
    </row>
    <row r="6195" spans="12:12">
      <c r="L6195" s="1179"/>
    </row>
    <row r="6196" spans="12:12">
      <c r="L6196" s="1179"/>
    </row>
    <row r="6197" spans="12:12">
      <c r="L6197" s="1179"/>
    </row>
    <row r="6198" spans="12:12">
      <c r="L6198" s="1179"/>
    </row>
    <row r="6199" spans="12:12">
      <c r="L6199" s="1179"/>
    </row>
    <row r="6200" spans="12:12">
      <c r="L6200" s="1179"/>
    </row>
    <row r="6201" spans="12:12">
      <c r="L6201" s="1179"/>
    </row>
    <row r="6202" spans="12:12">
      <c r="L6202" s="1179"/>
    </row>
    <row r="6203" spans="12:12">
      <c r="L6203" s="1179"/>
    </row>
    <row r="6204" spans="12:12">
      <c r="L6204" s="1179"/>
    </row>
    <row r="6205" spans="12:12">
      <c r="L6205" s="1179"/>
    </row>
    <row r="6206" spans="12:12">
      <c r="L6206" s="1179"/>
    </row>
    <row r="6207" spans="12:12">
      <c r="L6207" s="1179"/>
    </row>
    <row r="6208" spans="12:12">
      <c r="L6208" s="1179"/>
    </row>
    <row r="6209" spans="12:12">
      <c r="L6209" s="1179"/>
    </row>
    <row r="6210" spans="12:12">
      <c r="L6210" s="1179"/>
    </row>
    <row r="6211" spans="12:12">
      <c r="L6211" s="1179"/>
    </row>
    <row r="6212" spans="12:12">
      <c r="L6212" s="1179"/>
    </row>
    <row r="6213" spans="12:12">
      <c r="L6213" s="1179"/>
    </row>
    <row r="6214" spans="12:12">
      <c r="L6214" s="1179"/>
    </row>
    <row r="6215" spans="12:12">
      <c r="L6215" s="1179"/>
    </row>
    <row r="6216" spans="12:12">
      <c r="L6216" s="1179"/>
    </row>
    <row r="6217" spans="12:12">
      <c r="L6217" s="1179"/>
    </row>
    <row r="6218" spans="12:12">
      <c r="L6218" s="1179"/>
    </row>
    <row r="6219" spans="12:12">
      <c r="L6219" s="1179"/>
    </row>
    <row r="6220" spans="12:12">
      <c r="L6220" s="1179"/>
    </row>
    <row r="6221" spans="12:12">
      <c r="L6221" s="1179"/>
    </row>
    <row r="6222" spans="12:12">
      <c r="L6222" s="1179"/>
    </row>
    <row r="6223" spans="12:12">
      <c r="L6223" s="1179"/>
    </row>
    <row r="6224" spans="12:12">
      <c r="L6224" s="1179"/>
    </row>
    <row r="6225" spans="12:12">
      <c r="L6225" s="1179"/>
    </row>
    <row r="6226" spans="12:12">
      <c r="L6226" s="1179"/>
    </row>
    <row r="6227" spans="12:12">
      <c r="L6227" s="1179"/>
    </row>
    <row r="6228" spans="12:12">
      <c r="L6228" s="1179"/>
    </row>
    <row r="6229" spans="12:12">
      <c r="L6229" s="1179"/>
    </row>
    <row r="6230" spans="12:12">
      <c r="L6230" s="1179"/>
    </row>
    <row r="6231" spans="12:12">
      <c r="L6231" s="1179"/>
    </row>
    <row r="6232" spans="12:12">
      <c r="L6232" s="1179"/>
    </row>
    <row r="6233" spans="12:12">
      <c r="L6233" s="1179"/>
    </row>
    <row r="6234" spans="12:12">
      <c r="L6234" s="1179"/>
    </row>
    <row r="6235" spans="12:12">
      <c r="L6235" s="1179"/>
    </row>
    <row r="6236" spans="12:12">
      <c r="L6236" s="1179"/>
    </row>
    <row r="6237" spans="12:12">
      <c r="L6237" s="1179"/>
    </row>
    <row r="6238" spans="12:12">
      <c r="L6238" s="1179"/>
    </row>
    <row r="6239" spans="12:12">
      <c r="L6239" s="1179"/>
    </row>
    <row r="6240" spans="12:12">
      <c r="L6240" s="1179"/>
    </row>
    <row r="6241" spans="12:12">
      <c r="L6241" s="1179"/>
    </row>
    <row r="6242" spans="12:12">
      <c r="L6242" s="1179"/>
    </row>
    <row r="6243" spans="12:12">
      <c r="L6243" s="1179"/>
    </row>
    <row r="6244" spans="12:12">
      <c r="L6244" s="1179"/>
    </row>
    <row r="6245" spans="12:12">
      <c r="L6245" s="1179"/>
    </row>
    <row r="6246" spans="12:12">
      <c r="L6246" s="1179"/>
    </row>
    <row r="6247" spans="12:12">
      <c r="L6247" s="1179"/>
    </row>
    <row r="6248" spans="12:12">
      <c r="L6248" s="1179"/>
    </row>
    <row r="6249" spans="12:12">
      <c r="L6249" s="1179"/>
    </row>
    <row r="6250" spans="12:12">
      <c r="L6250" s="1179"/>
    </row>
    <row r="6251" spans="12:12">
      <c r="L6251" s="1179"/>
    </row>
    <row r="6252" spans="12:12">
      <c r="L6252" s="1179"/>
    </row>
    <row r="6253" spans="12:12">
      <c r="L6253" s="1179"/>
    </row>
    <row r="6254" spans="12:12">
      <c r="L6254" s="1179"/>
    </row>
    <row r="6255" spans="12:12">
      <c r="L6255" s="1179"/>
    </row>
    <row r="6256" spans="12:12">
      <c r="L6256" s="1179"/>
    </row>
    <row r="6257" spans="12:12">
      <c r="L6257" s="1179"/>
    </row>
    <row r="6258" spans="12:12">
      <c r="L6258" s="1179"/>
    </row>
    <row r="6259" spans="12:12">
      <c r="L6259" s="1179"/>
    </row>
    <row r="6260" spans="12:12">
      <c r="L6260" s="1179"/>
    </row>
    <row r="6261" spans="12:12">
      <c r="L6261" s="1179"/>
    </row>
    <row r="6262" spans="12:12">
      <c r="L6262" s="1179"/>
    </row>
    <row r="6263" spans="12:12">
      <c r="L6263" s="1179"/>
    </row>
    <row r="6264" spans="12:12">
      <c r="L6264" s="1179"/>
    </row>
    <row r="6265" spans="12:12">
      <c r="L6265" s="1179"/>
    </row>
    <row r="6266" spans="12:12">
      <c r="L6266" s="1179"/>
    </row>
    <row r="6267" spans="12:12">
      <c r="L6267" s="1179"/>
    </row>
    <row r="6268" spans="12:12">
      <c r="L6268" s="1179"/>
    </row>
    <row r="6269" spans="12:12">
      <c r="L6269" s="1179"/>
    </row>
    <row r="6270" spans="12:12">
      <c r="L6270" s="1179"/>
    </row>
    <row r="6271" spans="12:12">
      <c r="L6271" s="1179"/>
    </row>
    <row r="6272" spans="12:12">
      <c r="L6272" s="1179"/>
    </row>
    <row r="6273" spans="12:12">
      <c r="L6273" s="1179"/>
    </row>
    <row r="6274" spans="12:12">
      <c r="L6274" s="1179"/>
    </row>
    <row r="6275" spans="12:12">
      <c r="L6275" s="1179"/>
    </row>
    <row r="6276" spans="12:12">
      <c r="L6276" s="1179"/>
    </row>
    <row r="6277" spans="12:12">
      <c r="L6277" s="1179"/>
    </row>
    <row r="6278" spans="12:12">
      <c r="L6278" s="1179"/>
    </row>
    <row r="6279" spans="12:12">
      <c r="L6279" s="1179"/>
    </row>
    <row r="6280" spans="12:12">
      <c r="L6280" s="1179"/>
    </row>
    <row r="6281" spans="12:12">
      <c r="L6281" s="1179"/>
    </row>
    <row r="6282" spans="12:12">
      <c r="L6282" s="1179"/>
    </row>
    <row r="6283" spans="12:12">
      <c r="L6283" s="1179"/>
    </row>
    <row r="6284" spans="12:12">
      <c r="L6284" s="1179"/>
    </row>
    <row r="6285" spans="12:12">
      <c r="L6285" s="1179"/>
    </row>
    <row r="6286" spans="12:12">
      <c r="L6286" s="1179"/>
    </row>
    <row r="6287" spans="12:12">
      <c r="L6287" s="1179"/>
    </row>
    <row r="6288" spans="12:12">
      <c r="L6288" s="1179"/>
    </row>
    <row r="6289" spans="12:12">
      <c r="L6289" s="1179"/>
    </row>
    <row r="6290" spans="12:12">
      <c r="L6290" s="1179"/>
    </row>
    <row r="6291" spans="12:12">
      <c r="L6291" s="1179"/>
    </row>
    <row r="6292" spans="12:12">
      <c r="L6292" s="1179"/>
    </row>
    <row r="6293" spans="12:12">
      <c r="L6293" s="1179"/>
    </row>
    <row r="6294" spans="12:12">
      <c r="L6294" s="1179"/>
    </row>
    <row r="6295" spans="12:12">
      <c r="L6295" s="1179"/>
    </row>
    <row r="6296" spans="12:12">
      <c r="L6296" s="1179"/>
    </row>
    <row r="6297" spans="12:12">
      <c r="L6297" s="1179"/>
    </row>
    <row r="6298" spans="12:12">
      <c r="L6298" s="1179"/>
    </row>
    <row r="6299" spans="12:12">
      <c r="L6299" s="1179"/>
    </row>
    <row r="6300" spans="12:12">
      <c r="L6300" s="1179"/>
    </row>
    <row r="6301" spans="12:12">
      <c r="L6301" s="1179"/>
    </row>
    <row r="6302" spans="12:12">
      <c r="L6302" s="1179"/>
    </row>
    <row r="6303" spans="12:12">
      <c r="L6303" s="1179"/>
    </row>
    <row r="6304" spans="12:12">
      <c r="L6304" s="1179"/>
    </row>
    <row r="6305" spans="12:12">
      <c r="L6305" s="1179"/>
    </row>
    <row r="6306" spans="12:12">
      <c r="L6306" s="1179"/>
    </row>
    <row r="6307" spans="12:12">
      <c r="L6307" s="1179"/>
    </row>
    <row r="6308" spans="12:12">
      <c r="L6308" s="1179"/>
    </row>
    <row r="6309" spans="12:12">
      <c r="L6309" s="1179"/>
    </row>
    <row r="6310" spans="12:12">
      <c r="L6310" s="1179"/>
    </row>
    <row r="6311" spans="12:12">
      <c r="L6311" s="1179"/>
    </row>
    <row r="6312" spans="12:12">
      <c r="L6312" s="1179"/>
    </row>
    <row r="6313" spans="12:12">
      <c r="L6313" s="1179"/>
    </row>
    <row r="6314" spans="12:12">
      <c r="L6314" s="1179"/>
    </row>
    <row r="6315" spans="12:12">
      <c r="L6315" s="1179"/>
    </row>
    <row r="6316" spans="12:12">
      <c r="L6316" s="1179"/>
    </row>
    <row r="6317" spans="12:12">
      <c r="L6317" s="1179"/>
    </row>
    <row r="6318" spans="12:12">
      <c r="L6318" s="1179"/>
    </row>
    <row r="6319" spans="12:12">
      <c r="L6319" s="1179"/>
    </row>
    <row r="6320" spans="12:12">
      <c r="L6320" s="1179"/>
    </row>
    <row r="6321" spans="12:12">
      <c r="L6321" s="1179"/>
    </row>
    <row r="6322" spans="12:12">
      <c r="L6322" s="1179"/>
    </row>
    <row r="6323" spans="12:12">
      <c r="L6323" s="1179"/>
    </row>
    <row r="6324" spans="12:12">
      <c r="L6324" s="1179"/>
    </row>
    <row r="6325" spans="12:12">
      <c r="L6325" s="1179"/>
    </row>
    <row r="6326" spans="12:12">
      <c r="L6326" s="1179"/>
    </row>
    <row r="6327" spans="12:12">
      <c r="L6327" s="1179"/>
    </row>
    <row r="6328" spans="12:12">
      <c r="L6328" s="1179"/>
    </row>
    <row r="6329" spans="12:12">
      <c r="L6329" s="1179"/>
    </row>
    <row r="6330" spans="12:12">
      <c r="L6330" s="1179"/>
    </row>
    <row r="6331" spans="12:12">
      <c r="L6331" s="1179"/>
    </row>
    <row r="6332" spans="12:12">
      <c r="L6332" s="1179"/>
    </row>
    <row r="6333" spans="12:12">
      <c r="L6333" s="1179"/>
    </row>
    <row r="6334" spans="12:12">
      <c r="L6334" s="1179"/>
    </row>
    <row r="6335" spans="12:12">
      <c r="L6335" s="1179"/>
    </row>
    <row r="6336" spans="12:12">
      <c r="L6336" s="1179"/>
    </row>
    <row r="6337" spans="12:12">
      <c r="L6337" s="1179"/>
    </row>
    <row r="6338" spans="12:12">
      <c r="L6338" s="1179"/>
    </row>
    <row r="6339" spans="12:12">
      <c r="L6339" s="1179"/>
    </row>
    <row r="6340" spans="12:12">
      <c r="L6340" s="1179"/>
    </row>
    <row r="6341" spans="12:12">
      <c r="L6341" s="1179"/>
    </row>
    <row r="6342" spans="12:12">
      <c r="L6342" s="1179"/>
    </row>
    <row r="6343" spans="12:12">
      <c r="L6343" s="1179"/>
    </row>
    <row r="6344" spans="12:12">
      <c r="L6344" s="1179"/>
    </row>
    <row r="6345" spans="12:12">
      <c r="L6345" s="1179"/>
    </row>
    <row r="6346" spans="12:12">
      <c r="L6346" s="1179"/>
    </row>
    <row r="6347" spans="12:12">
      <c r="L6347" s="1179"/>
    </row>
    <row r="6348" spans="12:12">
      <c r="L6348" s="1179"/>
    </row>
    <row r="6349" spans="12:12">
      <c r="L6349" s="1179"/>
    </row>
    <row r="6350" spans="12:12">
      <c r="L6350" s="1179"/>
    </row>
    <row r="6351" spans="12:12">
      <c r="L6351" s="1179"/>
    </row>
    <row r="6352" spans="12:12">
      <c r="L6352" s="1179"/>
    </row>
    <row r="6353" spans="12:12">
      <c r="L6353" s="1179"/>
    </row>
    <row r="6354" spans="12:12">
      <c r="L6354" s="1179"/>
    </row>
    <row r="6355" spans="12:12">
      <c r="L6355" s="1179"/>
    </row>
    <row r="6356" spans="12:12">
      <c r="L6356" s="1179"/>
    </row>
    <row r="6357" spans="12:12">
      <c r="L6357" s="1179"/>
    </row>
    <row r="6358" spans="12:12">
      <c r="L6358" s="1179"/>
    </row>
    <row r="6359" spans="12:12">
      <c r="L6359" s="1179"/>
    </row>
    <row r="6360" spans="12:12">
      <c r="L6360" s="1179"/>
    </row>
    <row r="6361" spans="12:12">
      <c r="L6361" s="1179"/>
    </row>
    <row r="6362" spans="12:12">
      <c r="L6362" s="1179"/>
    </row>
    <row r="6363" spans="12:12">
      <c r="L6363" s="1179"/>
    </row>
    <row r="6364" spans="12:12">
      <c r="L6364" s="1179"/>
    </row>
    <row r="6365" spans="12:12">
      <c r="L6365" s="1179"/>
    </row>
    <row r="6366" spans="12:12">
      <c r="L6366" s="1179"/>
    </row>
    <row r="6367" spans="12:12">
      <c r="L6367" s="1179"/>
    </row>
    <row r="6368" spans="12:12">
      <c r="L6368" s="1179"/>
    </row>
    <row r="6369" spans="12:12">
      <c r="L6369" s="1179"/>
    </row>
    <row r="6370" spans="12:12">
      <c r="L6370" s="1179"/>
    </row>
    <row r="6371" spans="12:12">
      <c r="L6371" s="1179"/>
    </row>
    <row r="6372" spans="12:12">
      <c r="L6372" s="1179"/>
    </row>
    <row r="6373" spans="12:12">
      <c r="L6373" s="1179"/>
    </row>
    <row r="6374" spans="12:12">
      <c r="L6374" s="1179"/>
    </row>
    <row r="6375" spans="12:12">
      <c r="L6375" s="1179"/>
    </row>
    <row r="6376" spans="12:12">
      <c r="L6376" s="1179"/>
    </row>
    <row r="6377" spans="12:12">
      <c r="L6377" s="1179"/>
    </row>
    <row r="6378" spans="12:12">
      <c r="L6378" s="1179"/>
    </row>
    <row r="6379" spans="12:12">
      <c r="L6379" s="1179"/>
    </row>
    <row r="6380" spans="12:12">
      <c r="L6380" s="1179"/>
    </row>
    <row r="6381" spans="12:12">
      <c r="L6381" s="1179"/>
    </row>
    <row r="6382" spans="12:12">
      <c r="L6382" s="1179"/>
    </row>
    <row r="6383" spans="12:12">
      <c r="L6383" s="1179"/>
    </row>
    <row r="6384" spans="12:12">
      <c r="L6384" s="1179"/>
    </row>
    <row r="6385" spans="12:12">
      <c r="L6385" s="1179"/>
    </row>
    <row r="6386" spans="12:12">
      <c r="L6386" s="1179"/>
    </row>
    <row r="6387" spans="12:12">
      <c r="L6387" s="1179"/>
    </row>
    <row r="6388" spans="12:12">
      <c r="L6388" s="1179"/>
    </row>
    <row r="6389" spans="12:12">
      <c r="L6389" s="1179"/>
    </row>
    <row r="6390" spans="12:12">
      <c r="L6390" s="1179"/>
    </row>
    <row r="6391" spans="12:12">
      <c r="L6391" s="1179"/>
    </row>
    <row r="6392" spans="12:12">
      <c r="L6392" s="1179"/>
    </row>
    <row r="6393" spans="12:12">
      <c r="L6393" s="1179"/>
    </row>
    <row r="6394" spans="12:12">
      <c r="L6394" s="1179"/>
    </row>
    <row r="6395" spans="12:12">
      <c r="L6395" s="1179"/>
    </row>
    <row r="6396" spans="12:12">
      <c r="L6396" s="1179"/>
    </row>
    <row r="6397" spans="12:12">
      <c r="L6397" s="1179"/>
    </row>
    <row r="6398" spans="12:12">
      <c r="L6398" s="1179"/>
    </row>
    <row r="6399" spans="12:12">
      <c r="L6399" s="1179"/>
    </row>
    <row r="6400" spans="12:12">
      <c r="L6400" s="1179"/>
    </row>
    <row r="6401" spans="12:12">
      <c r="L6401" s="1179"/>
    </row>
    <row r="6402" spans="12:12">
      <c r="L6402" s="1179"/>
    </row>
    <row r="6403" spans="12:12">
      <c r="L6403" s="1179"/>
    </row>
    <row r="6404" spans="12:12">
      <c r="L6404" s="1179"/>
    </row>
    <row r="6405" spans="12:12">
      <c r="L6405" s="1179"/>
    </row>
    <row r="6406" spans="12:12">
      <c r="L6406" s="1179"/>
    </row>
    <row r="6407" spans="12:12">
      <c r="L6407" s="1179"/>
    </row>
    <row r="6408" spans="12:12">
      <c r="L6408" s="1179"/>
    </row>
    <row r="6409" spans="12:12">
      <c r="L6409" s="1179"/>
    </row>
    <row r="6410" spans="12:12">
      <c r="L6410" s="1179"/>
    </row>
    <row r="6411" spans="12:12">
      <c r="L6411" s="1179"/>
    </row>
    <row r="6412" spans="12:12">
      <c r="L6412" s="1179"/>
    </row>
    <row r="6413" spans="12:12">
      <c r="L6413" s="1179"/>
    </row>
    <row r="6414" spans="12:12">
      <c r="L6414" s="1179"/>
    </row>
    <row r="6415" spans="12:12">
      <c r="L6415" s="1179"/>
    </row>
    <row r="6416" spans="12:12">
      <c r="L6416" s="1179"/>
    </row>
    <row r="6417" spans="12:12">
      <c r="L6417" s="1179"/>
    </row>
    <row r="6418" spans="12:12">
      <c r="L6418" s="1179"/>
    </row>
    <row r="6419" spans="12:12">
      <c r="L6419" s="1179"/>
    </row>
    <row r="6420" spans="12:12">
      <c r="L6420" s="1179"/>
    </row>
    <row r="6421" spans="12:12">
      <c r="L6421" s="1179"/>
    </row>
    <row r="6422" spans="12:12">
      <c r="L6422" s="1179"/>
    </row>
    <row r="6423" spans="12:12">
      <c r="L6423" s="1179"/>
    </row>
    <row r="6424" spans="12:12">
      <c r="L6424" s="1179"/>
    </row>
    <row r="6425" spans="12:12">
      <c r="L6425" s="1179"/>
    </row>
    <row r="6426" spans="12:12">
      <c r="L6426" s="1179"/>
    </row>
    <row r="6427" spans="12:12">
      <c r="L6427" s="1179"/>
    </row>
    <row r="6428" spans="12:12">
      <c r="L6428" s="1179"/>
    </row>
    <row r="6429" spans="12:12">
      <c r="L6429" s="1179"/>
    </row>
    <row r="6430" spans="12:12">
      <c r="L6430" s="1179"/>
    </row>
    <row r="6431" spans="12:12">
      <c r="L6431" s="1179"/>
    </row>
    <row r="6432" spans="12:12">
      <c r="L6432" s="1179"/>
    </row>
    <row r="6433" spans="12:12">
      <c r="L6433" s="1179"/>
    </row>
    <row r="6434" spans="12:12">
      <c r="L6434" s="1179"/>
    </row>
    <row r="6435" spans="12:12">
      <c r="L6435" s="1179"/>
    </row>
    <row r="6436" spans="12:12">
      <c r="L6436" s="1179"/>
    </row>
    <row r="6437" spans="12:12">
      <c r="L6437" s="1179"/>
    </row>
    <row r="6438" spans="12:12">
      <c r="L6438" s="1179"/>
    </row>
    <row r="6439" spans="12:12">
      <c r="L6439" s="1179"/>
    </row>
    <row r="6440" spans="12:12">
      <c r="L6440" s="1179"/>
    </row>
    <row r="6441" spans="12:12">
      <c r="L6441" s="1179"/>
    </row>
    <row r="6442" spans="12:12">
      <c r="L6442" s="1179"/>
    </row>
    <row r="6443" spans="12:12">
      <c r="L6443" s="1179"/>
    </row>
    <row r="6444" spans="12:12">
      <c r="L6444" s="1179"/>
    </row>
    <row r="6445" spans="12:12">
      <c r="L6445" s="1179"/>
    </row>
    <row r="6446" spans="12:12">
      <c r="L6446" s="1179"/>
    </row>
    <row r="6447" spans="12:12">
      <c r="L6447" s="1179"/>
    </row>
    <row r="6448" spans="12:12">
      <c r="L6448" s="1179"/>
    </row>
    <row r="6449" spans="12:12">
      <c r="L6449" s="1179"/>
    </row>
    <row r="6450" spans="12:12">
      <c r="L6450" s="1179"/>
    </row>
    <row r="6451" spans="12:12">
      <c r="L6451" s="1179"/>
    </row>
    <row r="6452" spans="12:12">
      <c r="L6452" s="1179"/>
    </row>
    <row r="6453" spans="12:12">
      <c r="L6453" s="1179"/>
    </row>
    <row r="6454" spans="12:12">
      <c r="L6454" s="1179"/>
    </row>
    <row r="6455" spans="12:12">
      <c r="L6455" s="1179"/>
    </row>
    <row r="6456" spans="12:12">
      <c r="L6456" s="1179"/>
    </row>
    <row r="6457" spans="12:12">
      <c r="L6457" s="1179"/>
    </row>
    <row r="6458" spans="12:12">
      <c r="L6458" s="1179"/>
    </row>
    <row r="6459" spans="12:12">
      <c r="L6459" s="1179"/>
    </row>
    <row r="6460" spans="12:12">
      <c r="L6460" s="1179"/>
    </row>
    <row r="6461" spans="12:12">
      <c r="L6461" s="1179"/>
    </row>
    <row r="6462" spans="12:12">
      <c r="L6462" s="1179"/>
    </row>
    <row r="6463" spans="12:12">
      <c r="L6463" s="1179"/>
    </row>
    <row r="6464" spans="12:12">
      <c r="L6464" s="1179"/>
    </row>
    <row r="6465" spans="12:12">
      <c r="L6465" s="1179"/>
    </row>
    <row r="6466" spans="12:12">
      <c r="L6466" s="1179"/>
    </row>
    <row r="6467" spans="12:12">
      <c r="L6467" s="1179"/>
    </row>
    <row r="6468" spans="12:12">
      <c r="L6468" s="1179"/>
    </row>
    <row r="6469" spans="12:12">
      <c r="L6469" s="1179"/>
    </row>
    <row r="6470" spans="12:12">
      <c r="L6470" s="1179"/>
    </row>
    <row r="6471" spans="12:12">
      <c r="L6471" s="1179"/>
    </row>
    <row r="6472" spans="12:12">
      <c r="L6472" s="1179"/>
    </row>
    <row r="6473" spans="12:12">
      <c r="L6473" s="1179"/>
    </row>
    <row r="6474" spans="12:12">
      <c r="L6474" s="1179"/>
    </row>
    <row r="6475" spans="12:12">
      <c r="L6475" s="1179"/>
    </row>
    <row r="6476" spans="12:12">
      <c r="L6476" s="1179"/>
    </row>
    <row r="6477" spans="12:12">
      <c r="L6477" s="1179"/>
    </row>
    <row r="6478" spans="12:12">
      <c r="L6478" s="1179"/>
    </row>
    <row r="6479" spans="12:12">
      <c r="L6479" s="1179"/>
    </row>
    <row r="6480" spans="12:12">
      <c r="L6480" s="1179"/>
    </row>
    <row r="6481" spans="12:12">
      <c r="L6481" s="1179"/>
    </row>
    <row r="6482" spans="12:12">
      <c r="L6482" s="1179"/>
    </row>
    <row r="6483" spans="12:12">
      <c r="L6483" s="1179"/>
    </row>
    <row r="6484" spans="12:12">
      <c r="L6484" s="1179"/>
    </row>
    <row r="6485" spans="12:12">
      <c r="L6485" s="1179"/>
    </row>
    <row r="6486" spans="12:12">
      <c r="L6486" s="1179"/>
    </row>
    <row r="6487" spans="12:12">
      <c r="L6487" s="1179"/>
    </row>
    <row r="6488" spans="12:12">
      <c r="L6488" s="1179"/>
    </row>
    <row r="6489" spans="12:12">
      <c r="L6489" s="1179"/>
    </row>
    <row r="6490" spans="12:12">
      <c r="L6490" s="1179"/>
    </row>
    <row r="6491" spans="12:12">
      <c r="L6491" s="1179"/>
    </row>
    <row r="6492" spans="12:12">
      <c r="L6492" s="1179"/>
    </row>
    <row r="6493" spans="12:12">
      <c r="L6493" s="1179"/>
    </row>
    <row r="6494" spans="12:12">
      <c r="L6494" s="1179"/>
    </row>
    <row r="6495" spans="12:12">
      <c r="L6495" s="1179"/>
    </row>
    <row r="6496" spans="12:12">
      <c r="L6496" s="1179"/>
    </row>
    <row r="6497" spans="12:12">
      <c r="L6497" s="1179"/>
    </row>
    <row r="6498" spans="12:12">
      <c r="L6498" s="1179"/>
    </row>
    <row r="6499" spans="12:12">
      <c r="L6499" s="1179"/>
    </row>
    <row r="6500" spans="12:12">
      <c r="L6500" s="1179"/>
    </row>
    <row r="6501" spans="12:12">
      <c r="L6501" s="1179"/>
    </row>
    <row r="6502" spans="12:12">
      <c r="L6502" s="1179"/>
    </row>
    <row r="6503" spans="12:12">
      <c r="L6503" s="1179"/>
    </row>
    <row r="6504" spans="12:12">
      <c r="L6504" s="1179"/>
    </row>
    <row r="6505" spans="12:12">
      <c r="L6505" s="1179"/>
    </row>
    <row r="6506" spans="12:12">
      <c r="L6506" s="1179"/>
    </row>
    <row r="6507" spans="12:12">
      <c r="L6507" s="1179"/>
    </row>
    <row r="6508" spans="12:12">
      <c r="L6508" s="1179"/>
    </row>
    <row r="6509" spans="12:12">
      <c r="L6509" s="1179"/>
    </row>
    <row r="6510" spans="12:12">
      <c r="L6510" s="1179"/>
    </row>
    <row r="6511" spans="12:12">
      <c r="L6511" s="1179"/>
    </row>
    <row r="6512" spans="12:12">
      <c r="L6512" s="1179"/>
    </row>
    <row r="6513" spans="12:12">
      <c r="L6513" s="1179"/>
    </row>
    <row r="6514" spans="12:12">
      <c r="L6514" s="1179"/>
    </row>
    <row r="6515" spans="12:12">
      <c r="L6515" s="1179"/>
    </row>
    <row r="6516" spans="12:12">
      <c r="L6516" s="1179"/>
    </row>
    <row r="6517" spans="12:12">
      <c r="L6517" s="1179"/>
    </row>
    <row r="6518" spans="12:12">
      <c r="L6518" s="1179"/>
    </row>
    <row r="6519" spans="12:12">
      <c r="L6519" s="1179"/>
    </row>
    <row r="6520" spans="12:12">
      <c r="L6520" s="1179"/>
    </row>
    <row r="6521" spans="12:12">
      <c r="L6521" s="1179"/>
    </row>
    <row r="6522" spans="12:12">
      <c r="L6522" s="1179"/>
    </row>
    <row r="6523" spans="12:12">
      <c r="L6523" s="1179"/>
    </row>
    <row r="6524" spans="12:12">
      <c r="L6524" s="1179"/>
    </row>
    <row r="6525" spans="12:12">
      <c r="L6525" s="1179"/>
    </row>
    <row r="6526" spans="12:12">
      <c r="L6526" s="1179"/>
    </row>
    <row r="6527" spans="12:12">
      <c r="L6527" s="1179"/>
    </row>
    <row r="6528" spans="12:12">
      <c r="L6528" s="1179"/>
    </row>
    <row r="6529" spans="12:12">
      <c r="L6529" s="1179"/>
    </row>
    <row r="6530" spans="12:12">
      <c r="L6530" s="1179"/>
    </row>
    <row r="6531" spans="12:12">
      <c r="L6531" s="1179"/>
    </row>
    <row r="6532" spans="12:12">
      <c r="L6532" s="1179"/>
    </row>
    <row r="6533" spans="12:12">
      <c r="L6533" s="1179"/>
    </row>
    <row r="6534" spans="12:12">
      <c r="L6534" s="1179"/>
    </row>
    <row r="6535" spans="12:12">
      <c r="L6535" s="1179"/>
    </row>
    <row r="6536" spans="12:12">
      <c r="L6536" s="1179"/>
    </row>
    <row r="6537" spans="12:12">
      <c r="L6537" s="1179"/>
    </row>
    <row r="6538" spans="12:12">
      <c r="L6538" s="1179"/>
    </row>
    <row r="6539" spans="12:12">
      <c r="L6539" s="1179"/>
    </row>
    <row r="6540" spans="12:12">
      <c r="L6540" s="1179"/>
    </row>
    <row r="6541" spans="12:12">
      <c r="L6541" s="1179"/>
    </row>
    <row r="6542" spans="12:12">
      <c r="L6542" s="1179"/>
    </row>
    <row r="6543" spans="12:12">
      <c r="L6543" s="1179"/>
    </row>
    <row r="6544" spans="12:12">
      <c r="L6544" s="1179"/>
    </row>
    <row r="6545" spans="12:12">
      <c r="L6545" s="1179"/>
    </row>
    <row r="6546" spans="12:12">
      <c r="L6546" s="1179"/>
    </row>
    <row r="6547" spans="12:12">
      <c r="L6547" s="1179"/>
    </row>
    <row r="6548" spans="12:12">
      <c r="L6548" s="1179"/>
    </row>
    <row r="6549" spans="12:12">
      <c r="L6549" s="1179"/>
    </row>
    <row r="6550" spans="12:12">
      <c r="L6550" s="1179"/>
    </row>
    <row r="6551" spans="12:12">
      <c r="L6551" s="1179"/>
    </row>
    <row r="6552" spans="12:12">
      <c r="L6552" s="1179"/>
    </row>
    <row r="6553" spans="12:12">
      <c r="L6553" s="1179"/>
    </row>
    <row r="6554" spans="12:12">
      <c r="L6554" s="1179"/>
    </row>
    <row r="6555" spans="12:12">
      <c r="L6555" s="1179"/>
    </row>
    <row r="6556" spans="12:12">
      <c r="L6556" s="1179"/>
    </row>
    <row r="6557" spans="12:12">
      <c r="L6557" s="1179"/>
    </row>
    <row r="6558" spans="12:12">
      <c r="L6558" s="1179"/>
    </row>
    <row r="6559" spans="12:12">
      <c r="L6559" s="1179"/>
    </row>
    <row r="6560" spans="12:12">
      <c r="L6560" s="1179"/>
    </row>
    <row r="6561" spans="12:12">
      <c r="L6561" s="1179"/>
    </row>
    <row r="6562" spans="12:12">
      <c r="L6562" s="1179"/>
    </row>
    <row r="6563" spans="12:12">
      <c r="L6563" s="1179"/>
    </row>
    <row r="6564" spans="12:12">
      <c r="L6564" s="1179"/>
    </row>
    <row r="6565" spans="12:12">
      <c r="L6565" s="1179"/>
    </row>
    <row r="6566" spans="12:12">
      <c r="L6566" s="1179"/>
    </row>
    <row r="6567" spans="12:12">
      <c r="L6567" s="1179"/>
    </row>
    <row r="6568" spans="12:12">
      <c r="L6568" s="1179"/>
    </row>
    <row r="6569" spans="12:12">
      <c r="L6569" s="1179"/>
    </row>
    <row r="6570" spans="12:12">
      <c r="L6570" s="1179"/>
    </row>
    <row r="6571" spans="12:12">
      <c r="L6571" s="1179"/>
    </row>
    <row r="6572" spans="12:12">
      <c r="L6572" s="1179"/>
    </row>
    <row r="6573" spans="12:12">
      <c r="L6573" s="1179"/>
    </row>
    <row r="6574" spans="12:12">
      <c r="L6574" s="1179"/>
    </row>
    <row r="6575" spans="12:12">
      <c r="L6575" s="1179"/>
    </row>
    <row r="6576" spans="12:12">
      <c r="L6576" s="1179"/>
    </row>
    <row r="6577" spans="12:12">
      <c r="L6577" s="1179"/>
    </row>
    <row r="6578" spans="12:12">
      <c r="L6578" s="1179"/>
    </row>
    <row r="6579" spans="12:12">
      <c r="L6579" s="1179"/>
    </row>
    <row r="6580" spans="12:12">
      <c r="L6580" s="1179"/>
    </row>
    <row r="6581" spans="12:12">
      <c r="L6581" s="1179"/>
    </row>
    <row r="6582" spans="12:12">
      <c r="L6582" s="1179"/>
    </row>
    <row r="6583" spans="12:12">
      <c r="L6583" s="1179"/>
    </row>
    <row r="6584" spans="12:12">
      <c r="L6584" s="1179"/>
    </row>
    <row r="6585" spans="12:12">
      <c r="L6585" s="1179"/>
    </row>
    <row r="6586" spans="12:12">
      <c r="L6586" s="1179"/>
    </row>
    <row r="6587" spans="12:12">
      <c r="L6587" s="1179"/>
    </row>
    <row r="6588" spans="12:12">
      <c r="L6588" s="1179"/>
    </row>
    <row r="6589" spans="12:12">
      <c r="L6589" s="1179"/>
    </row>
  </sheetData>
  <sheetProtection password="AD9B" sheet="1" objects="1" scenarios="1"/>
  <mergeCells count="362">
    <mergeCell ref="AI188:AI193"/>
    <mergeCell ref="AI194:AX194"/>
    <mergeCell ref="AI195:AJ195"/>
    <mergeCell ref="AI196:AI201"/>
    <mergeCell ref="AX196:AX201"/>
    <mergeCell ref="AI202:AI207"/>
    <mergeCell ref="AI209:AI214"/>
    <mergeCell ref="B126:F126"/>
    <mergeCell ref="G126:H126"/>
    <mergeCell ref="B164:F164"/>
    <mergeCell ref="B165:F165"/>
    <mergeCell ref="G165:H165"/>
    <mergeCell ref="B170:H170"/>
    <mergeCell ref="B173:D173"/>
    <mergeCell ref="B174:D174"/>
    <mergeCell ref="B175:D175"/>
    <mergeCell ref="G137:H137"/>
    <mergeCell ref="G138:H138"/>
    <mergeCell ref="G150:H150"/>
    <mergeCell ref="G140:H140"/>
    <mergeCell ref="B142:F142"/>
    <mergeCell ref="G142:H142"/>
    <mergeCell ref="AI70:AJ70"/>
    <mergeCell ref="AI69:AX69"/>
    <mergeCell ref="AX96:AX98"/>
    <mergeCell ref="AX87:AX94"/>
    <mergeCell ref="AI99:AX99"/>
    <mergeCell ref="AI127:AX127"/>
    <mergeCell ref="AI135:AI140"/>
    <mergeCell ref="AI71:AJ71"/>
    <mergeCell ref="AI72:AJ72"/>
    <mergeCell ref="AI74:AJ74"/>
    <mergeCell ref="AI75:AJ75"/>
    <mergeCell ref="AI93:AJ93"/>
    <mergeCell ref="AI89:AJ89"/>
    <mergeCell ref="AI84:AJ84"/>
    <mergeCell ref="AI87:AJ87"/>
    <mergeCell ref="AI85:AX85"/>
    <mergeCell ref="AI86:AX86"/>
    <mergeCell ref="AI94:AJ94"/>
    <mergeCell ref="AI96:AJ96"/>
    <mergeCell ref="AX148:AX153"/>
    <mergeCell ref="B146:I146"/>
    <mergeCell ref="G156:H156"/>
    <mergeCell ref="AI148:AI153"/>
    <mergeCell ref="AI154:AX154"/>
    <mergeCell ref="AI97:AJ97"/>
    <mergeCell ref="AI98:AJ98"/>
    <mergeCell ref="AI100:AJ100"/>
    <mergeCell ref="AI128:AJ128"/>
    <mergeCell ref="AI129:AI134"/>
    <mergeCell ref="AX155:AX160"/>
    <mergeCell ref="AI101:AI107"/>
    <mergeCell ref="G114:H114"/>
    <mergeCell ref="B144:I144"/>
    <mergeCell ref="G119:H119"/>
    <mergeCell ref="G147:H147"/>
    <mergeCell ref="B152:I152"/>
    <mergeCell ref="B153:I153"/>
    <mergeCell ref="B149:F149"/>
    <mergeCell ref="G149:H149"/>
    <mergeCell ref="G100:H100"/>
    <mergeCell ref="B99:F99"/>
    <mergeCell ref="B97:F97"/>
    <mergeCell ref="B150:F150"/>
    <mergeCell ref="AI182:AI187"/>
    <mergeCell ref="L108:M108"/>
    <mergeCell ref="N108:O108"/>
    <mergeCell ref="S110:Y110"/>
    <mergeCell ref="AI161:AI166"/>
    <mergeCell ref="AI155:AI160"/>
    <mergeCell ref="N152:P152"/>
    <mergeCell ref="AI176:AI181"/>
    <mergeCell ref="AI170:AI175"/>
    <mergeCell ref="L127:M127"/>
    <mergeCell ref="N127:O127"/>
    <mergeCell ref="M143:N143"/>
    <mergeCell ref="O143:O144"/>
    <mergeCell ref="AI114:AI119"/>
    <mergeCell ref="AI120:AI126"/>
    <mergeCell ref="AI95:AX95"/>
    <mergeCell ref="AX129:AX134"/>
    <mergeCell ref="AX120:AX126"/>
    <mergeCell ref="AI142:AI147"/>
    <mergeCell ref="AX101:AX107"/>
    <mergeCell ref="AI108:AI113"/>
    <mergeCell ref="I28:J28"/>
    <mergeCell ref="I30:J30"/>
    <mergeCell ref="Q31:W31"/>
    <mergeCell ref="Q32:Q33"/>
    <mergeCell ref="R32:R33"/>
    <mergeCell ref="L92:M92"/>
    <mergeCell ref="N92:O92"/>
    <mergeCell ref="AI78:AJ78"/>
    <mergeCell ref="AI80:AJ80"/>
    <mergeCell ref="AI79:AX79"/>
    <mergeCell ref="AI83:AJ83"/>
    <mergeCell ref="AI88:AJ88"/>
    <mergeCell ref="L72:M72"/>
    <mergeCell ref="N72:O72"/>
    <mergeCell ref="P73:AB74"/>
    <mergeCell ref="P72:AB72"/>
    <mergeCell ref="AI73:AX73"/>
    <mergeCell ref="AI82:AJ82"/>
    <mergeCell ref="AI81:AJ81"/>
    <mergeCell ref="AI76:AJ76"/>
    <mergeCell ref="AI77:AJ77"/>
    <mergeCell ref="AI90:AJ90"/>
    <mergeCell ref="AI91:AJ91"/>
    <mergeCell ref="AI92:AJ92"/>
    <mergeCell ref="S32:S33"/>
    <mergeCell ref="S28:V28"/>
    <mergeCell ref="T32:T33"/>
    <mergeCell ref="U32:U33"/>
    <mergeCell ref="V32:V33"/>
    <mergeCell ref="W32:W33"/>
    <mergeCell ref="Y31:AB31"/>
    <mergeCell ref="Z32:AA32"/>
    <mergeCell ref="Y39:Z39"/>
    <mergeCell ref="E5:G5"/>
    <mergeCell ref="B11:H11"/>
    <mergeCell ref="G14:H14"/>
    <mergeCell ref="E13:F13"/>
    <mergeCell ref="E14:F14"/>
    <mergeCell ref="G13:H13"/>
    <mergeCell ref="B4:C4"/>
    <mergeCell ref="E4:G4"/>
    <mergeCell ref="B10:H10"/>
    <mergeCell ref="B12:D12"/>
    <mergeCell ref="B8:H8"/>
    <mergeCell ref="E12:F12"/>
    <mergeCell ref="G12:H12"/>
    <mergeCell ref="B13:D13"/>
    <mergeCell ref="B14:D14"/>
    <mergeCell ref="G35:H35"/>
    <mergeCell ref="B52:F52"/>
    <mergeCell ref="E47:F47"/>
    <mergeCell ref="E43:F43"/>
    <mergeCell ref="G34:H34"/>
    <mergeCell ref="E34:F34"/>
    <mergeCell ref="G31:H31"/>
    <mergeCell ref="G21:H21"/>
    <mergeCell ref="G22:H22"/>
    <mergeCell ref="B31:F31"/>
    <mergeCell ref="G37:H37"/>
    <mergeCell ref="B34:C34"/>
    <mergeCell ref="E28:F28"/>
    <mergeCell ref="G36:H36"/>
    <mergeCell ref="E36:F36"/>
    <mergeCell ref="B35:C35"/>
    <mergeCell ref="B36:C36"/>
    <mergeCell ref="B33:H33"/>
    <mergeCell ref="G30:H30"/>
    <mergeCell ref="B30:F30"/>
    <mergeCell ref="G28:H28"/>
    <mergeCell ref="B29:F29"/>
    <mergeCell ref="G29:H29"/>
    <mergeCell ref="B47:D47"/>
    <mergeCell ref="A69:A131"/>
    <mergeCell ref="B114:F114"/>
    <mergeCell ref="B116:F116"/>
    <mergeCell ref="B119:F119"/>
    <mergeCell ref="B120:F120"/>
    <mergeCell ref="B112:F112"/>
    <mergeCell ref="B90:F90"/>
    <mergeCell ref="B72:H72"/>
    <mergeCell ref="G87:H87"/>
    <mergeCell ref="B76:F76"/>
    <mergeCell ref="B78:B80"/>
    <mergeCell ref="C78:C80"/>
    <mergeCell ref="D78:F78"/>
    <mergeCell ref="C86:G86"/>
    <mergeCell ref="G77:H77"/>
    <mergeCell ref="G113:H113"/>
    <mergeCell ref="G116:H116"/>
    <mergeCell ref="G115:H115"/>
    <mergeCell ref="B95:F95"/>
    <mergeCell ref="G95:H95"/>
    <mergeCell ref="B101:F101"/>
    <mergeCell ref="B98:F98"/>
    <mergeCell ref="G101:H101"/>
    <mergeCell ref="G96:H96"/>
    <mergeCell ref="I78:J80"/>
    <mergeCell ref="B106:H106"/>
    <mergeCell ref="B113:F113"/>
    <mergeCell ref="G107:H107"/>
    <mergeCell ref="G104:H104"/>
    <mergeCell ref="G99:H99"/>
    <mergeCell ref="G46:H46"/>
    <mergeCell ref="B81:H81"/>
    <mergeCell ref="G90:H90"/>
    <mergeCell ref="G112:H112"/>
    <mergeCell ref="G97:H97"/>
    <mergeCell ref="B87:F87"/>
    <mergeCell ref="B96:F96"/>
    <mergeCell ref="B103:H103"/>
    <mergeCell ref="G98:H98"/>
    <mergeCell ref="G76:H76"/>
    <mergeCell ref="B91:H91"/>
    <mergeCell ref="B77:F77"/>
    <mergeCell ref="D80:F80"/>
    <mergeCell ref="D79:F79"/>
    <mergeCell ref="G64:H64"/>
    <mergeCell ref="B66:F66"/>
    <mergeCell ref="G66:H66"/>
    <mergeCell ref="G62:H62"/>
    <mergeCell ref="A61:A66"/>
    <mergeCell ref="E35:F35"/>
    <mergeCell ref="B43:D43"/>
    <mergeCell ref="B53:I53"/>
    <mergeCell ref="E44:F44"/>
    <mergeCell ref="E38:F38"/>
    <mergeCell ref="I48:J48"/>
    <mergeCell ref="E45:F45"/>
    <mergeCell ref="G48:H48"/>
    <mergeCell ref="G39:H39"/>
    <mergeCell ref="G54:H54"/>
    <mergeCell ref="B44:D44"/>
    <mergeCell ref="E46:F46"/>
    <mergeCell ref="G43:H43"/>
    <mergeCell ref="G44:H44"/>
    <mergeCell ref="B46:D46"/>
    <mergeCell ref="B45:D45"/>
    <mergeCell ref="B61:I61"/>
    <mergeCell ref="G47:H47"/>
    <mergeCell ref="B64:F64"/>
    <mergeCell ref="G45:H45"/>
    <mergeCell ref="B37:C37"/>
    <mergeCell ref="E37:F37"/>
    <mergeCell ref="G49:H49"/>
    <mergeCell ref="B38:C38"/>
    <mergeCell ref="G40:H40"/>
    <mergeCell ref="G38:H38"/>
    <mergeCell ref="B40:F40"/>
    <mergeCell ref="G55:H55"/>
    <mergeCell ref="B51:I51"/>
    <mergeCell ref="G52:H52"/>
    <mergeCell ref="I39:J39"/>
    <mergeCell ref="G71:H71"/>
    <mergeCell ref="B69:I69"/>
    <mergeCell ref="G63:H63"/>
    <mergeCell ref="G65:H65"/>
    <mergeCell ref="B49:F49"/>
    <mergeCell ref="B54:D54"/>
    <mergeCell ref="B55:D55"/>
    <mergeCell ref="B56:D56"/>
    <mergeCell ref="B62:F62"/>
    <mergeCell ref="B71:F71"/>
    <mergeCell ref="B63:F63"/>
    <mergeCell ref="B70:H70"/>
    <mergeCell ref="B65:F65"/>
    <mergeCell ref="G56:H56"/>
    <mergeCell ref="B57:D57"/>
    <mergeCell ref="G57:H57"/>
    <mergeCell ref="B100:F100"/>
    <mergeCell ref="B107:F107"/>
    <mergeCell ref="B104:F104"/>
    <mergeCell ref="B102:F102"/>
    <mergeCell ref="G117:H117"/>
    <mergeCell ref="G102:H102"/>
    <mergeCell ref="B108:H108"/>
    <mergeCell ref="B118:F118"/>
    <mergeCell ref="G121:H121"/>
    <mergeCell ref="G148:H148"/>
    <mergeCell ref="G145:H145"/>
    <mergeCell ref="B148:F148"/>
    <mergeCell ref="B125:H125"/>
    <mergeCell ref="B127:H127"/>
    <mergeCell ref="B131:F131"/>
    <mergeCell ref="G131:H131"/>
    <mergeCell ref="B132:F132"/>
    <mergeCell ref="G132:H132"/>
    <mergeCell ref="B139:F139"/>
    <mergeCell ref="G139:H139"/>
    <mergeCell ref="B140:F140"/>
    <mergeCell ref="P234:P235"/>
    <mergeCell ref="L226:M226"/>
    <mergeCell ref="M234:M235"/>
    <mergeCell ref="N234:N235"/>
    <mergeCell ref="O234:O235"/>
    <mergeCell ref="G154:H154"/>
    <mergeCell ref="G164:H164"/>
    <mergeCell ref="B156:F156"/>
    <mergeCell ref="B159:I159"/>
    <mergeCell ref="B172:D172"/>
    <mergeCell ref="G161:H161"/>
    <mergeCell ref="E172:H172"/>
    <mergeCell ref="B163:F163"/>
    <mergeCell ref="G162:H162"/>
    <mergeCell ref="B162:F162"/>
    <mergeCell ref="B161:F161"/>
    <mergeCell ref="G163:H163"/>
    <mergeCell ref="B176:D176"/>
    <mergeCell ref="E173:H173"/>
    <mergeCell ref="E174:H174"/>
    <mergeCell ref="E175:H175"/>
    <mergeCell ref="E176:H176"/>
    <mergeCell ref="B154:F154"/>
    <mergeCell ref="B160:I160"/>
    <mergeCell ref="Z26:Z27"/>
    <mergeCell ref="AA26:AA27"/>
    <mergeCell ref="B25:D25"/>
    <mergeCell ref="I17:J17"/>
    <mergeCell ref="I26:J26"/>
    <mergeCell ref="B21:D21"/>
    <mergeCell ref="E21:F21"/>
    <mergeCell ref="B22:D22"/>
    <mergeCell ref="B24:D24"/>
    <mergeCell ref="E23:F23"/>
    <mergeCell ref="E24:F24"/>
    <mergeCell ref="E25:F25"/>
    <mergeCell ref="E22:F22"/>
    <mergeCell ref="B26:F26"/>
    <mergeCell ref="B23:D23"/>
    <mergeCell ref="B155:F155"/>
    <mergeCell ref="G155:H155"/>
    <mergeCell ref="B145:F145"/>
    <mergeCell ref="G123:H123"/>
    <mergeCell ref="G118:H118"/>
    <mergeCell ref="G120:H120"/>
    <mergeCell ref="E15:F15"/>
    <mergeCell ref="B15:D15"/>
    <mergeCell ref="G15:H15"/>
    <mergeCell ref="E27:F27"/>
    <mergeCell ref="G27:H27"/>
    <mergeCell ref="G26:H26"/>
    <mergeCell ref="B20:H20"/>
    <mergeCell ref="G16:H16"/>
    <mergeCell ref="G17:H17"/>
    <mergeCell ref="G18:H18"/>
    <mergeCell ref="B16:D16"/>
    <mergeCell ref="E16:F16"/>
    <mergeCell ref="B18:F18"/>
    <mergeCell ref="B122:H122"/>
    <mergeCell ref="B121:F121"/>
    <mergeCell ref="B123:F123"/>
    <mergeCell ref="B117:F117"/>
    <mergeCell ref="B147:F147"/>
    <mergeCell ref="X12:Z12"/>
    <mergeCell ref="X26:X27"/>
    <mergeCell ref="X18:AB18"/>
    <mergeCell ref="B133:B136"/>
    <mergeCell ref="Q12:V12"/>
    <mergeCell ref="G23:H23"/>
    <mergeCell ref="G24:H24"/>
    <mergeCell ref="G25:H25"/>
    <mergeCell ref="S15:V15"/>
    <mergeCell ref="S16:V16"/>
    <mergeCell ref="B89:H89"/>
    <mergeCell ref="B115:F115"/>
    <mergeCell ref="S17:V17"/>
    <mergeCell ref="S25:V25"/>
    <mergeCell ref="S27:V27"/>
    <mergeCell ref="S20:V20"/>
    <mergeCell ref="S21:V21"/>
    <mergeCell ref="S22:V22"/>
    <mergeCell ref="S19:V19"/>
    <mergeCell ref="S18:V18"/>
    <mergeCell ref="S23:V23"/>
    <mergeCell ref="S24:V24"/>
    <mergeCell ref="AB26:AB27"/>
    <mergeCell ref="Y26:Y27"/>
  </mergeCells>
  <phoneticPr fontId="7" type="noConversion"/>
  <conditionalFormatting sqref="H109:H110 D109:D111 F109:G111 B109:B111">
    <cfRule type="expression" dxfId="47" priority="28" stopIfTrue="1">
      <formula>$L$107=1</formula>
    </cfRule>
  </conditionalFormatting>
  <conditionalFormatting sqref="B84:B86 D73:D75 F73:G75 B73:B75">
    <cfRule type="expression" dxfId="46" priority="29" stopIfTrue="1">
      <formula>$L$71=1</formula>
    </cfRule>
  </conditionalFormatting>
  <conditionalFormatting sqref="G76:H77">
    <cfRule type="expression" dxfId="45" priority="30" stopIfTrue="1">
      <formula>$L$71=1</formula>
    </cfRule>
  </conditionalFormatting>
  <conditionalFormatting sqref="G87:H87 G78:G80">
    <cfRule type="expression" dxfId="44" priority="31" stopIfTrue="1">
      <formula>$L$71=1</formula>
    </cfRule>
  </conditionalFormatting>
  <conditionalFormatting sqref="D92:D94 F92:G94 B92:B94 H92:H93">
    <cfRule type="expression" dxfId="43" priority="32" stopIfTrue="1">
      <formula>$L$90=1</formula>
    </cfRule>
  </conditionalFormatting>
  <conditionalFormatting sqref="G95:H97 B99:H102">
    <cfRule type="expression" dxfId="42" priority="33" stopIfTrue="1">
      <formula>$L$90=1</formula>
    </cfRule>
  </conditionalFormatting>
  <conditionalFormatting sqref="G104:H104">
    <cfRule type="expression" dxfId="41" priority="34" stopIfTrue="1">
      <formula>$L$90=1</formula>
    </cfRule>
  </conditionalFormatting>
  <conditionalFormatting sqref="G112:H116 B118:H121">
    <cfRule type="expression" dxfId="40" priority="35" stopIfTrue="1">
      <formula>$L$107=1</formula>
    </cfRule>
  </conditionalFormatting>
  <conditionalFormatting sqref="G123:H123">
    <cfRule type="expression" dxfId="39" priority="36" stopIfTrue="1">
      <formula>$L$107=1</formula>
    </cfRule>
  </conditionalFormatting>
  <conditionalFormatting sqref="H111">
    <cfRule type="expression" dxfId="38" priority="37" stopIfTrue="1">
      <formula>$L$107=1</formula>
    </cfRule>
    <cfRule type="expression" dxfId="37" priority="38" stopIfTrue="1">
      <formula>NOT($M$111)</formula>
    </cfRule>
  </conditionalFormatting>
  <conditionalFormatting sqref="G27 G21">
    <cfRule type="cellIs" dxfId="36" priority="39" stopIfTrue="1" operator="equal">
      <formula>"ERROR"</formula>
    </cfRule>
  </conditionalFormatting>
  <conditionalFormatting sqref="G63:H66">
    <cfRule type="expression" dxfId="35" priority="40" stopIfTrue="1">
      <formula>$L$62=1</formula>
    </cfRule>
  </conditionalFormatting>
  <conditionalFormatting sqref="I26:K26 I39:K39 I48:K48 I30:K30 I17:K17">
    <cfRule type="cellIs" dxfId="34" priority="41" stopIfTrue="1" operator="equal">
      <formula>"ERROR: 100% required"</formula>
    </cfRule>
  </conditionalFormatting>
  <conditionalFormatting sqref="I28:K29">
    <cfRule type="cellIs" dxfId="33" priority="42" stopIfTrue="1" operator="equal">
      <formula>"ERROR"</formula>
    </cfRule>
  </conditionalFormatting>
  <conditionalFormatting sqref="B83">
    <cfRule type="expression" dxfId="32" priority="43" stopIfTrue="1">
      <formula>$L$73=1</formula>
    </cfRule>
  </conditionalFormatting>
  <conditionalFormatting sqref="B63:F66">
    <cfRule type="expression" dxfId="31" priority="44" stopIfTrue="1">
      <formula>$L$62=1</formula>
    </cfRule>
  </conditionalFormatting>
  <conditionalFormatting sqref="H75">
    <cfRule type="expression" dxfId="30" priority="45" stopIfTrue="1">
      <formula>$L$71=1</formula>
    </cfRule>
    <cfRule type="expression" dxfId="29" priority="46" stopIfTrue="1">
      <formula>NOT($M$75)</formula>
    </cfRule>
  </conditionalFormatting>
  <conditionalFormatting sqref="H94">
    <cfRule type="expression" dxfId="28" priority="47" stopIfTrue="1">
      <formula>$L$90=1</formula>
    </cfRule>
    <cfRule type="expression" dxfId="27" priority="48" stopIfTrue="1">
      <formula>NOT($M$95)</formula>
    </cfRule>
  </conditionalFormatting>
  <conditionalFormatting sqref="AK101:AV107">
    <cfRule type="cellIs" dxfId="26" priority="49" stopIfTrue="1" operator="equal">
      <formula>0</formula>
    </cfRule>
    <cfRule type="cellIs" dxfId="25" priority="50" stopIfTrue="1" operator="notEqual">
      <formula>0</formula>
    </cfRule>
  </conditionalFormatting>
  <conditionalFormatting sqref="AK129:AV134">
    <cfRule type="cellIs" dxfId="24" priority="51" stopIfTrue="1" operator="equal">
      <formula>0</formula>
    </cfRule>
    <cfRule type="cellIs" dxfId="23" priority="52" stopIfTrue="1" operator="notEqual">
      <formula>0</formula>
    </cfRule>
  </conditionalFormatting>
  <conditionalFormatting sqref="AK155:AV160">
    <cfRule type="cellIs" dxfId="22" priority="53" stopIfTrue="1" operator="equal">
      <formula>0</formula>
    </cfRule>
    <cfRule type="cellIs" dxfId="21" priority="54" stopIfTrue="1" operator="greaterThan">
      <formula>0</formula>
    </cfRule>
  </conditionalFormatting>
  <conditionalFormatting sqref="B72:H72 C73:C75 E73:E75 B76:F77 B78:C80 B81:H82 C84:H84 C86:G86 B87:F87">
    <cfRule type="expression" dxfId="20" priority="55" stopIfTrue="1">
      <formula>$L$71=1</formula>
    </cfRule>
  </conditionalFormatting>
  <conditionalFormatting sqref="H78:H80 C83:H83 C85:H85 H86">
    <cfRule type="expression" dxfId="19" priority="56" stopIfTrue="1">
      <formula>$L$71=1</formula>
    </cfRule>
  </conditionalFormatting>
  <conditionalFormatting sqref="B91:H91 C92:C94 E92:E94 B95:F97 B98:H98 B104:F104">
    <cfRule type="expression" dxfId="18" priority="57" stopIfTrue="1">
      <formula>$L$90=1</formula>
    </cfRule>
  </conditionalFormatting>
  <conditionalFormatting sqref="B108:H108 C109:C111 E109:E111 B112:F116 B117:H117 B123:F123">
    <cfRule type="expression" dxfId="17" priority="58" stopIfTrue="1">
      <formula>$L$107=1</formula>
    </cfRule>
  </conditionalFormatting>
  <conditionalFormatting sqref="D128:D130 F128:G130 B128:B130">
    <cfRule type="expression" dxfId="16" priority="24" stopIfTrue="1">
      <formula>$L$71=1</formula>
    </cfRule>
  </conditionalFormatting>
  <conditionalFormatting sqref="H130">
    <cfRule type="expression" dxfId="15" priority="25" stopIfTrue="1">
      <formula>$L$71=1</formula>
    </cfRule>
    <cfRule type="expression" dxfId="14" priority="26" stopIfTrue="1">
      <formula>NOT($M$75)</formula>
    </cfRule>
  </conditionalFormatting>
  <conditionalFormatting sqref="B127:H127 C128:C130 E128:E130">
    <cfRule type="expression" dxfId="13" priority="27" stopIfTrue="1">
      <formula>$L$71=1</formula>
    </cfRule>
  </conditionalFormatting>
  <conditionalFormatting sqref="B139:B140 G137:G140">
    <cfRule type="expression" dxfId="12" priority="21" stopIfTrue="1">
      <formula>$L$90=1</formula>
    </cfRule>
  </conditionalFormatting>
  <conditionalFormatting sqref="G142">
    <cfRule type="expression" dxfId="11" priority="22" stopIfTrue="1">
      <formula>$L$90=1</formula>
    </cfRule>
  </conditionalFormatting>
  <conditionalFormatting sqref="B142">
    <cfRule type="expression" dxfId="10" priority="23" stopIfTrue="1">
      <formula>$L$90=1</formula>
    </cfRule>
  </conditionalFormatting>
  <conditionalFormatting sqref="B131">
    <cfRule type="expression" dxfId="9" priority="13" stopIfTrue="1">
      <formula>$L$90=1</formula>
    </cfRule>
  </conditionalFormatting>
  <conditionalFormatting sqref="B132">
    <cfRule type="expression" dxfId="8" priority="12" stopIfTrue="1">
      <formula>$L$90=1</formula>
    </cfRule>
  </conditionalFormatting>
  <conditionalFormatting sqref="AK196:AV201">
    <cfRule type="cellIs" dxfId="7" priority="6" stopIfTrue="1" operator="equal">
      <formula>0</formula>
    </cfRule>
    <cfRule type="cellIs" dxfId="6" priority="7" stopIfTrue="1" operator="notEqual">
      <formula>0</formula>
    </cfRule>
  </conditionalFormatting>
  <conditionalFormatting sqref="B133:H133 C135:H135">
    <cfRule type="expression" dxfId="5" priority="4" stopIfTrue="1">
      <formula>$L$71=1</formula>
    </cfRule>
  </conditionalFormatting>
  <conditionalFormatting sqref="C134:H134 C136:H136">
    <cfRule type="expression" dxfId="4" priority="5" stopIfTrue="1">
      <formula>$L$71=1</formula>
    </cfRule>
  </conditionalFormatting>
  <conditionalFormatting sqref="G131:G132">
    <cfRule type="expression" dxfId="3" priority="1" stopIfTrue="1">
      <formula>$L$90=1</formula>
    </cfRule>
  </conditionalFormatting>
  <printOptions horizontalCentered="1"/>
  <pageMargins left="0.59055118110236227" right="0.59055118110236227" top="0.47244094488188981" bottom="0.47244094488188981" header="0.23622047244094491" footer="0.35433070866141736"/>
  <pageSetup paperSize="9" scale="67" fitToHeight="6" orientation="portrait" blackAndWhite="1" r:id="rId1"/>
  <headerFooter alignWithMargins="0">
    <oddHeader>&amp;LGreen Building Council of South Africa&amp;R&amp;T   &amp;D</oddHeader>
    <oddFooter>&amp;L&amp;F&amp;CPage &amp;P of &amp;N&amp;RCategory: Water (&amp;A)</oddFooter>
  </headerFooter>
  <rowBreaks count="3" manualBreakCount="3">
    <brk id="49" max="9" man="1"/>
    <brk id="87" max="9" man="1"/>
    <brk id="130" max="9" man="1"/>
  </rowBreaks>
  <ignoredErrors>
    <ignoredError sqref="G29 L13:L14 M17:N17 N4:N5 L22:M22 M35:M38 N35:N38 N40 N26:N28 L31 M48:N48 N18 L46:L47 M44:M45 M78 L28:M28 N13:N16 M14 M15:M16 L44 L45 N44:N45 N46:N47 T114 L63:L65 M46:M47" unlockedFormula="1"/>
    <ignoredError sqref="AK91 AK123 AD7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1</xdr:col>
                    <xdr:colOff>1066800</xdr:colOff>
                    <xdr:row>72</xdr:row>
                    <xdr:rowOff>0</xdr:rowOff>
                  </from>
                  <to>
                    <xdr:col>1</xdr:col>
                    <xdr:colOff>1371600</xdr:colOff>
                    <xdr:row>73</xdr:row>
                    <xdr:rowOff>0</xdr:rowOff>
                  </to>
                </anchor>
              </controlPr>
            </control>
          </mc:Choice>
        </mc:AlternateContent>
        <mc:AlternateContent xmlns:mc="http://schemas.openxmlformats.org/markup-compatibility/2006">
          <mc:Choice Requires="x14">
            <control shapeId="55304" r:id="rId5" name="Drop Down 8">
              <controlPr defaultSize="0" autoLine="0" autoPict="0">
                <anchor moveWithCells="1">
                  <from>
                    <xdr:col>6</xdr:col>
                    <xdr:colOff>171450</xdr:colOff>
                    <xdr:row>70</xdr:row>
                    <xdr:rowOff>76200</xdr:rowOff>
                  </from>
                  <to>
                    <xdr:col>7</xdr:col>
                    <xdr:colOff>314325</xdr:colOff>
                    <xdr:row>70</xdr:row>
                    <xdr:rowOff>295275</xdr:rowOff>
                  </to>
                </anchor>
              </controlPr>
            </control>
          </mc:Choice>
        </mc:AlternateContent>
        <mc:AlternateContent xmlns:mc="http://schemas.openxmlformats.org/markup-compatibility/2006">
          <mc:Choice Requires="x14">
            <control shapeId="55306" r:id="rId6" name="Drop Down 10">
              <controlPr defaultSize="0" autoLine="0" autoPict="0">
                <anchor moveWithCells="1">
                  <from>
                    <xdr:col>6</xdr:col>
                    <xdr:colOff>209550</xdr:colOff>
                    <xdr:row>89</xdr:row>
                    <xdr:rowOff>104775</xdr:rowOff>
                  </from>
                  <to>
                    <xdr:col>7</xdr:col>
                    <xdr:colOff>342900</xdr:colOff>
                    <xdr:row>89</xdr:row>
                    <xdr:rowOff>314325</xdr:rowOff>
                  </to>
                </anchor>
              </controlPr>
            </control>
          </mc:Choice>
        </mc:AlternateContent>
        <mc:AlternateContent xmlns:mc="http://schemas.openxmlformats.org/markup-compatibility/2006">
          <mc:Choice Requires="x14">
            <control shapeId="55307" r:id="rId7" name="Drop Down 11">
              <controlPr defaultSize="0" autoLine="0" autoPict="0">
                <anchor moveWithCells="1">
                  <from>
                    <xdr:col>6</xdr:col>
                    <xdr:colOff>171450</xdr:colOff>
                    <xdr:row>106</xdr:row>
                    <xdr:rowOff>19050</xdr:rowOff>
                  </from>
                  <to>
                    <xdr:col>7</xdr:col>
                    <xdr:colOff>314325</xdr:colOff>
                    <xdr:row>106</xdr:row>
                    <xdr:rowOff>371475</xdr:rowOff>
                  </to>
                </anchor>
              </controlPr>
            </control>
          </mc:Choice>
        </mc:AlternateContent>
        <mc:AlternateContent xmlns:mc="http://schemas.openxmlformats.org/markup-compatibility/2006">
          <mc:Choice Requires="x14">
            <control shapeId="55308" r:id="rId8" name="Button 12">
              <controlPr defaultSize="0" print="0" autoFill="0" autoPict="0" macro="[0]!GoToWater">
                <anchor moveWithCells="1" sizeWithCells="1">
                  <from>
                    <xdr:col>3</xdr:col>
                    <xdr:colOff>581025</xdr:colOff>
                    <xdr:row>166</xdr:row>
                    <xdr:rowOff>152400</xdr:rowOff>
                  </from>
                  <to>
                    <xdr:col>8</xdr:col>
                    <xdr:colOff>247650</xdr:colOff>
                    <xdr:row>167</xdr:row>
                    <xdr:rowOff>209550</xdr:rowOff>
                  </to>
                </anchor>
              </controlPr>
            </control>
          </mc:Choice>
        </mc:AlternateContent>
        <mc:AlternateContent xmlns:mc="http://schemas.openxmlformats.org/markup-compatibility/2006">
          <mc:Choice Requires="x14">
            <control shapeId="55322" r:id="rId9" name="Drop Down 26">
              <controlPr defaultSize="0" autoLine="0" autoPict="0">
                <anchor moveWithCells="1">
                  <from>
                    <xdr:col>6</xdr:col>
                    <xdr:colOff>247650</xdr:colOff>
                    <xdr:row>61</xdr:row>
                    <xdr:rowOff>266700</xdr:rowOff>
                  </from>
                  <to>
                    <xdr:col>7</xdr:col>
                    <xdr:colOff>381000</xdr:colOff>
                    <xdr:row>61</xdr:row>
                    <xdr:rowOff>533400</xdr:rowOff>
                  </to>
                </anchor>
              </controlPr>
            </control>
          </mc:Choice>
        </mc:AlternateContent>
        <mc:AlternateContent xmlns:mc="http://schemas.openxmlformats.org/markup-compatibility/2006">
          <mc:Choice Requires="x14">
            <control shapeId="55325" r:id="rId10" name="Check Box 29">
              <controlPr defaultSize="0" autoFill="0" autoLine="0" autoPict="0">
                <anchor moveWithCells="1">
                  <from>
                    <xdr:col>1</xdr:col>
                    <xdr:colOff>1057275</xdr:colOff>
                    <xdr:row>90</xdr:row>
                    <xdr:rowOff>238125</xdr:rowOff>
                  </from>
                  <to>
                    <xdr:col>1</xdr:col>
                    <xdr:colOff>1362075</xdr:colOff>
                    <xdr:row>92</xdr:row>
                    <xdr:rowOff>0</xdr:rowOff>
                  </to>
                </anchor>
              </controlPr>
            </control>
          </mc:Choice>
        </mc:AlternateContent>
        <mc:AlternateContent xmlns:mc="http://schemas.openxmlformats.org/markup-compatibility/2006">
          <mc:Choice Requires="x14">
            <control shapeId="55326" r:id="rId11" name="Check Box 30">
              <controlPr defaultSize="0" autoFill="0" autoLine="0" autoPict="0">
                <anchor moveWithCells="1">
                  <from>
                    <xdr:col>1</xdr:col>
                    <xdr:colOff>1057275</xdr:colOff>
                    <xdr:row>92</xdr:row>
                    <xdr:rowOff>28575</xdr:rowOff>
                  </from>
                  <to>
                    <xdr:col>1</xdr:col>
                    <xdr:colOff>1362075</xdr:colOff>
                    <xdr:row>93</xdr:row>
                    <xdr:rowOff>0</xdr:rowOff>
                  </to>
                </anchor>
              </controlPr>
            </control>
          </mc:Choice>
        </mc:AlternateContent>
        <mc:AlternateContent xmlns:mc="http://schemas.openxmlformats.org/markup-compatibility/2006">
          <mc:Choice Requires="x14">
            <control shapeId="55327" r:id="rId12" name="Check Box 31">
              <controlPr defaultSize="0" autoFill="0" autoLine="0" autoPict="0">
                <anchor moveWithCells="1">
                  <from>
                    <xdr:col>1</xdr:col>
                    <xdr:colOff>1057275</xdr:colOff>
                    <xdr:row>93</xdr:row>
                    <xdr:rowOff>28575</xdr:rowOff>
                  </from>
                  <to>
                    <xdr:col>1</xdr:col>
                    <xdr:colOff>1362075</xdr:colOff>
                    <xdr:row>93</xdr:row>
                    <xdr:rowOff>238125</xdr:rowOff>
                  </to>
                </anchor>
              </controlPr>
            </control>
          </mc:Choice>
        </mc:AlternateContent>
        <mc:AlternateContent xmlns:mc="http://schemas.openxmlformats.org/markup-compatibility/2006">
          <mc:Choice Requires="x14">
            <control shapeId="55328" r:id="rId13" name="Check Box 32">
              <controlPr defaultSize="0" autoFill="0" autoLine="0" autoPict="0">
                <anchor moveWithCells="1">
                  <from>
                    <xdr:col>3</xdr:col>
                    <xdr:colOff>904875</xdr:colOff>
                    <xdr:row>90</xdr:row>
                    <xdr:rowOff>238125</xdr:rowOff>
                  </from>
                  <to>
                    <xdr:col>4</xdr:col>
                    <xdr:colOff>104775</xdr:colOff>
                    <xdr:row>92</xdr:row>
                    <xdr:rowOff>0</xdr:rowOff>
                  </to>
                </anchor>
              </controlPr>
            </control>
          </mc:Choice>
        </mc:AlternateContent>
        <mc:AlternateContent xmlns:mc="http://schemas.openxmlformats.org/markup-compatibility/2006">
          <mc:Choice Requires="x14">
            <control shapeId="55330" r:id="rId14" name="Check Box 34">
              <controlPr defaultSize="0" autoFill="0" autoLine="0" autoPict="0">
                <anchor moveWithCells="1">
                  <from>
                    <xdr:col>3</xdr:col>
                    <xdr:colOff>904875</xdr:colOff>
                    <xdr:row>93</xdr:row>
                    <xdr:rowOff>28575</xdr:rowOff>
                  </from>
                  <to>
                    <xdr:col>4</xdr:col>
                    <xdr:colOff>104775</xdr:colOff>
                    <xdr:row>93</xdr:row>
                    <xdr:rowOff>228600</xdr:rowOff>
                  </to>
                </anchor>
              </controlPr>
            </control>
          </mc:Choice>
        </mc:AlternateContent>
        <mc:AlternateContent xmlns:mc="http://schemas.openxmlformats.org/markup-compatibility/2006">
          <mc:Choice Requires="x14">
            <control shapeId="55331" r:id="rId15" name="Check Box 35">
              <controlPr defaultSize="0" autoFill="0" autoLine="0" autoPict="0">
                <anchor moveWithCells="1">
                  <from>
                    <xdr:col>1</xdr:col>
                    <xdr:colOff>1066800</xdr:colOff>
                    <xdr:row>73</xdr:row>
                    <xdr:rowOff>9525</xdr:rowOff>
                  </from>
                  <to>
                    <xdr:col>1</xdr:col>
                    <xdr:colOff>1371600</xdr:colOff>
                    <xdr:row>73</xdr:row>
                    <xdr:rowOff>247650</xdr:rowOff>
                  </to>
                </anchor>
              </controlPr>
            </control>
          </mc:Choice>
        </mc:AlternateContent>
        <mc:AlternateContent xmlns:mc="http://schemas.openxmlformats.org/markup-compatibility/2006">
          <mc:Choice Requires="x14">
            <control shapeId="55332" r:id="rId16" name="Check Box 36">
              <controlPr defaultSize="0" autoFill="0" autoLine="0" autoPict="0">
                <anchor moveWithCells="1">
                  <from>
                    <xdr:col>1</xdr:col>
                    <xdr:colOff>1066800</xdr:colOff>
                    <xdr:row>74</xdr:row>
                    <xdr:rowOff>28575</xdr:rowOff>
                  </from>
                  <to>
                    <xdr:col>1</xdr:col>
                    <xdr:colOff>1371600</xdr:colOff>
                    <xdr:row>74</xdr:row>
                    <xdr:rowOff>238125</xdr:rowOff>
                  </to>
                </anchor>
              </controlPr>
            </control>
          </mc:Choice>
        </mc:AlternateContent>
        <mc:AlternateContent xmlns:mc="http://schemas.openxmlformats.org/markup-compatibility/2006">
          <mc:Choice Requires="x14">
            <control shapeId="55333" r:id="rId17" name="Check Box 37">
              <controlPr defaultSize="0" autoFill="0" autoLine="0" autoPict="0">
                <anchor moveWithCells="1">
                  <from>
                    <xdr:col>3</xdr:col>
                    <xdr:colOff>1000125</xdr:colOff>
                    <xdr:row>72</xdr:row>
                    <xdr:rowOff>0</xdr:rowOff>
                  </from>
                  <to>
                    <xdr:col>4</xdr:col>
                    <xdr:colOff>200025</xdr:colOff>
                    <xdr:row>73</xdr:row>
                    <xdr:rowOff>0</xdr:rowOff>
                  </to>
                </anchor>
              </controlPr>
            </control>
          </mc:Choice>
        </mc:AlternateContent>
        <mc:AlternateContent xmlns:mc="http://schemas.openxmlformats.org/markup-compatibility/2006">
          <mc:Choice Requires="x14">
            <control shapeId="55336" r:id="rId18" name="Check Box 40">
              <controlPr defaultSize="0" autoFill="0" autoLine="0" autoPict="0">
                <anchor moveWithCells="1">
                  <from>
                    <xdr:col>1</xdr:col>
                    <xdr:colOff>1028700</xdr:colOff>
                    <xdr:row>108</xdr:row>
                    <xdr:rowOff>9525</xdr:rowOff>
                  </from>
                  <to>
                    <xdr:col>1</xdr:col>
                    <xdr:colOff>1343025</xdr:colOff>
                    <xdr:row>109</xdr:row>
                    <xdr:rowOff>0</xdr:rowOff>
                  </to>
                </anchor>
              </controlPr>
            </control>
          </mc:Choice>
        </mc:AlternateContent>
        <mc:AlternateContent xmlns:mc="http://schemas.openxmlformats.org/markup-compatibility/2006">
          <mc:Choice Requires="x14">
            <control shapeId="55337" r:id="rId19" name="Check Box 41">
              <controlPr defaultSize="0" autoFill="0" autoLine="0" autoPict="0">
                <anchor moveWithCells="1">
                  <from>
                    <xdr:col>1</xdr:col>
                    <xdr:colOff>1028700</xdr:colOff>
                    <xdr:row>108</xdr:row>
                    <xdr:rowOff>190500</xdr:rowOff>
                  </from>
                  <to>
                    <xdr:col>1</xdr:col>
                    <xdr:colOff>1343025</xdr:colOff>
                    <xdr:row>110</xdr:row>
                    <xdr:rowOff>0</xdr:rowOff>
                  </to>
                </anchor>
              </controlPr>
            </control>
          </mc:Choice>
        </mc:AlternateContent>
        <mc:AlternateContent xmlns:mc="http://schemas.openxmlformats.org/markup-compatibility/2006">
          <mc:Choice Requires="x14">
            <control shapeId="55338" r:id="rId20" name="Check Box 42">
              <controlPr defaultSize="0" autoFill="0" autoLine="0" autoPict="0">
                <anchor moveWithCells="1">
                  <from>
                    <xdr:col>1</xdr:col>
                    <xdr:colOff>1028700</xdr:colOff>
                    <xdr:row>109</xdr:row>
                    <xdr:rowOff>209550</xdr:rowOff>
                  </from>
                  <to>
                    <xdr:col>1</xdr:col>
                    <xdr:colOff>1343025</xdr:colOff>
                    <xdr:row>110</xdr:row>
                    <xdr:rowOff>190500</xdr:rowOff>
                  </to>
                </anchor>
              </controlPr>
            </control>
          </mc:Choice>
        </mc:AlternateContent>
        <mc:AlternateContent xmlns:mc="http://schemas.openxmlformats.org/markup-compatibility/2006">
          <mc:Choice Requires="x14">
            <control shapeId="55339" r:id="rId21" name="Check Box 43">
              <controlPr defaultSize="0" autoFill="0" autoLine="0" autoPict="0">
                <anchor moveWithCells="1">
                  <from>
                    <xdr:col>3</xdr:col>
                    <xdr:colOff>933450</xdr:colOff>
                    <xdr:row>107</xdr:row>
                    <xdr:rowOff>247650</xdr:rowOff>
                  </from>
                  <to>
                    <xdr:col>4</xdr:col>
                    <xdr:colOff>133350</xdr:colOff>
                    <xdr:row>108</xdr:row>
                    <xdr:rowOff>209550</xdr:rowOff>
                  </to>
                </anchor>
              </controlPr>
            </control>
          </mc:Choice>
        </mc:AlternateContent>
        <mc:AlternateContent xmlns:mc="http://schemas.openxmlformats.org/markup-compatibility/2006">
          <mc:Choice Requires="x14">
            <control shapeId="55340" r:id="rId22" name="Check Box 44">
              <controlPr defaultSize="0" autoFill="0" autoLine="0" autoPict="0">
                <anchor moveWithCells="1">
                  <from>
                    <xdr:col>3</xdr:col>
                    <xdr:colOff>942975</xdr:colOff>
                    <xdr:row>108</xdr:row>
                    <xdr:rowOff>209550</xdr:rowOff>
                  </from>
                  <to>
                    <xdr:col>4</xdr:col>
                    <xdr:colOff>142875</xdr:colOff>
                    <xdr:row>110</xdr:row>
                    <xdr:rowOff>19050</xdr:rowOff>
                  </to>
                </anchor>
              </controlPr>
            </control>
          </mc:Choice>
        </mc:AlternateContent>
        <mc:AlternateContent xmlns:mc="http://schemas.openxmlformats.org/markup-compatibility/2006">
          <mc:Choice Requires="x14">
            <control shapeId="55345" r:id="rId23" name="Check Box 49">
              <controlPr defaultSize="0" autoFill="0" autoLine="0" autoPict="0">
                <anchor moveWithCells="1">
                  <from>
                    <xdr:col>3</xdr:col>
                    <xdr:colOff>1000125</xdr:colOff>
                    <xdr:row>74</xdr:row>
                    <xdr:rowOff>28575</xdr:rowOff>
                  </from>
                  <to>
                    <xdr:col>4</xdr:col>
                    <xdr:colOff>200025</xdr:colOff>
                    <xdr:row>74</xdr:row>
                    <xdr:rowOff>228600</xdr:rowOff>
                  </to>
                </anchor>
              </controlPr>
            </control>
          </mc:Choice>
        </mc:AlternateContent>
        <mc:AlternateContent xmlns:mc="http://schemas.openxmlformats.org/markup-compatibility/2006">
          <mc:Choice Requires="x14">
            <control shapeId="55346" r:id="rId24" name="Check Box 50">
              <controlPr defaultSize="0" autoFill="0" autoLine="0" autoPict="0">
                <anchor moveWithCells="1">
                  <from>
                    <xdr:col>3</xdr:col>
                    <xdr:colOff>933450</xdr:colOff>
                    <xdr:row>110</xdr:row>
                    <xdr:rowOff>9525</xdr:rowOff>
                  </from>
                  <to>
                    <xdr:col>4</xdr:col>
                    <xdr:colOff>133350</xdr:colOff>
                    <xdr:row>110</xdr:row>
                    <xdr:rowOff>209550</xdr:rowOff>
                  </to>
                </anchor>
              </controlPr>
            </control>
          </mc:Choice>
        </mc:AlternateContent>
        <mc:AlternateContent xmlns:mc="http://schemas.openxmlformats.org/markup-compatibility/2006">
          <mc:Choice Requires="x14">
            <control shapeId="55347" r:id="rId25" name="Check Box 51">
              <controlPr defaultSize="0" autoFill="0" autoLine="0" autoPict="0">
                <anchor moveWithCells="1">
                  <from>
                    <xdr:col>3</xdr:col>
                    <xdr:colOff>904875</xdr:colOff>
                    <xdr:row>92</xdr:row>
                    <xdr:rowOff>28575</xdr:rowOff>
                  </from>
                  <to>
                    <xdr:col>4</xdr:col>
                    <xdr:colOff>104775</xdr:colOff>
                    <xdr:row>93</xdr:row>
                    <xdr:rowOff>0</xdr:rowOff>
                  </to>
                </anchor>
              </controlPr>
            </control>
          </mc:Choice>
        </mc:AlternateContent>
        <mc:AlternateContent xmlns:mc="http://schemas.openxmlformats.org/markup-compatibility/2006">
          <mc:Choice Requires="x14">
            <control shapeId="55348" r:id="rId26" name="Check Box 52">
              <controlPr defaultSize="0" autoFill="0" autoLine="0" autoPict="0">
                <anchor moveWithCells="1">
                  <from>
                    <xdr:col>3</xdr:col>
                    <xdr:colOff>1000125</xdr:colOff>
                    <xdr:row>73</xdr:row>
                    <xdr:rowOff>9525</xdr:rowOff>
                  </from>
                  <to>
                    <xdr:col>4</xdr:col>
                    <xdr:colOff>200025</xdr:colOff>
                    <xdr:row>73</xdr:row>
                    <xdr:rowOff>247650</xdr:rowOff>
                  </to>
                </anchor>
              </controlPr>
            </control>
          </mc:Choice>
        </mc:AlternateContent>
        <mc:AlternateContent xmlns:mc="http://schemas.openxmlformats.org/markup-compatibility/2006">
          <mc:Choice Requires="x14">
            <control shapeId="55416" r:id="rId27" name="Check Box 120">
              <controlPr defaultSize="0" autoFill="0" autoLine="0" autoPict="0">
                <anchor moveWithCells="1">
                  <from>
                    <xdr:col>1</xdr:col>
                    <xdr:colOff>1066800</xdr:colOff>
                    <xdr:row>72</xdr:row>
                    <xdr:rowOff>0</xdr:rowOff>
                  </from>
                  <to>
                    <xdr:col>1</xdr:col>
                    <xdr:colOff>1371600</xdr:colOff>
                    <xdr:row>73</xdr:row>
                    <xdr:rowOff>0</xdr:rowOff>
                  </to>
                </anchor>
              </controlPr>
            </control>
          </mc:Choice>
        </mc:AlternateContent>
        <mc:AlternateContent xmlns:mc="http://schemas.openxmlformats.org/markup-compatibility/2006">
          <mc:Choice Requires="x14">
            <control shapeId="55417" r:id="rId28" name="Drop Down 121">
              <controlPr defaultSize="0" autoLine="0" autoPict="0">
                <anchor moveWithCells="1">
                  <from>
                    <xdr:col>6</xdr:col>
                    <xdr:colOff>171450</xdr:colOff>
                    <xdr:row>70</xdr:row>
                    <xdr:rowOff>76200</xdr:rowOff>
                  </from>
                  <to>
                    <xdr:col>7</xdr:col>
                    <xdr:colOff>314325</xdr:colOff>
                    <xdr:row>70</xdr:row>
                    <xdr:rowOff>295275</xdr:rowOff>
                  </to>
                </anchor>
              </controlPr>
            </control>
          </mc:Choice>
        </mc:AlternateContent>
        <mc:AlternateContent xmlns:mc="http://schemas.openxmlformats.org/markup-compatibility/2006">
          <mc:Choice Requires="x14">
            <control shapeId="55419" r:id="rId29" name="Drop Down 123">
              <controlPr defaultSize="0" autoLine="0" autoPict="0">
                <anchor moveWithCells="1">
                  <from>
                    <xdr:col>6</xdr:col>
                    <xdr:colOff>209550</xdr:colOff>
                    <xdr:row>89</xdr:row>
                    <xdr:rowOff>104775</xdr:rowOff>
                  </from>
                  <to>
                    <xdr:col>7</xdr:col>
                    <xdr:colOff>342900</xdr:colOff>
                    <xdr:row>89</xdr:row>
                    <xdr:rowOff>314325</xdr:rowOff>
                  </to>
                </anchor>
              </controlPr>
            </control>
          </mc:Choice>
        </mc:AlternateContent>
        <mc:AlternateContent xmlns:mc="http://schemas.openxmlformats.org/markup-compatibility/2006">
          <mc:Choice Requires="x14">
            <control shapeId="55420" r:id="rId30" name="Drop Down 124">
              <controlPr defaultSize="0" autoLine="0" autoPict="0">
                <anchor moveWithCells="1">
                  <from>
                    <xdr:col>6</xdr:col>
                    <xdr:colOff>171450</xdr:colOff>
                    <xdr:row>106</xdr:row>
                    <xdr:rowOff>19050</xdr:rowOff>
                  </from>
                  <to>
                    <xdr:col>7</xdr:col>
                    <xdr:colOff>314325</xdr:colOff>
                    <xdr:row>106</xdr:row>
                    <xdr:rowOff>371475</xdr:rowOff>
                  </to>
                </anchor>
              </controlPr>
            </control>
          </mc:Choice>
        </mc:AlternateContent>
        <mc:AlternateContent xmlns:mc="http://schemas.openxmlformats.org/markup-compatibility/2006">
          <mc:Choice Requires="x14">
            <control shapeId="55421" r:id="rId31" name="Button 125">
              <controlPr defaultSize="0" print="0" autoFill="0" autoPict="0">
                <anchor moveWithCells="1" sizeWithCells="1">
                  <from>
                    <xdr:col>3</xdr:col>
                    <xdr:colOff>581025</xdr:colOff>
                    <xdr:row>166</xdr:row>
                    <xdr:rowOff>152400</xdr:rowOff>
                  </from>
                  <to>
                    <xdr:col>8</xdr:col>
                    <xdr:colOff>247650</xdr:colOff>
                    <xdr:row>167</xdr:row>
                    <xdr:rowOff>209550</xdr:rowOff>
                  </to>
                </anchor>
              </controlPr>
            </control>
          </mc:Choice>
        </mc:AlternateContent>
        <mc:AlternateContent xmlns:mc="http://schemas.openxmlformats.org/markup-compatibility/2006">
          <mc:Choice Requires="x14">
            <control shapeId="55422" r:id="rId32" name="Drop Down 126">
              <controlPr defaultSize="0" autoLine="0" autoPict="0">
                <anchor moveWithCells="1">
                  <from>
                    <xdr:col>6</xdr:col>
                    <xdr:colOff>247650</xdr:colOff>
                    <xdr:row>61</xdr:row>
                    <xdr:rowOff>266700</xdr:rowOff>
                  </from>
                  <to>
                    <xdr:col>7</xdr:col>
                    <xdr:colOff>381000</xdr:colOff>
                    <xdr:row>61</xdr:row>
                    <xdr:rowOff>533400</xdr:rowOff>
                  </to>
                </anchor>
              </controlPr>
            </control>
          </mc:Choice>
        </mc:AlternateContent>
        <mc:AlternateContent xmlns:mc="http://schemas.openxmlformats.org/markup-compatibility/2006">
          <mc:Choice Requires="x14">
            <control shapeId="55423" r:id="rId33" name="Check Box 127">
              <controlPr defaultSize="0" autoFill="0" autoLine="0" autoPict="0">
                <anchor moveWithCells="1">
                  <from>
                    <xdr:col>1</xdr:col>
                    <xdr:colOff>1057275</xdr:colOff>
                    <xdr:row>90</xdr:row>
                    <xdr:rowOff>238125</xdr:rowOff>
                  </from>
                  <to>
                    <xdr:col>1</xdr:col>
                    <xdr:colOff>1362075</xdr:colOff>
                    <xdr:row>92</xdr:row>
                    <xdr:rowOff>0</xdr:rowOff>
                  </to>
                </anchor>
              </controlPr>
            </control>
          </mc:Choice>
        </mc:AlternateContent>
        <mc:AlternateContent xmlns:mc="http://schemas.openxmlformats.org/markup-compatibility/2006">
          <mc:Choice Requires="x14">
            <control shapeId="55424" r:id="rId34" name="Check Box 128">
              <controlPr defaultSize="0" autoFill="0" autoLine="0" autoPict="0">
                <anchor moveWithCells="1">
                  <from>
                    <xdr:col>1</xdr:col>
                    <xdr:colOff>1057275</xdr:colOff>
                    <xdr:row>92</xdr:row>
                    <xdr:rowOff>28575</xdr:rowOff>
                  </from>
                  <to>
                    <xdr:col>1</xdr:col>
                    <xdr:colOff>1362075</xdr:colOff>
                    <xdr:row>93</xdr:row>
                    <xdr:rowOff>0</xdr:rowOff>
                  </to>
                </anchor>
              </controlPr>
            </control>
          </mc:Choice>
        </mc:AlternateContent>
        <mc:AlternateContent xmlns:mc="http://schemas.openxmlformats.org/markup-compatibility/2006">
          <mc:Choice Requires="x14">
            <control shapeId="55425" r:id="rId35" name="Check Box 129">
              <controlPr defaultSize="0" autoFill="0" autoLine="0" autoPict="0">
                <anchor moveWithCells="1">
                  <from>
                    <xdr:col>1</xdr:col>
                    <xdr:colOff>1057275</xdr:colOff>
                    <xdr:row>93</xdr:row>
                    <xdr:rowOff>28575</xdr:rowOff>
                  </from>
                  <to>
                    <xdr:col>1</xdr:col>
                    <xdr:colOff>1362075</xdr:colOff>
                    <xdr:row>93</xdr:row>
                    <xdr:rowOff>238125</xdr:rowOff>
                  </to>
                </anchor>
              </controlPr>
            </control>
          </mc:Choice>
        </mc:AlternateContent>
        <mc:AlternateContent xmlns:mc="http://schemas.openxmlformats.org/markup-compatibility/2006">
          <mc:Choice Requires="x14">
            <control shapeId="55426" r:id="rId36" name="Check Box 130">
              <controlPr defaultSize="0" autoFill="0" autoLine="0" autoPict="0">
                <anchor moveWithCells="1">
                  <from>
                    <xdr:col>3</xdr:col>
                    <xdr:colOff>904875</xdr:colOff>
                    <xdr:row>90</xdr:row>
                    <xdr:rowOff>238125</xdr:rowOff>
                  </from>
                  <to>
                    <xdr:col>4</xdr:col>
                    <xdr:colOff>104775</xdr:colOff>
                    <xdr:row>92</xdr:row>
                    <xdr:rowOff>0</xdr:rowOff>
                  </to>
                </anchor>
              </controlPr>
            </control>
          </mc:Choice>
        </mc:AlternateContent>
        <mc:AlternateContent xmlns:mc="http://schemas.openxmlformats.org/markup-compatibility/2006">
          <mc:Choice Requires="x14">
            <control shapeId="55427" r:id="rId37" name="Check Box 131">
              <controlPr defaultSize="0" autoFill="0" autoLine="0" autoPict="0">
                <anchor moveWithCells="1">
                  <from>
                    <xdr:col>3</xdr:col>
                    <xdr:colOff>904875</xdr:colOff>
                    <xdr:row>93</xdr:row>
                    <xdr:rowOff>28575</xdr:rowOff>
                  </from>
                  <to>
                    <xdr:col>4</xdr:col>
                    <xdr:colOff>104775</xdr:colOff>
                    <xdr:row>93</xdr:row>
                    <xdr:rowOff>228600</xdr:rowOff>
                  </to>
                </anchor>
              </controlPr>
            </control>
          </mc:Choice>
        </mc:AlternateContent>
        <mc:AlternateContent xmlns:mc="http://schemas.openxmlformats.org/markup-compatibility/2006">
          <mc:Choice Requires="x14">
            <control shapeId="55428" r:id="rId38" name="Check Box 132">
              <controlPr defaultSize="0" autoFill="0" autoLine="0" autoPict="0">
                <anchor moveWithCells="1">
                  <from>
                    <xdr:col>1</xdr:col>
                    <xdr:colOff>1066800</xdr:colOff>
                    <xdr:row>73</xdr:row>
                    <xdr:rowOff>9525</xdr:rowOff>
                  </from>
                  <to>
                    <xdr:col>1</xdr:col>
                    <xdr:colOff>1371600</xdr:colOff>
                    <xdr:row>73</xdr:row>
                    <xdr:rowOff>247650</xdr:rowOff>
                  </to>
                </anchor>
              </controlPr>
            </control>
          </mc:Choice>
        </mc:AlternateContent>
        <mc:AlternateContent xmlns:mc="http://schemas.openxmlformats.org/markup-compatibility/2006">
          <mc:Choice Requires="x14">
            <control shapeId="55429" r:id="rId39" name="Check Box 133">
              <controlPr defaultSize="0" autoFill="0" autoLine="0" autoPict="0">
                <anchor moveWithCells="1">
                  <from>
                    <xdr:col>1</xdr:col>
                    <xdr:colOff>1066800</xdr:colOff>
                    <xdr:row>74</xdr:row>
                    <xdr:rowOff>28575</xdr:rowOff>
                  </from>
                  <to>
                    <xdr:col>1</xdr:col>
                    <xdr:colOff>1371600</xdr:colOff>
                    <xdr:row>74</xdr:row>
                    <xdr:rowOff>238125</xdr:rowOff>
                  </to>
                </anchor>
              </controlPr>
            </control>
          </mc:Choice>
        </mc:AlternateContent>
        <mc:AlternateContent xmlns:mc="http://schemas.openxmlformats.org/markup-compatibility/2006">
          <mc:Choice Requires="x14">
            <control shapeId="55430" r:id="rId40" name="Check Box 134">
              <controlPr defaultSize="0" autoFill="0" autoLine="0" autoPict="0">
                <anchor moveWithCells="1">
                  <from>
                    <xdr:col>3</xdr:col>
                    <xdr:colOff>1000125</xdr:colOff>
                    <xdr:row>72</xdr:row>
                    <xdr:rowOff>0</xdr:rowOff>
                  </from>
                  <to>
                    <xdr:col>4</xdr:col>
                    <xdr:colOff>200025</xdr:colOff>
                    <xdr:row>73</xdr:row>
                    <xdr:rowOff>0</xdr:rowOff>
                  </to>
                </anchor>
              </controlPr>
            </control>
          </mc:Choice>
        </mc:AlternateContent>
        <mc:AlternateContent xmlns:mc="http://schemas.openxmlformats.org/markup-compatibility/2006">
          <mc:Choice Requires="x14">
            <control shapeId="55431" r:id="rId41" name="Check Box 135">
              <controlPr defaultSize="0" autoFill="0" autoLine="0" autoPict="0">
                <anchor moveWithCells="1">
                  <from>
                    <xdr:col>1</xdr:col>
                    <xdr:colOff>1028700</xdr:colOff>
                    <xdr:row>108</xdr:row>
                    <xdr:rowOff>9525</xdr:rowOff>
                  </from>
                  <to>
                    <xdr:col>1</xdr:col>
                    <xdr:colOff>1343025</xdr:colOff>
                    <xdr:row>109</xdr:row>
                    <xdr:rowOff>0</xdr:rowOff>
                  </to>
                </anchor>
              </controlPr>
            </control>
          </mc:Choice>
        </mc:AlternateContent>
        <mc:AlternateContent xmlns:mc="http://schemas.openxmlformats.org/markup-compatibility/2006">
          <mc:Choice Requires="x14">
            <control shapeId="55432" r:id="rId42" name="Check Box 136">
              <controlPr defaultSize="0" autoFill="0" autoLine="0" autoPict="0">
                <anchor moveWithCells="1">
                  <from>
                    <xdr:col>1</xdr:col>
                    <xdr:colOff>1028700</xdr:colOff>
                    <xdr:row>108</xdr:row>
                    <xdr:rowOff>190500</xdr:rowOff>
                  </from>
                  <to>
                    <xdr:col>1</xdr:col>
                    <xdr:colOff>1343025</xdr:colOff>
                    <xdr:row>110</xdr:row>
                    <xdr:rowOff>0</xdr:rowOff>
                  </to>
                </anchor>
              </controlPr>
            </control>
          </mc:Choice>
        </mc:AlternateContent>
        <mc:AlternateContent xmlns:mc="http://schemas.openxmlformats.org/markup-compatibility/2006">
          <mc:Choice Requires="x14">
            <control shapeId="55433" r:id="rId43" name="Check Box 137">
              <controlPr defaultSize="0" autoFill="0" autoLine="0" autoPict="0">
                <anchor moveWithCells="1">
                  <from>
                    <xdr:col>1</xdr:col>
                    <xdr:colOff>1028700</xdr:colOff>
                    <xdr:row>109</xdr:row>
                    <xdr:rowOff>209550</xdr:rowOff>
                  </from>
                  <to>
                    <xdr:col>1</xdr:col>
                    <xdr:colOff>1343025</xdr:colOff>
                    <xdr:row>110</xdr:row>
                    <xdr:rowOff>190500</xdr:rowOff>
                  </to>
                </anchor>
              </controlPr>
            </control>
          </mc:Choice>
        </mc:AlternateContent>
        <mc:AlternateContent xmlns:mc="http://schemas.openxmlformats.org/markup-compatibility/2006">
          <mc:Choice Requires="x14">
            <control shapeId="55434" r:id="rId44" name="Check Box 138">
              <controlPr defaultSize="0" autoFill="0" autoLine="0" autoPict="0">
                <anchor moveWithCells="1">
                  <from>
                    <xdr:col>3</xdr:col>
                    <xdr:colOff>933450</xdr:colOff>
                    <xdr:row>107</xdr:row>
                    <xdr:rowOff>247650</xdr:rowOff>
                  </from>
                  <to>
                    <xdr:col>4</xdr:col>
                    <xdr:colOff>133350</xdr:colOff>
                    <xdr:row>108</xdr:row>
                    <xdr:rowOff>209550</xdr:rowOff>
                  </to>
                </anchor>
              </controlPr>
            </control>
          </mc:Choice>
        </mc:AlternateContent>
        <mc:AlternateContent xmlns:mc="http://schemas.openxmlformats.org/markup-compatibility/2006">
          <mc:Choice Requires="x14">
            <control shapeId="55435" r:id="rId45" name="Check Box 139">
              <controlPr defaultSize="0" autoFill="0" autoLine="0" autoPict="0">
                <anchor moveWithCells="1">
                  <from>
                    <xdr:col>3</xdr:col>
                    <xdr:colOff>942975</xdr:colOff>
                    <xdr:row>108</xdr:row>
                    <xdr:rowOff>209550</xdr:rowOff>
                  </from>
                  <to>
                    <xdr:col>4</xdr:col>
                    <xdr:colOff>142875</xdr:colOff>
                    <xdr:row>110</xdr:row>
                    <xdr:rowOff>19050</xdr:rowOff>
                  </to>
                </anchor>
              </controlPr>
            </control>
          </mc:Choice>
        </mc:AlternateContent>
        <mc:AlternateContent xmlns:mc="http://schemas.openxmlformats.org/markup-compatibility/2006">
          <mc:Choice Requires="x14">
            <control shapeId="55436" r:id="rId46" name="Check Box 140">
              <controlPr defaultSize="0" autoFill="0" autoLine="0" autoPict="0">
                <anchor moveWithCells="1">
                  <from>
                    <xdr:col>3</xdr:col>
                    <xdr:colOff>1000125</xdr:colOff>
                    <xdr:row>74</xdr:row>
                    <xdr:rowOff>28575</xdr:rowOff>
                  </from>
                  <to>
                    <xdr:col>4</xdr:col>
                    <xdr:colOff>200025</xdr:colOff>
                    <xdr:row>74</xdr:row>
                    <xdr:rowOff>228600</xdr:rowOff>
                  </to>
                </anchor>
              </controlPr>
            </control>
          </mc:Choice>
        </mc:AlternateContent>
        <mc:AlternateContent xmlns:mc="http://schemas.openxmlformats.org/markup-compatibility/2006">
          <mc:Choice Requires="x14">
            <control shapeId="55437" r:id="rId47" name="Check Box 141">
              <controlPr defaultSize="0" autoFill="0" autoLine="0" autoPict="0">
                <anchor moveWithCells="1">
                  <from>
                    <xdr:col>3</xdr:col>
                    <xdr:colOff>933450</xdr:colOff>
                    <xdr:row>110</xdr:row>
                    <xdr:rowOff>9525</xdr:rowOff>
                  </from>
                  <to>
                    <xdr:col>4</xdr:col>
                    <xdr:colOff>133350</xdr:colOff>
                    <xdr:row>110</xdr:row>
                    <xdr:rowOff>209550</xdr:rowOff>
                  </to>
                </anchor>
              </controlPr>
            </control>
          </mc:Choice>
        </mc:AlternateContent>
        <mc:AlternateContent xmlns:mc="http://schemas.openxmlformats.org/markup-compatibility/2006">
          <mc:Choice Requires="x14">
            <control shapeId="55438" r:id="rId48" name="Check Box 142">
              <controlPr defaultSize="0" autoFill="0" autoLine="0" autoPict="0">
                <anchor moveWithCells="1">
                  <from>
                    <xdr:col>3</xdr:col>
                    <xdr:colOff>904875</xdr:colOff>
                    <xdr:row>92</xdr:row>
                    <xdr:rowOff>28575</xdr:rowOff>
                  </from>
                  <to>
                    <xdr:col>4</xdr:col>
                    <xdr:colOff>104775</xdr:colOff>
                    <xdr:row>93</xdr:row>
                    <xdr:rowOff>0</xdr:rowOff>
                  </to>
                </anchor>
              </controlPr>
            </control>
          </mc:Choice>
        </mc:AlternateContent>
        <mc:AlternateContent xmlns:mc="http://schemas.openxmlformats.org/markup-compatibility/2006">
          <mc:Choice Requires="x14">
            <control shapeId="55439" r:id="rId49" name="Check Box 143">
              <controlPr defaultSize="0" autoFill="0" autoLine="0" autoPict="0">
                <anchor moveWithCells="1">
                  <from>
                    <xdr:col>3</xdr:col>
                    <xdr:colOff>1000125</xdr:colOff>
                    <xdr:row>73</xdr:row>
                    <xdr:rowOff>9525</xdr:rowOff>
                  </from>
                  <to>
                    <xdr:col>4</xdr:col>
                    <xdr:colOff>200025</xdr:colOff>
                    <xdr:row>73</xdr:row>
                    <xdr:rowOff>247650</xdr:rowOff>
                  </to>
                </anchor>
              </controlPr>
            </control>
          </mc:Choice>
        </mc:AlternateContent>
        <mc:AlternateContent xmlns:mc="http://schemas.openxmlformats.org/markup-compatibility/2006">
          <mc:Choice Requires="x14">
            <control shapeId="55440" r:id="rId50" name="Drop Down 144">
              <controlPr locked="0" defaultSize="0" autoLine="0" autoPict="0">
                <anchor moveWithCells="1">
                  <from>
                    <xdr:col>3</xdr:col>
                    <xdr:colOff>0</xdr:colOff>
                    <xdr:row>34</xdr:row>
                    <xdr:rowOff>9525</xdr:rowOff>
                  </from>
                  <to>
                    <xdr:col>3</xdr:col>
                    <xdr:colOff>1066800</xdr:colOff>
                    <xdr:row>35</xdr:row>
                    <xdr:rowOff>9525</xdr:rowOff>
                  </to>
                </anchor>
              </controlPr>
            </control>
          </mc:Choice>
        </mc:AlternateContent>
        <mc:AlternateContent xmlns:mc="http://schemas.openxmlformats.org/markup-compatibility/2006">
          <mc:Choice Requires="x14">
            <control shapeId="55441" r:id="rId51" name="Drop Down 145">
              <controlPr locked="0" defaultSize="0" autoLine="0" autoPict="0">
                <anchor moveWithCells="1">
                  <from>
                    <xdr:col>3</xdr:col>
                    <xdr:colOff>0</xdr:colOff>
                    <xdr:row>35</xdr:row>
                    <xdr:rowOff>0</xdr:rowOff>
                  </from>
                  <to>
                    <xdr:col>3</xdr:col>
                    <xdr:colOff>1066800</xdr:colOff>
                    <xdr:row>36</xdr:row>
                    <xdr:rowOff>0</xdr:rowOff>
                  </to>
                </anchor>
              </controlPr>
            </control>
          </mc:Choice>
        </mc:AlternateContent>
        <mc:AlternateContent xmlns:mc="http://schemas.openxmlformats.org/markup-compatibility/2006">
          <mc:Choice Requires="x14">
            <control shapeId="55442" r:id="rId52" name="Drop Down 146">
              <controlPr locked="0" defaultSize="0" autoLine="0" autoPict="0">
                <anchor moveWithCells="1">
                  <from>
                    <xdr:col>3</xdr:col>
                    <xdr:colOff>0</xdr:colOff>
                    <xdr:row>36</xdr:row>
                    <xdr:rowOff>0</xdr:rowOff>
                  </from>
                  <to>
                    <xdr:col>3</xdr:col>
                    <xdr:colOff>1066800</xdr:colOff>
                    <xdr:row>37</xdr:row>
                    <xdr:rowOff>0</xdr:rowOff>
                  </to>
                </anchor>
              </controlPr>
            </control>
          </mc:Choice>
        </mc:AlternateContent>
        <mc:AlternateContent xmlns:mc="http://schemas.openxmlformats.org/markup-compatibility/2006">
          <mc:Choice Requires="x14">
            <control shapeId="55443" r:id="rId53" name="Drop Down 147">
              <controlPr locked="0" defaultSize="0" autoLine="0" autoPict="0">
                <anchor moveWithCells="1">
                  <from>
                    <xdr:col>3</xdr:col>
                    <xdr:colOff>0</xdr:colOff>
                    <xdr:row>37</xdr:row>
                    <xdr:rowOff>0</xdr:rowOff>
                  </from>
                  <to>
                    <xdr:col>3</xdr:col>
                    <xdr:colOff>1066800</xdr:colOff>
                    <xdr:row>38</xdr:row>
                    <xdr:rowOff>0</xdr:rowOff>
                  </to>
                </anchor>
              </controlPr>
            </control>
          </mc:Choice>
        </mc:AlternateContent>
        <mc:AlternateContent xmlns:mc="http://schemas.openxmlformats.org/markup-compatibility/2006">
          <mc:Choice Requires="x14">
            <control shapeId="55475" r:id="rId54" name="Check Box 179">
              <controlPr defaultSize="0" autoFill="0" autoLine="0" autoPict="0">
                <anchor moveWithCells="1">
                  <from>
                    <xdr:col>1</xdr:col>
                    <xdr:colOff>1066800</xdr:colOff>
                    <xdr:row>72</xdr:row>
                    <xdr:rowOff>0</xdr:rowOff>
                  </from>
                  <to>
                    <xdr:col>1</xdr:col>
                    <xdr:colOff>1371600</xdr:colOff>
                    <xdr:row>73</xdr:row>
                    <xdr:rowOff>0</xdr:rowOff>
                  </to>
                </anchor>
              </controlPr>
            </control>
          </mc:Choice>
        </mc:AlternateContent>
        <mc:AlternateContent xmlns:mc="http://schemas.openxmlformats.org/markup-compatibility/2006">
          <mc:Choice Requires="x14">
            <control shapeId="55476" r:id="rId55" name="Drop Down 180">
              <controlPr defaultSize="0" autoLine="0" autoPict="0">
                <anchor moveWithCells="1">
                  <from>
                    <xdr:col>6</xdr:col>
                    <xdr:colOff>171450</xdr:colOff>
                    <xdr:row>70</xdr:row>
                    <xdr:rowOff>76200</xdr:rowOff>
                  </from>
                  <to>
                    <xdr:col>7</xdr:col>
                    <xdr:colOff>314325</xdr:colOff>
                    <xdr:row>70</xdr:row>
                    <xdr:rowOff>295275</xdr:rowOff>
                  </to>
                </anchor>
              </controlPr>
            </control>
          </mc:Choice>
        </mc:AlternateContent>
        <mc:AlternateContent xmlns:mc="http://schemas.openxmlformats.org/markup-compatibility/2006">
          <mc:Choice Requires="x14">
            <control shapeId="55477" r:id="rId56" name="Drop Down 181">
              <controlPr defaultSize="0" autoLine="0" autoPict="0">
                <anchor moveWithCells="1">
                  <from>
                    <xdr:col>3</xdr:col>
                    <xdr:colOff>28575</xdr:colOff>
                    <xdr:row>77</xdr:row>
                    <xdr:rowOff>9525</xdr:rowOff>
                  </from>
                  <to>
                    <xdr:col>5</xdr:col>
                    <xdr:colOff>590550</xdr:colOff>
                    <xdr:row>77</xdr:row>
                    <xdr:rowOff>238125</xdr:rowOff>
                  </to>
                </anchor>
              </controlPr>
            </control>
          </mc:Choice>
        </mc:AlternateContent>
        <mc:AlternateContent xmlns:mc="http://schemas.openxmlformats.org/markup-compatibility/2006">
          <mc:Choice Requires="x14">
            <control shapeId="55478" r:id="rId57" name="Drop Down 182">
              <controlPr defaultSize="0" autoLine="0" autoPict="0">
                <anchor moveWithCells="1">
                  <from>
                    <xdr:col>6</xdr:col>
                    <xdr:colOff>209550</xdr:colOff>
                    <xdr:row>89</xdr:row>
                    <xdr:rowOff>104775</xdr:rowOff>
                  </from>
                  <to>
                    <xdr:col>7</xdr:col>
                    <xdr:colOff>342900</xdr:colOff>
                    <xdr:row>89</xdr:row>
                    <xdr:rowOff>314325</xdr:rowOff>
                  </to>
                </anchor>
              </controlPr>
            </control>
          </mc:Choice>
        </mc:AlternateContent>
        <mc:AlternateContent xmlns:mc="http://schemas.openxmlformats.org/markup-compatibility/2006">
          <mc:Choice Requires="x14">
            <control shapeId="55479" r:id="rId58" name="Drop Down 183">
              <controlPr defaultSize="0" autoLine="0" autoPict="0">
                <anchor moveWithCells="1">
                  <from>
                    <xdr:col>6</xdr:col>
                    <xdr:colOff>171450</xdr:colOff>
                    <xdr:row>106</xdr:row>
                    <xdr:rowOff>19050</xdr:rowOff>
                  </from>
                  <to>
                    <xdr:col>7</xdr:col>
                    <xdr:colOff>314325</xdr:colOff>
                    <xdr:row>106</xdr:row>
                    <xdr:rowOff>371475</xdr:rowOff>
                  </to>
                </anchor>
              </controlPr>
            </control>
          </mc:Choice>
        </mc:AlternateContent>
        <mc:AlternateContent xmlns:mc="http://schemas.openxmlformats.org/markup-compatibility/2006">
          <mc:Choice Requires="x14">
            <control shapeId="55480" r:id="rId59" name="Button 184">
              <controlPr defaultSize="0" print="0" autoFill="0" autoPict="0" macro="[0]!GoToWater">
                <anchor moveWithCells="1" sizeWithCells="1">
                  <from>
                    <xdr:col>3</xdr:col>
                    <xdr:colOff>581025</xdr:colOff>
                    <xdr:row>166</xdr:row>
                    <xdr:rowOff>152400</xdr:rowOff>
                  </from>
                  <to>
                    <xdr:col>8</xdr:col>
                    <xdr:colOff>247650</xdr:colOff>
                    <xdr:row>167</xdr:row>
                    <xdr:rowOff>209550</xdr:rowOff>
                  </to>
                </anchor>
              </controlPr>
            </control>
          </mc:Choice>
        </mc:AlternateContent>
        <mc:AlternateContent xmlns:mc="http://schemas.openxmlformats.org/markup-compatibility/2006">
          <mc:Choice Requires="x14">
            <control shapeId="55481" r:id="rId60" name="Drop Down 185">
              <controlPr defaultSize="0" autoLine="0" autoPict="0">
                <anchor moveWithCells="1">
                  <from>
                    <xdr:col>6</xdr:col>
                    <xdr:colOff>247650</xdr:colOff>
                    <xdr:row>61</xdr:row>
                    <xdr:rowOff>266700</xdr:rowOff>
                  </from>
                  <to>
                    <xdr:col>7</xdr:col>
                    <xdr:colOff>381000</xdr:colOff>
                    <xdr:row>61</xdr:row>
                    <xdr:rowOff>533400</xdr:rowOff>
                  </to>
                </anchor>
              </controlPr>
            </control>
          </mc:Choice>
        </mc:AlternateContent>
        <mc:AlternateContent xmlns:mc="http://schemas.openxmlformats.org/markup-compatibility/2006">
          <mc:Choice Requires="x14">
            <control shapeId="55482" r:id="rId61" name="Check Box 186">
              <controlPr defaultSize="0" autoFill="0" autoLine="0" autoPict="0">
                <anchor moveWithCells="1">
                  <from>
                    <xdr:col>1</xdr:col>
                    <xdr:colOff>1057275</xdr:colOff>
                    <xdr:row>90</xdr:row>
                    <xdr:rowOff>238125</xdr:rowOff>
                  </from>
                  <to>
                    <xdr:col>1</xdr:col>
                    <xdr:colOff>1362075</xdr:colOff>
                    <xdr:row>92</xdr:row>
                    <xdr:rowOff>0</xdr:rowOff>
                  </to>
                </anchor>
              </controlPr>
            </control>
          </mc:Choice>
        </mc:AlternateContent>
        <mc:AlternateContent xmlns:mc="http://schemas.openxmlformats.org/markup-compatibility/2006">
          <mc:Choice Requires="x14">
            <control shapeId="55483" r:id="rId62" name="Check Box 187">
              <controlPr defaultSize="0" autoFill="0" autoLine="0" autoPict="0">
                <anchor moveWithCells="1">
                  <from>
                    <xdr:col>1</xdr:col>
                    <xdr:colOff>1057275</xdr:colOff>
                    <xdr:row>92</xdr:row>
                    <xdr:rowOff>28575</xdr:rowOff>
                  </from>
                  <to>
                    <xdr:col>1</xdr:col>
                    <xdr:colOff>1362075</xdr:colOff>
                    <xdr:row>93</xdr:row>
                    <xdr:rowOff>0</xdr:rowOff>
                  </to>
                </anchor>
              </controlPr>
            </control>
          </mc:Choice>
        </mc:AlternateContent>
        <mc:AlternateContent xmlns:mc="http://schemas.openxmlformats.org/markup-compatibility/2006">
          <mc:Choice Requires="x14">
            <control shapeId="55484" r:id="rId63" name="Check Box 188">
              <controlPr defaultSize="0" autoFill="0" autoLine="0" autoPict="0">
                <anchor moveWithCells="1">
                  <from>
                    <xdr:col>1</xdr:col>
                    <xdr:colOff>1057275</xdr:colOff>
                    <xdr:row>93</xdr:row>
                    <xdr:rowOff>28575</xdr:rowOff>
                  </from>
                  <to>
                    <xdr:col>1</xdr:col>
                    <xdr:colOff>1362075</xdr:colOff>
                    <xdr:row>93</xdr:row>
                    <xdr:rowOff>238125</xdr:rowOff>
                  </to>
                </anchor>
              </controlPr>
            </control>
          </mc:Choice>
        </mc:AlternateContent>
        <mc:AlternateContent xmlns:mc="http://schemas.openxmlformats.org/markup-compatibility/2006">
          <mc:Choice Requires="x14">
            <control shapeId="55485" r:id="rId64" name="Check Box 189">
              <controlPr defaultSize="0" autoFill="0" autoLine="0" autoPict="0">
                <anchor moveWithCells="1">
                  <from>
                    <xdr:col>3</xdr:col>
                    <xdr:colOff>904875</xdr:colOff>
                    <xdr:row>90</xdr:row>
                    <xdr:rowOff>238125</xdr:rowOff>
                  </from>
                  <to>
                    <xdr:col>4</xdr:col>
                    <xdr:colOff>104775</xdr:colOff>
                    <xdr:row>92</xdr:row>
                    <xdr:rowOff>0</xdr:rowOff>
                  </to>
                </anchor>
              </controlPr>
            </control>
          </mc:Choice>
        </mc:AlternateContent>
        <mc:AlternateContent xmlns:mc="http://schemas.openxmlformats.org/markup-compatibility/2006">
          <mc:Choice Requires="x14">
            <control shapeId="55486" r:id="rId65" name="Check Box 190">
              <controlPr defaultSize="0" autoFill="0" autoLine="0" autoPict="0">
                <anchor moveWithCells="1">
                  <from>
                    <xdr:col>3</xdr:col>
                    <xdr:colOff>904875</xdr:colOff>
                    <xdr:row>93</xdr:row>
                    <xdr:rowOff>28575</xdr:rowOff>
                  </from>
                  <to>
                    <xdr:col>4</xdr:col>
                    <xdr:colOff>104775</xdr:colOff>
                    <xdr:row>93</xdr:row>
                    <xdr:rowOff>228600</xdr:rowOff>
                  </to>
                </anchor>
              </controlPr>
            </control>
          </mc:Choice>
        </mc:AlternateContent>
        <mc:AlternateContent xmlns:mc="http://schemas.openxmlformats.org/markup-compatibility/2006">
          <mc:Choice Requires="x14">
            <control shapeId="55487" r:id="rId66" name="Check Box 191">
              <controlPr defaultSize="0" autoFill="0" autoLine="0" autoPict="0">
                <anchor moveWithCells="1">
                  <from>
                    <xdr:col>1</xdr:col>
                    <xdr:colOff>1066800</xdr:colOff>
                    <xdr:row>73</xdr:row>
                    <xdr:rowOff>9525</xdr:rowOff>
                  </from>
                  <to>
                    <xdr:col>1</xdr:col>
                    <xdr:colOff>1371600</xdr:colOff>
                    <xdr:row>73</xdr:row>
                    <xdr:rowOff>247650</xdr:rowOff>
                  </to>
                </anchor>
              </controlPr>
            </control>
          </mc:Choice>
        </mc:AlternateContent>
        <mc:AlternateContent xmlns:mc="http://schemas.openxmlformats.org/markup-compatibility/2006">
          <mc:Choice Requires="x14">
            <control shapeId="55488" r:id="rId67" name="Check Box 192">
              <controlPr defaultSize="0" autoFill="0" autoLine="0" autoPict="0">
                <anchor moveWithCells="1">
                  <from>
                    <xdr:col>1</xdr:col>
                    <xdr:colOff>1066800</xdr:colOff>
                    <xdr:row>74</xdr:row>
                    <xdr:rowOff>28575</xdr:rowOff>
                  </from>
                  <to>
                    <xdr:col>1</xdr:col>
                    <xdr:colOff>1371600</xdr:colOff>
                    <xdr:row>74</xdr:row>
                    <xdr:rowOff>238125</xdr:rowOff>
                  </to>
                </anchor>
              </controlPr>
            </control>
          </mc:Choice>
        </mc:AlternateContent>
        <mc:AlternateContent xmlns:mc="http://schemas.openxmlformats.org/markup-compatibility/2006">
          <mc:Choice Requires="x14">
            <control shapeId="55489" r:id="rId68" name="Check Box 193">
              <controlPr defaultSize="0" autoFill="0" autoLine="0" autoPict="0">
                <anchor moveWithCells="1">
                  <from>
                    <xdr:col>3</xdr:col>
                    <xdr:colOff>1000125</xdr:colOff>
                    <xdr:row>72</xdr:row>
                    <xdr:rowOff>0</xdr:rowOff>
                  </from>
                  <to>
                    <xdr:col>4</xdr:col>
                    <xdr:colOff>200025</xdr:colOff>
                    <xdr:row>73</xdr:row>
                    <xdr:rowOff>0</xdr:rowOff>
                  </to>
                </anchor>
              </controlPr>
            </control>
          </mc:Choice>
        </mc:AlternateContent>
        <mc:AlternateContent xmlns:mc="http://schemas.openxmlformats.org/markup-compatibility/2006">
          <mc:Choice Requires="x14">
            <control shapeId="55490" r:id="rId69" name="Check Box 194">
              <controlPr defaultSize="0" autoFill="0" autoLine="0" autoPict="0">
                <anchor moveWithCells="1">
                  <from>
                    <xdr:col>1</xdr:col>
                    <xdr:colOff>1028700</xdr:colOff>
                    <xdr:row>108</xdr:row>
                    <xdr:rowOff>9525</xdr:rowOff>
                  </from>
                  <to>
                    <xdr:col>1</xdr:col>
                    <xdr:colOff>1343025</xdr:colOff>
                    <xdr:row>109</xdr:row>
                    <xdr:rowOff>0</xdr:rowOff>
                  </to>
                </anchor>
              </controlPr>
            </control>
          </mc:Choice>
        </mc:AlternateContent>
        <mc:AlternateContent xmlns:mc="http://schemas.openxmlformats.org/markup-compatibility/2006">
          <mc:Choice Requires="x14">
            <control shapeId="55491" r:id="rId70" name="Check Box 195">
              <controlPr defaultSize="0" autoFill="0" autoLine="0" autoPict="0">
                <anchor moveWithCells="1">
                  <from>
                    <xdr:col>1</xdr:col>
                    <xdr:colOff>1028700</xdr:colOff>
                    <xdr:row>108</xdr:row>
                    <xdr:rowOff>190500</xdr:rowOff>
                  </from>
                  <to>
                    <xdr:col>1</xdr:col>
                    <xdr:colOff>1343025</xdr:colOff>
                    <xdr:row>110</xdr:row>
                    <xdr:rowOff>0</xdr:rowOff>
                  </to>
                </anchor>
              </controlPr>
            </control>
          </mc:Choice>
        </mc:AlternateContent>
        <mc:AlternateContent xmlns:mc="http://schemas.openxmlformats.org/markup-compatibility/2006">
          <mc:Choice Requires="x14">
            <control shapeId="55492" r:id="rId71" name="Check Box 196">
              <controlPr defaultSize="0" autoFill="0" autoLine="0" autoPict="0">
                <anchor moveWithCells="1">
                  <from>
                    <xdr:col>1</xdr:col>
                    <xdr:colOff>1028700</xdr:colOff>
                    <xdr:row>109</xdr:row>
                    <xdr:rowOff>209550</xdr:rowOff>
                  </from>
                  <to>
                    <xdr:col>1</xdr:col>
                    <xdr:colOff>1343025</xdr:colOff>
                    <xdr:row>110</xdr:row>
                    <xdr:rowOff>190500</xdr:rowOff>
                  </to>
                </anchor>
              </controlPr>
            </control>
          </mc:Choice>
        </mc:AlternateContent>
        <mc:AlternateContent xmlns:mc="http://schemas.openxmlformats.org/markup-compatibility/2006">
          <mc:Choice Requires="x14">
            <control shapeId="55493" r:id="rId72" name="Check Box 197">
              <controlPr defaultSize="0" autoFill="0" autoLine="0" autoPict="0">
                <anchor moveWithCells="1">
                  <from>
                    <xdr:col>3</xdr:col>
                    <xdr:colOff>933450</xdr:colOff>
                    <xdr:row>107</xdr:row>
                    <xdr:rowOff>247650</xdr:rowOff>
                  </from>
                  <to>
                    <xdr:col>4</xdr:col>
                    <xdr:colOff>133350</xdr:colOff>
                    <xdr:row>108</xdr:row>
                    <xdr:rowOff>209550</xdr:rowOff>
                  </to>
                </anchor>
              </controlPr>
            </control>
          </mc:Choice>
        </mc:AlternateContent>
        <mc:AlternateContent xmlns:mc="http://schemas.openxmlformats.org/markup-compatibility/2006">
          <mc:Choice Requires="x14">
            <control shapeId="55494" r:id="rId73" name="Check Box 198">
              <controlPr defaultSize="0" autoFill="0" autoLine="0" autoPict="0">
                <anchor moveWithCells="1">
                  <from>
                    <xdr:col>3</xdr:col>
                    <xdr:colOff>942975</xdr:colOff>
                    <xdr:row>108</xdr:row>
                    <xdr:rowOff>209550</xdr:rowOff>
                  </from>
                  <to>
                    <xdr:col>4</xdr:col>
                    <xdr:colOff>142875</xdr:colOff>
                    <xdr:row>110</xdr:row>
                    <xdr:rowOff>19050</xdr:rowOff>
                  </to>
                </anchor>
              </controlPr>
            </control>
          </mc:Choice>
        </mc:AlternateContent>
        <mc:AlternateContent xmlns:mc="http://schemas.openxmlformats.org/markup-compatibility/2006">
          <mc:Choice Requires="x14">
            <control shapeId="55495" r:id="rId74" name="Check Box 199">
              <controlPr defaultSize="0" autoFill="0" autoLine="0" autoPict="0">
                <anchor moveWithCells="1">
                  <from>
                    <xdr:col>3</xdr:col>
                    <xdr:colOff>1000125</xdr:colOff>
                    <xdr:row>74</xdr:row>
                    <xdr:rowOff>28575</xdr:rowOff>
                  </from>
                  <to>
                    <xdr:col>4</xdr:col>
                    <xdr:colOff>200025</xdr:colOff>
                    <xdr:row>74</xdr:row>
                    <xdr:rowOff>228600</xdr:rowOff>
                  </to>
                </anchor>
              </controlPr>
            </control>
          </mc:Choice>
        </mc:AlternateContent>
        <mc:AlternateContent xmlns:mc="http://schemas.openxmlformats.org/markup-compatibility/2006">
          <mc:Choice Requires="x14">
            <control shapeId="55496" r:id="rId75" name="Check Box 200">
              <controlPr defaultSize="0" autoFill="0" autoLine="0" autoPict="0">
                <anchor moveWithCells="1">
                  <from>
                    <xdr:col>3</xdr:col>
                    <xdr:colOff>933450</xdr:colOff>
                    <xdr:row>110</xdr:row>
                    <xdr:rowOff>9525</xdr:rowOff>
                  </from>
                  <to>
                    <xdr:col>4</xdr:col>
                    <xdr:colOff>133350</xdr:colOff>
                    <xdr:row>110</xdr:row>
                    <xdr:rowOff>209550</xdr:rowOff>
                  </to>
                </anchor>
              </controlPr>
            </control>
          </mc:Choice>
        </mc:AlternateContent>
        <mc:AlternateContent xmlns:mc="http://schemas.openxmlformats.org/markup-compatibility/2006">
          <mc:Choice Requires="x14">
            <control shapeId="55497" r:id="rId76" name="Check Box 201">
              <controlPr defaultSize="0" autoFill="0" autoLine="0" autoPict="0">
                <anchor moveWithCells="1">
                  <from>
                    <xdr:col>3</xdr:col>
                    <xdr:colOff>904875</xdr:colOff>
                    <xdr:row>92</xdr:row>
                    <xdr:rowOff>28575</xdr:rowOff>
                  </from>
                  <to>
                    <xdr:col>4</xdr:col>
                    <xdr:colOff>104775</xdr:colOff>
                    <xdr:row>93</xdr:row>
                    <xdr:rowOff>0</xdr:rowOff>
                  </to>
                </anchor>
              </controlPr>
            </control>
          </mc:Choice>
        </mc:AlternateContent>
        <mc:AlternateContent xmlns:mc="http://schemas.openxmlformats.org/markup-compatibility/2006">
          <mc:Choice Requires="x14">
            <control shapeId="55498" r:id="rId77" name="Check Box 202">
              <controlPr defaultSize="0" autoFill="0" autoLine="0" autoPict="0">
                <anchor moveWithCells="1">
                  <from>
                    <xdr:col>3</xdr:col>
                    <xdr:colOff>1000125</xdr:colOff>
                    <xdr:row>73</xdr:row>
                    <xdr:rowOff>9525</xdr:rowOff>
                  </from>
                  <to>
                    <xdr:col>4</xdr:col>
                    <xdr:colOff>200025</xdr:colOff>
                    <xdr:row>73</xdr:row>
                    <xdr:rowOff>247650</xdr:rowOff>
                  </to>
                </anchor>
              </controlPr>
            </control>
          </mc:Choice>
        </mc:AlternateContent>
        <mc:AlternateContent xmlns:mc="http://schemas.openxmlformats.org/markup-compatibility/2006">
          <mc:Choice Requires="x14">
            <control shapeId="55499" r:id="rId78" name="Drop Down 203">
              <controlPr locked="0" defaultSize="0" autoLine="0" autoPict="0">
                <anchor moveWithCells="1">
                  <from>
                    <xdr:col>3</xdr:col>
                    <xdr:colOff>0</xdr:colOff>
                    <xdr:row>34</xdr:row>
                    <xdr:rowOff>9525</xdr:rowOff>
                  </from>
                  <to>
                    <xdr:col>3</xdr:col>
                    <xdr:colOff>1066800</xdr:colOff>
                    <xdr:row>35</xdr:row>
                    <xdr:rowOff>9525</xdr:rowOff>
                  </to>
                </anchor>
              </controlPr>
            </control>
          </mc:Choice>
        </mc:AlternateContent>
        <mc:AlternateContent xmlns:mc="http://schemas.openxmlformats.org/markup-compatibility/2006">
          <mc:Choice Requires="x14">
            <control shapeId="55500" r:id="rId79" name="Drop Down 204">
              <controlPr locked="0" defaultSize="0" autoLine="0" autoPict="0">
                <anchor moveWithCells="1">
                  <from>
                    <xdr:col>3</xdr:col>
                    <xdr:colOff>0</xdr:colOff>
                    <xdr:row>35</xdr:row>
                    <xdr:rowOff>0</xdr:rowOff>
                  </from>
                  <to>
                    <xdr:col>3</xdr:col>
                    <xdr:colOff>1066800</xdr:colOff>
                    <xdr:row>36</xdr:row>
                    <xdr:rowOff>0</xdr:rowOff>
                  </to>
                </anchor>
              </controlPr>
            </control>
          </mc:Choice>
        </mc:AlternateContent>
        <mc:AlternateContent xmlns:mc="http://schemas.openxmlformats.org/markup-compatibility/2006">
          <mc:Choice Requires="x14">
            <control shapeId="55501" r:id="rId80" name="Drop Down 205">
              <controlPr locked="0" defaultSize="0" autoLine="0" autoPict="0">
                <anchor moveWithCells="1">
                  <from>
                    <xdr:col>3</xdr:col>
                    <xdr:colOff>0</xdr:colOff>
                    <xdr:row>36</xdr:row>
                    <xdr:rowOff>0</xdr:rowOff>
                  </from>
                  <to>
                    <xdr:col>3</xdr:col>
                    <xdr:colOff>1066800</xdr:colOff>
                    <xdr:row>37</xdr:row>
                    <xdr:rowOff>0</xdr:rowOff>
                  </to>
                </anchor>
              </controlPr>
            </control>
          </mc:Choice>
        </mc:AlternateContent>
        <mc:AlternateContent xmlns:mc="http://schemas.openxmlformats.org/markup-compatibility/2006">
          <mc:Choice Requires="x14">
            <control shapeId="55502" r:id="rId81" name="Drop Down 206">
              <controlPr locked="0" defaultSize="0" autoLine="0" autoPict="0">
                <anchor moveWithCells="1">
                  <from>
                    <xdr:col>3</xdr:col>
                    <xdr:colOff>0</xdr:colOff>
                    <xdr:row>37</xdr:row>
                    <xdr:rowOff>0</xdr:rowOff>
                  </from>
                  <to>
                    <xdr:col>3</xdr:col>
                    <xdr:colOff>1066800</xdr:colOff>
                    <xdr:row>38</xdr:row>
                    <xdr:rowOff>0</xdr:rowOff>
                  </to>
                </anchor>
              </controlPr>
            </control>
          </mc:Choice>
        </mc:AlternateContent>
        <mc:AlternateContent xmlns:mc="http://schemas.openxmlformats.org/markup-compatibility/2006">
          <mc:Choice Requires="x14">
            <control shapeId="55671" r:id="rId82" name="Drop Down 375">
              <controlPr defaultSize="0" autoLine="0" autoPict="0">
                <anchor moveWithCells="1">
                  <from>
                    <xdr:col>1</xdr:col>
                    <xdr:colOff>9525</xdr:colOff>
                    <xdr:row>81</xdr:row>
                    <xdr:rowOff>152400</xdr:rowOff>
                  </from>
                  <to>
                    <xdr:col>2</xdr:col>
                    <xdr:colOff>9525</xdr:colOff>
                    <xdr:row>83</xdr:row>
                    <xdr:rowOff>9525</xdr:rowOff>
                  </to>
                </anchor>
              </controlPr>
            </control>
          </mc:Choice>
        </mc:AlternateContent>
        <mc:AlternateContent xmlns:mc="http://schemas.openxmlformats.org/markup-compatibility/2006">
          <mc:Choice Requires="x14">
            <control shapeId="55704" r:id="rId83" name="Drop Down 408">
              <controlPr defaultSize="0" autoLine="0" autoPict="0">
                <anchor moveWithCells="1">
                  <from>
                    <xdr:col>3</xdr:col>
                    <xdr:colOff>28575</xdr:colOff>
                    <xdr:row>78</xdr:row>
                    <xdr:rowOff>9525</xdr:rowOff>
                  </from>
                  <to>
                    <xdr:col>5</xdr:col>
                    <xdr:colOff>590550</xdr:colOff>
                    <xdr:row>78</xdr:row>
                    <xdr:rowOff>238125</xdr:rowOff>
                  </to>
                </anchor>
              </controlPr>
            </control>
          </mc:Choice>
        </mc:AlternateContent>
        <mc:AlternateContent xmlns:mc="http://schemas.openxmlformats.org/markup-compatibility/2006">
          <mc:Choice Requires="x14">
            <control shapeId="55705" r:id="rId84" name="Drop Down 409">
              <controlPr defaultSize="0" autoLine="0" autoPict="0">
                <anchor moveWithCells="1">
                  <from>
                    <xdr:col>3</xdr:col>
                    <xdr:colOff>28575</xdr:colOff>
                    <xdr:row>79</xdr:row>
                    <xdr:rowOff>9525</xdr:rowOff>
                  </from>
                  <to>
                    <xdr:col>5</xdr:col>
                    <xdr:colOff>590550</xdr:colOff>
                    <xdr:row>79</xdr:row>
                    <xdr:rowOff>238125</xdr:rowOff>
                  </to>
                </anchor>
              </controlPr>
            </control>
          </mc:Choice>
        </mc:AlternateContent>
        <mc:AlternateContent xmlns:mc="http://schemas.openxmlformats.org/markup-compatibility/2006">
          <mc:Choice Requires="x14">
            <control shapeId="55926" r:id="rId85" name="Check Box 630">
              <controlPr defaultSize="0" autoFill="0" autoLine="0" autoPict="0">
                <anchor moveWithCells="1">
                  <from>
                    <xdr:col>1</xdr:col>
                    <xdr:colOff>1066800</xdr:colOff>
                    <xdr:row>127</xdr:row>
                    <xdr:rowOff>0</xdr:rowOff>
                  </from>
                  <to>
                    <xdr:col>1</xdr:col>
                    <xdr:colOff>1371600</xdr:colOff>
                    <xdr:row>127</xdr:row>
                    <xdr:rowOff>228600</xdr:rowOff>
                  </to>
                </anchor>
              </controlPr>
            </control>
          </mc:Choice>
        </mc:AlternateContent>
        <mc:AlternateContent xmlns:mc="http://schemas.openxmlformats.org/markup-compatibility/2006">
          <mc:Choice Requires="x14">
            <control shapeId="55927" r:id="rId86" name="Check Box 631">
              <controlPr defaultSize="0" autoFill="0" autoLine="0" autoPict="0">
                <anchor moveWithCells="1">
                  <from>
                    <xdr:col>1</xdr:col>
                    <xdr:colOff>1066800</xdr:colOff>
                    <xdr:row>128</xdr:row>
                    <xdr:rowOff>9525</xdr:rowOff>
                  </from>
                  <to>
                    <xdr:col>1</xdr:col>
                    <xdr:colOff>1371600</xdr:colOff>
                    <xdr:row>128</xdr:row>
                    <xdr:rowOff>247650</xdr:rowOff>
                  </to>
                </anchor>
              </controlPr>
            </control>
          </mc:Choice>
        </mc:AlternateContent>
        <mc:AlternateContent xmlns:mc="http://schemas.openxmlformats.org/markup-compatibility/2006">
          <mc:Choice Requires="x14">
            <control shapeId="55928" r:id="rId87" name="Check Box 632">
              <controlPr defaultSize="0" autoFill="0" autoLine="0" autoPict="0">
                <anchor moveWithCells="1">
                  <from>
                    <xdr:col>1</xdr:col>
                    <xdr:colOff>1066800</xdr:colOff>
                    <xdr:row>129</xdr:row>
                    <xdr:rowOff>28575</xdr:rowOff>
                  </from>
                  <to>
                    <xdr:col>1</xdr:col>
                    <xdr:colOff>1371600</xdr:colOff>
                    <xdr:row>129</xdr:row>
                    <xdr:rowOff>238125</xdr:rowOff>
                  </to>
                </anchor>
              </controlPr>
            </control>
          </mc:Choice>
        </mc:AlternateContent>
        <mc:AlternateContent xmlns:mc="http://schemas.openxmlformats.org/markup-compatibility/2006">
          <mc:Choice Requires="x14">
            <control shapeId="55929" r:id="rId88" name="Check Box 633">
              <controlPr defaultSize="0" autoFill="0" autoLine="0" autoPict="0">
                <anchor moveWithCells="1">
                  <from>
                    <xdr:col>3</xdr:col>
                    <xdr:colOff>1000125</xdr:colOff>
                    <xdr:row>127</xdr:row>
                    <xdr:rowOff>0</xdr:rowOff>
                  </from>
                  <to>
                    <xdr:col>4</xdr:col>
                    <xdr:colOff>200025</xdr:colOff>
                    <xdr:row>127</xdr:row>
                    <xdr:rowOff>228600</xdr:rowOff>
                  </to>
                </anchor>
              </controlPr>
            </control>
          </mc:Choice>
        </mc:AlternateContent>
        <mc:AlternateContent xmlns:mc="http://schemas.openxmlformats.org/markup-compatibility/2006">
          <mc:Choice Requires="x14">
            <control shapeId="55930" r:id="rId89" name="Check Box 634">
              <controlPr defaultSize="0" autoFill="0" autoLine="0" autoPict="0">
                <anchor moveWithCells="1">
                  <from>
                    <xdr:col>3</xdr:col>
                    <xdr:colOff>1000125</xdr:colOff>
                    <xdr:row>129</xdr:row>
                    <xdr:rowOff>28575</xdr:rowOff>
                  </from>
                  <to>
                    <xdr:col>4</xdr:col>
                    <xdr:colOff>200025</xdr:colOff>
                    <xdr:row>129</xdr:row>
                    <xdr:rowOff>228600</xdr:rowOff>
                  </to>
                </anchor>
              </controlPr>
            </control>
          </mc:Choice>
        </mc:AlternateContent>
        <mc:AlternateContent xmlns:mc="http://schemas.openxmlformats.org/markup-compatibility/2006">
          <mc:Choice Requires="x14">
            <control shapeId="55931" r:id="rId90" name="Check Box 635">
              <controlPr defaultSize="0" autoFill="0" autoLine="0" autoPict="0">
                <anchor moveWithCells="1">
                  <from>
                    <xdr:col>3</xdr:col>
                    <xdr:colOff>1000125</xdr:colOff>
                    <xdr:row>128</xdr:row>
                    <xdr:rowOff>9525</xdr:rowOff>
                  </from>
                  <to>
                    <xdr:col>4</xdr:col>
                    <xdr:colOff>200025</xdr:colOff>
                    <xdr:row>128</xdr:row>
                    <xdr:rowOff>247650</xdr:rowOff>
                  </to>
                </anchor>
              </controlPr>
            </control>
          </mc:Choice>
        </mc:AlternateContent>
        <mc:AlternateContent xmlns:mc="http://schemas.openxmlformats.org/markup-compatibility/2006">
          <mc:Choice Requires="x14">
            <control shapeId="55932" r:id="rId91" name="Check Box 636">
              <controlPr defaultSize="0" autoFill="0" autoLine="0" autoPict="0">
                <anchor moveWithCells="1">
                  <from>
                    <xdr:col>1</xdr:col>
                    <xdr:colOff>1066800</xdr:colOff>
                    <xdr:row>127</xdr:row>
                    <xdr:rowOff>0</xdr:rowOff>
                  </from>
                  <to>
                    <xdr:col>1</xdr:col>
                    <xdr:colOff>1371600</xdr:colOff>
                    <xdr:row>127</xdr:row>
                    <xdr:rowOff>228600</xdr:rowOff>
                  </to>
                </anchor>
              </controlPr>
            </control>
          </mc:Choice>
        </mc:AlternateContent>
        <mc:AlternateContent xmlns:mc="http://schemas.openxmlformats.org/markup-compatibility/2006">
          <mc:Choice Requires="x14">
            <control shapeId="55933" r:id="rId92" name="Check Box 637">
              <controlPr defaultSize="0" autoFill="0" autoLine="0" autoPict="0">
                <anchor moveWithCells="1">
                  <from>
                    <xdr:col>1</xdr:col>
                    <xdr:colOff>1066800</xdr:colOff>
                    <xdr:row>128</xdr:row>
                    <xdr:rowOff>9525</xdr:rowOff>
                  </from>
                  <to>
                    <xdr:col>1</xdr:col>
                    <xdr:colOff>1371600</xdr:colOff>
                    <xdr:row>128</xdr:row>
                    <xdr:rowOff>247650</xdr:rowOff>
                  </to>
                </anchor>
              </controlPr>
            </control>
          </mc:Choice>
        </mc:AlternateContent>
        <mc:AlternateContent xmlns:mc="http://schemas.openxmlformats.org/markup-compatibility/2006">
          <mc:Choice Requires="x14">
            <control shapeId="55934" r:id="rId93" name="Check Box 638">
              <controlPr defaultSize="0" autoFill="0" autoLine="0" autoPict="0">
                <anchor moveWithCells="1">
                  <from>
                    <xdr:col>1</xdr:col>
                    <xdr:colOff>1066800</xdr:colOff>
                    <xdr:row>129</xdr:row>
                    <xdr:rowOff>28575</xdr:rowOff>
                  </from>
                  <to>
                    <xdr:col>1</xdr:col>
                    <xdr:colOff>1371600</xdr:colOff>
                    <xdr:row>129</xdr:row>
                    <xdr:rowOff>238125</xdr:rowOff>
                  </to>
                </anchor>
              </controlPr>
            </control>
          </mc:Choice>
        </mc:AlternateContent>
        <mc:AlternateContent xmlns:mc="http://schemas.openxmlformats.org/markup-compatibility/2006">
          <mc:Choice Requires="x14">
            <control shapeId="55935" r:id="rId94" name="Check Box 639">
              <controlPr defaultSize="0" autoFill="0" autoLine="0" autoPict="0">
                <anchor moveWithCells="1">
                  <from>
                    <xdr:col>3</xdr:col>
                    <xdr:colOff>1000125</xdr:colOff>
                    <xdr:row>127</xdr:row>
                    <xdr:rowOff>0</xdr:rowOff>
                  </from>
                  <to>
                    <xdr:col>4</xdr:col>
                    <xdr:colOff>200025</xdr:colOff>
                    <xdr:row>127</xdr:row>
                    <xdr:rowOff>228600</xdr:rowOff>
                  </to>
                </anchor>
              </controlPr>
            </control>
          </mc:Choice>
        </mc:AlternateContent>
        <mc:AlternateContent xmlns:mc="http://schemas.openxmlformats.org/markup-compatibility/2006">
          <mc:Choice Requires="x14">
            <control shapeId="55936" r:id="rId95" name="Check Box 640">
              <controlPr defaultSize="0" autoFill="0" autoLine="0" autoPict="0">
                <anchor moveWithCells="1">
                  <from>
                    <xdr:col>3</xdr:col>
                    <xdr:colOff>1000125</xdr:colOff>
                    <xdr:row>129</xdr:row>
                    <xdr:rowOff>28575</xdr:rowOff>
                  </from>
                  <to>
                    <xdr:col>4</xdr:col>
                    <xdr:colOff>200025</xdr:colOff>
                    <xdr:row>129</xdr:row>
                    <xdr:rowOff>228600</xdr:rowOff>
                  </to>
                </anchor>
              </controlPr>
            </control>
          </mc:Choice>
        </mc:AlternateContent>
        <mc:AlternateContent xmlns:mc="http://schemas.openxmlformats.org/markup-compatibility/2006">
          <mc:Choice Requires="x14">
            <control shapeId="55937" r:id="rId96" name="Check Box 641">
              <controlPr defaultSize="0" autoFill="0" autoLine="0" autoPict="0">
                <anchor moveWithCells="1">
                  <from>
                    <xdr:col>3</xdr:col>
                    <xdr:colOff>1000125</xdr:colOff>
                    <xdr:row>128</xdr:row>
                    <xdr:rowOff>9525</xdr:rowOff>
                  </from>
                  <to>
                    <xdr:col>4</xdr:col>
                    <xdr:colOff>200025</xdr:colOff>
                    <xdr:row>128</xdr:row>
                    <xdr:rowOff>247650</xdr:rowOff>
                  </to>
                </anchor>
              </controlPr>
            </control>
          </mc:Choice>
        </mc:AlternateContent>
        <mc:AlternateContent xmlns:mc="http://schemas.openxmlformats.org/markup-compatibility/2006">
          <mc:Choice Requires="x14">
            <control shapeId="55938" r:id="rId97" name="Check Box 642">
              <controlPr defaultSize="0" autoFill="0" autoLine="0" autoPict="0">
                <anchor moveWithCells="1">
                  <from>
                    <xdr:col>1</xdr:col>
                    <xdr:colOff>1066800</xdr:colOff>
                    <xdr:row>127</xdr:row>
                    <xdr:rowOff>0</xdr:rowOff>
                  </from>
                  <to>
                    <xdr:col>1</xdr:col>
                    <xdr:colOff>1371600</xdr:colOff>
                    <xdr:row>127</xdr:row>
                    <xdr:rowOff>228600</xdr:rowOff>
                  </to>
                </anchor>
              </controlPr>
            </control>
          </mc:Choice>
        </mc:AlternateContent>
        <mc:AlternateContent xmlns:mc="http://schemas.openxmlformats.org/markup-compatibility/2006">
          <mc:Choice Requires="x14">
            <control shapeId="55939" r:id="rId98" name="Check Box 643">
              <controlPr defaultSize="0" autoFill="0" autoLine="0" autoPict="0">
                <anchor moveWithCells="1">
                  <from>
                    <xdr:col>1</xdr:col>
                    <xdr:colOff>1066800</xdr:colOff>
                    <xdr:row>128</xdr:row>
                    <xdr:rowOff>9525</xdr:rowOff>
                  </from>
                  <to>
                    <xdr:col>1</xdr:col>
                    <xdr:colOff>1371600</xdr:colOff>
                    <xdr:row>128</xdr:row>
                    <xdr:rowOff>247650</xdr:rowOff>
                  </to>
                </anchor>
              </controlPr>
            </control>
          </mc:Choice>
        </mc:AlternateContent>
        <mc:AlternateContent xmlns:mc="http://schemas.openxmlformats.org/markup-compatibility/2006">
          <mc:Choice Requires="x14">
            <control shapeId="55940" r:id="rId99" name="Check Box 644">
              <controlPr defaultSize="0" autoFill="0" autoLine="0" autoPict="0">
                <anchor moveWithCells="1">
                  <from>
                    <xdr:col>1</xdr:col>
                    <xdr:colOff>1066800</xdr:colOff>
                    <xdr:row>129</xdr:row>
                    <xdr:rowOff>28575</xdr:rowOff>
                  </from>
                  <to>
                    <xdr:col>1</xdr:col>
                    <xdr:colOff>1371600</xdr:colOff>
                    <xdr:row>129</xdr:row>
                    <xdr:rowOff>238125</xdr:rowOff>
                  </to>
                </anchor>
              </controlPr>
            </control>
          </mc:Choice>
        </mc:AlternateContent>
        <mc:AlternateContent xmlns:mc="http://schemas.openxmlformats.org/markup-compatibility/2006">
          <mc:Choice Requires="x14">
            <control shapeId="55941" r:id="rId100" name="Check Box 645">
              <controlPr defaultSize="0" autoFill="0" autoLine="0" autoPict="0">
                <anchor moveWithCells="1">
                  <from>
                    <xdr:col>3</xdr:col>
                    <xdr:colOff>1000125</xdr:colOff>
                    <xdr:row>127</xdr:row>
                    <xdr:rowOff>0</xdr:rowOff>
                  </from>
                  <to>
                    <xdr:col>4</xdr:col>
                    <xdr:colOff>200025</xdr:colOff>
                    <xdr:row>127</xdr:row>
                    <xdr:rowOff>228600</xdr:rowOff>
                  </to>
                </anchor>
              </controlPr>
            </control>
          </mc:Choice>
        </mc:AlternateContent>
        <mc:AlternateContent xmlns:mc="http://schemas.openxmlformats.org/markup-compatibility/2006">
          <mc:Choice Requires="x14">
            <control shapeId="55942" r:id="rId101" name="Check Box 646">
              <controlPr defaultSize="0" autoFill="0" autoLine="0" autoPict="0">
                <anchor moveWithCells="1">
                  <from>
                    <xdr:col>3</xdr:col>
                    <xdr:colOff>1000125</xdr:colOff>
                    <xdr:row>129</xdr:row>
                    <xdr:rowOff>28575</xdr:rowOff>
                  </from>
                  <to>
                    <xdr:col>4</xdr:col>
                    <xdr:colOff>200025</xdr:colOff>
                    <xdr:row>129</xdr:row>
                    <xdr:rowOff>228600</xdr:rowOff>
                  </to>
                </anchor>
              </controlPr>
            </control>
          </mc:Choice>
        </mc:AlternateContent>
        <mc:AlternateContent xmlns:mc="http://schemas.openxmlformats.org/markup-compatibility/2006">
          <mc:Choice Requires="x14">
            <control shapeId="55943" r:id="rId102" name="Check Box 647">
              <controlPr defaultSize="0" autoFill="0" autoLine="0" autoPict="0">
                <anchor moveWithCells="1">
                  <from>
                    <xdr:col>3</xdr:col>
                    <xdr:colOff>1000125</xdr:colOff>
                    <xdr:row>128</xdr:row>
                    <xdr:rowOff>9525</xdr:rowOff>
                  </from>
                  <to>
                    <xdr:col>4</xdr:col>
                    <xdr:colOff>200025</xdr:colOff>
                    <xdr:row>128</xdr:row>
                    <xdr:rowOff>247650</xdr:rowOff>
                  </to>
                </anchor>
              </controlPr>
            </control>
          </mc:Choice>
        </mc:AlternateContent>
        <mc:AlternateContent xmlns:mc="http://schemas.openxmlformats.org/markup-compatibility/2006">
          <mc:Choice Requires="x14">
            <control shapeId="55999" r:id="rId103" name="Drop Down 703">
              <controlPr defaultSize="0" autoLine="0" autoPict="0">
                <anchor moveWithCells="1">
                  <from>
                    <xdr:col>6</xdr:col>
                    <xdr:colOff>171450</xdr:colOff>
                    <xdr:row>125</xdr:row>
                    <xdr:rowOff>19050</xdr:rowOff>
                  </from>
                  <to>
                    <xdr:col>7</xdr:col>
                    <xdr:colOff>314325</xdr:colOff>
                    <xdr:row>125</xdr:row>
                    <xdr:rowOff>371475</xdr:rowOff>
                  </to>
                </anchor>
              </controlPr>
            </control>
          </mc:Choice>
        </mc:AlternateContent>
        <mc:AlternateContent xmlns:mc="http://schemas.openxmlformats.org/markup-compatibility/2006">
          <mc:Choice Requires="x14">
            <control shapeId="56000" r:id="rId104" name="Drop Down 704">
              <controlPr defaultSize="0" autoLine="0" autoPict="0">
                <anchor moveWithCells="1">
                  <from>
                    <xdr:col>6</xdr:col>
                    <xdr:colOff>171450</xdr:colOff>
                    <xdr:row>125</xdr:row>
                    <xdr:rowOff>19050</xdr:rowOff>
                  </from>
                  <to>
                    <xdr:col>7</xdr:col>
                    <xdr:colOff>314325</xdr:colOff>
                    <xdr:row>125</xdr:row>
                    <xdr:rowOff>371475</xdr:rowOff>
                  </to>
                </anchor>
              </controlPr>
            </control>
          </mc:Choice>
        </mc:AlternateContent>
        <mc:AlternateContent xmlns:mc="http://schemas.openxmlformats.org/markup-compatibility/2006">
          <mc:Choice Requires="x14">
            <control shapeId="56001" r:id="rId105" name="Drop Down 705">
              <controlPr defaultSize="0" autoLine="0" autoPict="0">
                <anchor moveWithCells="1">
                  <from>
                    <xdr:col>6</xdr:col>
                    <xdr:colOff>171450</xdr:colOff>
                    <xdr:row>125</xdr:row>
                    <xdr:rowOff>19050</xdr:rowOff>
                  </from>
                  <to>
                    <xdr:col>7</xdr:col>
                    <xdr:colOff>314325</xdr:colOff>
                    <xdr:row>125</xdr:row>
                    <xdr:rowOff>371475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M35"/>
  <sheetViews>
    <sheetView zoomScale="80" zoomScaleNormal="80" workbookViewId="0">
      <pane xSplit="2" ySplit="4" topLeftCell="C5" activePane="bottomRight" state="frozen"/>
      <selection activeCell="D17" sqref="D17"/>
      <selection pane="topRight" activeCell="D17" sqref="D17"/>
      <selection pane="bottomLeft" activeCell="D17" sqref="D17"/>
      <selection pane="bottomRight" activeCell="A43" sqref="A43"/>
    </sheetView>
  </sheetViews>
  <sheetFormatPr defaultColWidth="7.875" defaultRowHeight="12.75"/>
  <cols>
    <col min="1" max="1" width="7.25" style="434" customWidth="1"/>
    <col min="2" max="2" width="15.125" style="434" customWidth="1"/>
    <col min="3" max="3" width="25.625" style="434" customWidth="1"/>
    <col min="4" max="4" width="64.875" style="434" customWidth="1"/>
    <col min="5" max="5" width="20.625" style="434" hidden="1" customWidth="1"/>
    <col min="6" max="8" width="12.625" style="527" customWidth="1"/>
    <col min="9" max="9" width="31" style="434" customWidth="1"/>
    <col min="10" max="10" width="10.875" style="434" customWidth="1"/>
    <col min="11" max="12" width="8.875" style="434" customWidth="1"/>
    <col min="13" max="16384" width="7.875" style="434"/>
  </cols>
  <sheetData>
    <row r="1" spans="1:13" ht="24" customHeight="1" thickBot="1">
      <c r="A1" s="1133" t="str">
        <f>Calculation!N31</f>
        <v>Green Star SA - Office Design v1</v>
      </c>
      <c r="D1" s="1010"/>
      <c r="E1" s="1010"/>
      <c r="F1" s="439"/>
      <c r="G1" s="997" t="s">
        <v>483</v>
      </c>
      <c r="H1" s="998">
        <f>'Credit Summary'!J73</f>
        <v>0.13</v>
      </c>
      <c r="I1" s="999" t="s">
        <v>484</v>
      </c>
      <c r="J1" s="1000"/>
    </row>
    <row r="2" spans="1:13" ht="30" customHeight="1" thickBot="1">
      <c r="A2" s="725" t="s">
        <v>93</v>
      </c>
      <c r="B2" s="384"/>
      <c r="C2" s="384"/>
      <c r="D2" s="996" t="s">
        <v>485</v>
      </c>
      <c r="E2" s="372"/>
      <c r="F2" s="1002">
        <f>F24</f>
        <v>22</v>
      </c>
      <c r="G2" s="1003">
        <f>G24</f>
        <v>0</v>
      </c>
      <c r="H2" s="1002">
        <f>H24</f>
        <v>0</v>
      </c>
      <c r="I2" s="1004">
        <f>'Credit Summary'!K73</f>
        <v>0</v>
      </c>
      <c r="J2" s="1000"/>
    </row>
    <row r="3" spans="1:13" ht="19.5" customHeight="1" thickBot="1">
      <c r="A3" s="374" t="s">
        <v>1217</v>
      </c>
      <c r="B3" s="375"/>
      <c r="C3" s="376" t="str">
        <f>IF('Building Input'!$C$5=0,"",'Building Input'!$C$5)</f>
        <v/>
      </c>
      <c r="D3" s="372"/>
      <c r="E3" s="372"/>
      <c r="F3" s="439"/>
      <c r="G3" s="1132" t="str">
        <f>IF(OR((J3=Calculation!$D$97),(J3=Calculation!$D$98),((G2+H2)&gt;F2)),Calculation!$D$99,"")</f>
        <v/>
      </c>
      <c r="H3" s="439"/>
      <c r="I3" s="1001"/>
      <c r="J3" s="1008" t="str">
        <f>T(J5:J23)</f>
        <v/>
      </c>
    </row>
    <row r="4" spans="1:13" ht="33" customHeight="1" thickBot="1">
      <c r="A4" s="528" t="s">
        <v>1219</v>
      </c>
      <c r="B4" s="529" t="s">
        <v>1220</v>
      </c>
      <c r="C4" s="529" t="s">
        <v>1221</v>
      </c>
      <c r="D4" s="529" t="s">
        <v>489</v>
      </c>
      <c r="E4" s="529" t="s">
        <v>64</v>
      </c>
      <c r="F4" s="530" t="s">
        <v>490</v>
      </c>
      <c r="G4" s="530" t="s">
        <v>518</v>
      </c>
      <c r="H4" s="530" t="s">
        <v>519</v>
      </c>
      <c r="I4" s="531" t="s">
        <v>520</v>
      </c>
      <c r="J4" s="384"/>
      <c r="K4" s="384"/>
      <c r="L4" s="384"/>
    </row>
    <row r="5" spans="1:13" ht="202.5" customHeight="1">
      <c r="A5" s="240" t="s">
        <v>1487</v>
      </c>
      <c r="B5" s="254" t="s">
        <v>754</v>
      </c>
      <c r="C5" s="254" t="s">
        <v>982</v>
      </c>
      <c r="D5" s="253" t="s">
        <v>859</v>
      </c>
      <c r="E5" s="243"/>
      <c r="F5" s="244">
        <v>2</v>
      </c>
      <c r="G5" s="245"/>
      <c r="H5" s="245"/>
      <c r="I5" s="537"/>
      <c r="J5" s="1009" t="str">
        <f>IF(OR(ISTEXT(G5)=TRUE,ISTEXT(H5)=TRUE),Calculation!$D$100,IF(G5+H5&gt;F5,Calculation!$D$97,""))</f>
        <v/>
      </c>
      <c r="K5" s="436"/>
      <c r="L5" s="437"/>
      <c r="M5" s="438"/>
    </row>
    <row r="6" spans="1:13" ht="227.25" customHeight="1">
      <c r="A6" s="241" t="s">
        <v>1488</v>
      </c>
      <c r="B6" s="255" t="s">
        <v>755</v>
      </c>
      <c r="C6" s="255" t="s">
        <v>756</v>
      </c>
      <c r="D6" s="255" t="s">
        <v>979</v>
      </c>
      <c r="E6" s="231"/>
      <c r="F6" s="242">
        <f>IF(G6="na",0,5)</f>
        <v>5</v>
      </c>
      <c r="G6" s="228"/>
      <c r="H6" s="228"/>
      <c r="I6" s="441"/>
      <c r="J6" s="1009" t="str">
        <f>IF(ISBLANK(G6),IF(H6&gt;F6,Calculation!$D$97,""),IF(G6="na","",IF(OR(G6="na",ISNUMBER(G6)),IF(G6+H6&gt;F6,Calculation!$D$97,""),Calculation!$D$98)))</f>
        <v/>
      </c>
      <c r="K6" s="436"/>
      <c r="L6" s="437"/>
      <c r="M6" s="438"/>
    </row>
    <row r="7" spans="1:13" ht="97.5" customHeight="1">
      <c r="A7" s="241" t="s">
        <v>1489</v>
      </c>
      <c r="B7" s="255" t="s">
        <v>758</v>
      </c>
      <c r="C7" s="255" t="s">
        <v>1389</v>
      </c>
      <c r="D7" s="255" t="s">
        <v>1515</v>
      </c>
      <c r="E7" s="231"/>
      <c r="F7" s="242">
        <v>1</v>
      </c>
      <c r="G7" s="228"/>
      <c r="H7" s="228"/>
      <c r="I7" s="441"/>
      <c r="J7" s="1009" t="str">
        <f>IF(OR(ISTEXT(G7)=TRUE,ISTEXT(H7)=TRUE),Calculation!$D$100,IF(G7+H7&gt;F7,Calculation!$D$97,""))</f>
        <v/>
      </c>
      <c r="K7" s="436"/>
      <c r="L7" s="437"/>
      <c r="M7" s="438"/>
    </row>
    <row r="8" spans="1:13" ht="59.25" customHeight="1">
      <c r="A8" s="241" t="s">
        <v>1490</v>
      </c>
      <c r="B8" s="255" t="s">
        <v>733</v>
      </c>
      <c r="C8" s="255" t="s">
        <v>980</v>
      </c>
      <c r="D8" s="255" t="s">
        <v>1376</v>
      </c>
      <c r="E8" s="231"/>
      <c r="F8" s="242">
        <v>1</v>
      </c>
      <c r="G8" s="228"/>
      <c r="H8" s="228"/>
      <c r="I8" s="441"/>
      <c r="J8" s="1009" t="str">
        <f>IF(OR(ISTEXT(G8)=TRUE,ISTEXT(H8)=TRUE),Calculation!$D$100,IF(G8+H8&gt;F8,Calculation!$D$97,""))</f>
        <v/>
      </c>
      <c r="K8" s="436"/>
      <c r="L8" s="437"/>
      <c r="M8" s="438"/>
    </row>
    <row r="9" spans="1:13" ht="109.5" customHeight="1">
      <c r="A9" s="2294" t="s">
        <v>1491</v>
      </c>
      <c r="B9" s="2673" t="s">
        <v>734</v>
      </c>
      <c r="C9" s="2673" t="s">
        <v>1600</v>
      </c>
      <c r="D9" s="255" t="s">
        <v>860</v>
      </c>
      <c r="E9" s="2186"/>
      <c r="F9" s="242">
        <f>IF(OR(G10="na",G9="na"),0,2)</f>
        <v>2</v>
      </c>
      <c r="G9" s="228"/>
      <c r="H9" s="228"/>
      <c r="I9" s="2676"/>
      <c r="J9" s="1009" t="str">
        <f>IF(ISBLANK(G9),IF(H9&gt;F9,Calculation!$D$97,""),IF(G9="na","",IF(OR(G9="na",ISNUMBER(G9)),IF(G9+H9&gt;F9,Calculation!$D$97,""),Calculation!$D$98)))</f>
        <v/>
      </c>
      <c r="K9" s="436"/>
      <c r="L9" s="437"/>
      <c r="M9" s="438"/>
    </row>
    <row r="10" spans="1:13" ht="165" customHeight="1">
      <c r="A10" s="2294"/>
      <c r="B10" s="2673"/>
      <c r="C10" s="2673"/>
      <c r="D10" s="255" t="s">
        <v>45</v>
      </c>
      <c r="E10" s="2186"/>
      <c r="F10" s="242">
        <f>IF(OR(G10="na",G9="na"),0,1)</f>
        <v>1</v>
      </c>
      <c r="G10" s="228"/>
      <c r="H10" s="228"/>
      <c r="I10" s="2676"/>
      <c r="J10" s="1009" t="str">
        <f>IF(ISBLANK(G10),IF(H10&gt;F10,Calculation!$D$97,""),IF(G10="na","",IF(OR(G10="na",ISNUMBER(G10)),IF(G10+H10&gt;F10,Calculation!$D$97,""),Calculation!$D$98)))</f>
        <v/>
      </c>
      <c r="K10" s="436"/>
      <c r="L10" s="437"/>
      <c r="M10" s="438"/>
    </row>
    <row r="11" spans="1:13" ht="162.75" customHeight="1">
      <c r="A11" s="2175" t="s">
        <v>1492</v>
      </c>
      <c r="B11" s="2674" t="s">
        <v>1350</v>
      </c>
      <c r="C11" s="2674" t="s">
        <v>1031</v>
      </c>
      <c r="D11" s="256" t="s">
        <v>1595</v>
      </c>
      <c r="E11" s="231"/>
      <c r="F11" s="2682">
        <f>IF(G11="na",0,3)</f>
        <v>3</v>
      </c>
      <c r="G11" s="2167"/>
      <c r="H11" s="2167"/>
      <c r="I11" s="2292"/>
      <c r="J11" s="2681" t="str">
        <f>IF(ISBLANK(G11),IF(H11&gt;F11,Calculation!$D$97,""),IF(G11="na","",IF(OR(G11="na",ISNUMBER(G11)),IF(G11+H11&gt;F11,Calculation!$D$97,""),Calculation!$D$98)))</f>
        <v/>
      </c>
      <c r="K11" s="436"/>
      <c r="L11" s="437"/>
      <c r="M11" s="438"/>
    </row>
    <row r="12" spans="1:13" ht="107.25" customHeight="1">
      <c r="A12" s="2180"/>
      <c r="B12" s="2675"/>
      <c r="C12" s="2675"/>
      <c r="D12" s="257" t="s">
        <v>1596</v>
      </c>
      <c r="E12" s="231"/>
      <c r="F12" s="2683"/>
      <c r="G12" s="2168"/>
      <c r="H12" s="2168"/>
      <c r="I12" s="2293"/>
      <c r="J12" s="2681"/>
      <c r="K12" s="436"/>
      <c r="L12" s="437"/>
      <c r="M12" s="438"/>
    </row>
    <row r="13" spans="1:13" ht="61.5" customHeight="1">
      <c r="A13" s="241" t="s">
        <v>1493</v>
      </c>
      <c r="B13" s="255" t="s">
        <v>318</v>
      </c>
      <c r="C13" s="255" t="s">
        <v>1223</v>
      </c>
      <c r="D13" s="255" t="s">
        <v>613</v>
      </c>
      <c r="E13" s="231"/>
      <c r="F13" s="242">
        <v>1</v>
      </c>
      <c r="G13" s="228"/>
      <c r="H13" s="228"/>
      <c r="I13" s="441"/>
      <c r="J13" s="1009" t="str">
        <f>IF(OR(ISTEXT(G13)=TRUE,ISTEXT(H13)=TRUE),Calculation!$D$100,IF(G13+H13&gt;F13,Calculation!$D$97,""))</f>
        <v/>
      </c>
      <c r="K13" s="436"/>
      <c r="L13" s="437"/>
      <c r="M13" s="438"/>
    </row>
    <row r="14" spans="1:13" ht="205.5" customHeight="1">
      <c r="A14" s="241" t="s">
        <v>1494</v>
      </c>
      <c r="B14" s="255" t="s">
        <v>1351</v>
      </c>
      <c r="C14" s="255" t="s">
        <v>1352</v>
      </c>
      <c r="D14" s="255" t="s">
        <v>1597</v>
      </c>
      <c r="E14" s="231"/>
      <c r="F14" s="242">
        <f>IF(G14="na",0,2)</f>
        <v>2</v>
      </c>
      <c r="G14" s="228"/>
      <c r="H14" s="228"/>
      <c r="I14" s="441"/>
      <c r="J14" s="1009" t="str">
        <f>IF(ISBLANK(G14),IF(H14&gt;F14,Calculation!$D$97,""),IF(G14="na","",IF(OR(G14="na",ISNUMBER(G14)),IF(G14+H14&gt;F14,Calculation!$D$97,""),Calculation!$D$98)))</f>
        <v/>
      </c>
      <c r="K14" s="436"/>
      <c r="L14" s="437"/>
      <c r="M14" s="438"/>
    </row>
    <row r="15" spans="1:13" ht="141" customHeight="1">
      <c r="A15" s="241" t="s">
        <v>1495</v>
      </c>
      <c r="B15" s="255" t="s">
        <v>1353</v>
      </c>
      <c r="C15" s="255" t="s">
        <v>557</v>
      </c>
      <c r="D15" s="256" t="s">
        <v>1209</v>
      </c>
      <c r="E15" s="231"/>
      <c r="F15" s="242">
        <f>IF(G15="na",0,1)</f>
        <v>1</v>
      </c>
      <c r="G15" s="228"/>
      <c r="H15" s="228"/>
      <c r="I15" s="441"/>
      <c r="J15" s="1009" t="str">
        <f>IF(ISBLANK(G15),IF(H15&gt;F15,Calculation!$D$97,""),IF(G15="na","",IF(OR(G15="na",ISNUMBER(G15)),IF(G15+H15&gt;F15,Calculation!$D$97,""),Calculation!$D$98)))</f>
        <v/>
      </c>
      <c r="K15" s="436"/>
      <c r="L15" s="437"/>
      <c r="M15" s="438"/>
    </row>
    <row r="16" spans="1:13" s="373" customFormat="1" ht="108" customHeight="1">
      <c r="A16" s="2175" t="s">
        <v>1496</v>
      </c>
      <c r="B16" s="2674" t="s">
        <v>387</v>
      </c>
      <c r="C16" s="2674" t="s">
        <v>642</v>
      </c>
      <c r="D16" s="259" t="s">
        <v>1089</v>
      </c>
      <c r="E16" s="2685"/>
      <c r="F16" s="2682">
        <v>1</v>
      </c>
      <c r="G16" s="2689"/>
      <c r="H16" s="2689"/>
      <c r="I16" s="2676"/>
      <c r="J16" s="2681" t="str">
        <f>IF(OR(ISTEXT(G16)=TRUE,ISTEXT(H16)=TRUE),Calculation!$D$100,IF(G16+H16&gt;F16,Calculation!$D$97,""))</f>
        <v/>
      </c>
      <c r="K16" s="372"/>
      <c r="L16" s="372"/>
    </row>
    <row r="17" spans="1:13" s="373" customFormat="1" ht="95.25" customHeight="1">
      <c r="A17" s="2679"/>
      <c r="B17" s="2677"/>
      <c r="C17" s="2677"/>
      <c r="D17" s="260" t="s">
        <v>1088</v>
      </c>
      <c r="E17" s="2685"/>
      <c r="F17" s="2687"/>
      <c r="G17" s="2689"/>
      <c r="H17" s="2689"/>
      <c r="I17" s="2676"/>
      <c r="J17" s="2681"/>
      <c r="K17" s="372"/>
      <c r="L17" s="372"/>
    </row>
    <row r="18" spans="1:13" s="373" customFormat="1" ht="42.75" customHeight="1">
      <c r="A18" s="2679"/>
      <c r="B18" s="2677"/>
      <c r="C18" s="2677"/>
      <c r="D18" s="261" t="s">
        <v>1090</v>
      </c>
      <c r="E18" s="2685"/>
      <c r="F18" s="2687"/>
      <c r="G18" s="2689"/>
      <c r="H18" s="2689"/>
      <c r="I18" s="2676"/>
      <c r="J18" s="2681"/>
      <c r="K18" s="372"/>
      <c r="L18" s="372"/>
    </row>
    <row r="19" spans="1:13" s="373" customFormat="1" ht="40.5" customHeight="1">
      <c r="A19" s="2679"/>
      <c r="B19" s="2677"/>
      <c r="C19" s="2677"/>
      <c r="D19" s="261" t="s">
        <v>1314</v>
      </c>
      <c r="E19" s="2685"/>
      <c r="F19" s="2687"/>
      <c r="G19" s="2689"/>
      <c r="H19" s="2689"/>
      <c r="I19" s="2676"/>
      <c r="J19" s="2681"/>
      <c r="K19" s="372"/>
      <c r="L19" s="372"/>
    </row>
    <row r="20" spans="1:13" s="373" customFormat="1" ht="73.5" customHeight="1">
      <c r="A20" s="2679"/>
      <c r="B20" s="2677"/>
      <c r="C20" s="2677"/>
      <c r="D20" s="261" t="s">
        <v>1696</v>
      </c>
      <c r="E20" s="2685"/>
      <c r="F20" s="2687"/>
      <c r="G20" s="2689"/>
      <c r="H20" s="2689"/>
      <c r="I20" s="2676"/>
      <c r="J20" s="2681"/>
      <c r="K20" s="372"/>
      <c r="L20" s="372"/>
    </row>
    <row r="21" spans="1:13" s="373" customFormat="1" ht="69.75" customHeight="1">
      <c r="A21" s="2679"/>
      <c r="B21" s="2677"/>
      <c r="C21" s="2677"/>
      <c r="D21" s="261" t="s">
        <v>1621</v>
      </c>
      <c r="E21" s="2685"/>
      <c r="F21" s="2687"/>
      <c r="G21" s="2689"/>
      <c r="H21" s="2689"/>
      <c r="I21" s="2676"/>
      <c r="J21" s="2681"/>
      <c r="K21" s="372"/>
      <c r="L21" s="372"/>
    </row>
    <row r="22" spans="1:13" ht="72" customHeight="1">
      <c r="A22" s="2680"/>
      <c r="B22" s="2678"/>
      <c r="C22" s="2678"/>
      <c r="D22" s="262" t="s">
        <v>568</v>
      </c>
      <c r="E22" s="2686"/>
      <c r="F22" s="2688"/>
      <c r="G22" s="2690"/>
      <c r="H22" s="2690"/>
      <c r="I22" s="2684"/>
      <c r="J22" s="2681"/>
      <c r="K22" s="384"/>
      <c r="L22" s="384"/>
    </row>
    <row r="23" spans="1:13" ht="221.25" customHeight="1" thickBot="1">
      <c r="A23" s="247" t="s">
        <v>1497</v>
      </c>
      <c r="B23" s="256" t="s">
        <v>396</v>
      </c>
      <c r="C23" s="256" t="s">
        <v>1645</v>
      </c>
      <c r="D23" s="258" t="s">
        <v>223</v>
      </c>
      <c r="E23" s="235"/>
      <c r="F23" s="246">
        <v>2</v>
      </c>
      <c r="G23" s="236"/>
      <c r="H23" s="236"/>
      <c r="I23" s="453"/>
      <c r="J23" s="1009" t="str">
        <f>IF(OR(ISTEXT(G23)=TRUE,ISTEXT(H23)=TRUE),Calculation!$D$100,IF(G23+H23&gt;F23,Calculation!$D$97,""))</f>
        <v/>
      </c>
      <c r="K23" s="524"/>
      <c r="L23" s="525"/>
      <c r="M23" s="438"/>
    </row>
    <row r="24" spans="1:13" ht="18.75" thickBot="1">
      <c r="A24" s="532"/>
      <c r="B24" s="533"/>
      <c r="C24" s="533"/>
      <c r="D24" s="388" t="s">
        <v>729</v>
      </c>
      <c r="E24" s="534" t="s">
        <v>729</v>
      </c>
      <c r="F24" s="390">
        <f>SUM(F5:F23)</f>
        <v>22</v>
      </c>
      <c r="G24" s="390">
        <f>SUM(G5:G23)</f>
        <v>0</v>
      </c>
      <c r="H24" s="390">
        <f>SUM(H5:H23)</f>
        <v>0</v>
      </c>
      <c r="I24" s="535"/>
      <c r="J24" s="435"/>
      <c r="K24" s="384"/>
      <c r="L24" s="384"/>
    </row>
    <row r="25" spans="1:13">
      <c r="A25" s="372"/>
      <c r="F25" s="526"/>
      <c r="G25" s="526"/>
      <c r="H25" s="526"/>
      <c r="I25" s="384"/>
    </row>
    <row r="26" spans="1:13">
      <c r="A26" s="372"/>
      <c r="F26" s="526"/>
      <c r="G26" s="526"/>
      <c r="H26" s="526"/>
      <c r="I26" s="384"/>
    </row>
    <row r="27" spans="1:13">
      <c r="A27" s="372"/>
      <c r="F27" s="526"/>
      <c r="G27" s="526"/>
      <c r="H27" s="526"/>
      <c r="I27" s="384"/>
    </row>
    <row r="28" spans="1:13">
      <c r="A28" s="1005" t="str">
        <f>Calculation!$C$86</f>
        <v>Project Teams are to refer to the Green Star SA Office v1 Technical Manual for explicit credit criteria and documentation requirements.</v>
      </c>
      <c r="F28" s="526"/>
      <c r="G28" s="526"/>
      <c r="H28" s="526"/>
      <c r="I28" s="384"/>
    </row>
    <row r="29" spans="1:13">
      <c r="A29" s="1005" t="str">
        <f>Calculation!$C$87</f>
        <v>The Green Star Technical Clarifications (TC) and Credit Interpretation Request (CIR) rulings provide an essential source of information to all</v>
      </c>
      <c r="F29" s="526"/>
      <c r="G29" s="526"/>
      <c r="H29" s="526"/>
      <c r="I29" s="384"/>
    </row>
    <row r="30" spans="1:13">
      <c r="A30" s="1005" t="str">
        <f>Calculation!$C$88</f>
        <v>projects undertaking Green Star assessment. They are available on the GBCSA website http://www.gbcsa.org.za . Technical Clarifications</v>
      </c>
      <c r="F30" s="526"/>
      <c r="G30" s="526"/>
      <c r="H30" s="526"/>
      <c r="I30" s="384"/>
    </row>
    <row r="31" spans="1:13">
      <c r="A31" s="1005" t="str">
        <f>Calculation!$C$89</f>
        <v xml:space="preserve">often represent the GBCSA answers to technical queries and complement Green Star SA Technical Manuals. They do not amend but clarify </v>
      </c>
    </row>
    <row r="32" spans="1:13">
      <c r="A32" s="1005" t="str">
        <f>Calculation!$C$90</f>
        <v xml:space="preserve">Credit Criteria or Compliance Requirements. They are an extension of the Technical Manual; it is the responsibility of the project teams to stay </v>
      </c>
    </row>
    <row r="33" spans="1:1">
      <c r="A33" s="1005" t="str">
        <f>Calculation!$C$91</f>
        <v xml:space="preserve">up-to-date with this section of the GBCSA website. The CIR rulings offer alternative compliance options whenever those have been deemed </v>
      </c>
    </row>
    <row r="34" spans="1:1">
      <c r="A34" s="1005" t="str">
        <f>Calculation!$C$92</f>
        <v>equivalent in meeting the Aim of Credit.</v>
      </c>
    </row>
    <row r="35" spans="1:1">
      <c r="A35" s="1005"/>
    </row>
  </sheetData>
  <sheetProtection password="AD9B" sheet="1" objects="1" scenarios="1"/>
  <mergeCells count="22">
    <mergeCell ref="B16:B22"/>
    <mergeCell ref="A16:A22"/>
    <mergeCell ref="J16:J22"/>
    <mergeCell ref="G11:G12"/>
    <mergeCell ref="H11:H12"/>
    <mergeCell ref="I11:I12"/>
    <mergeCell ref="F11:F12"/>
    <mergeCell ref="B11:B12"/>
    <mergeCell ref="A11:A12"/>
    <mergeCell ref="C16:C22"/>
    <mergeCell ref="J11:J12"/>
    <mergeCell ref="I16:I22"/>
    <mergeCell ref="E16:E22"/>
    <mergeCell ref="F16:F22"/>
    <mergeCell ref="H16:H22"/>
    <mergeCell ref="G16:G22"/>
    <mergeCell ref="A9:A10"/>
    <mergeCell ref="C9:C10"/>
    <mergeCell ref="E9:E10"/>
    <mergeCell ref="C11:C12"/>
    <mergeCell ref="I9:I10"/>
    <mergeCell ref="B9:B10"/>
  </mergeCells>
  <phoneticPr fontId="0"/>
  <printOptions horizontalCentered="1"/>
  <pageMargins left="0.59055118110236227" right="0.59055118110236227" top="0.47244094488188981" bottom="0.47244094488188981" header="0.23622047244094491" footer="0.35433070866141736"/>
  <pageSetup paperSize="9" scale="65" fitToHeight="4" orientation="landscape" blackAndWhite="1" r:id="rId1"/>
  <headerFooter alignWithMargins="0">
    <oddHeader>&amp;LGreen Building Council of South Africa&amp;R&amp;T   &amp;D</oddHeader>
    <oddFooter>&amp;L&amp;F&amp;CPage &amp;P of &amp;N&amp;RCategory: &amp;A</oddFooter>
  </headerFooter>
  <rowBreaks count="1" manualBreakCount="1">
    <brk id="8" max="8" man="1"/>
  </rowBreaks>
  <ignoredErrors>
    <ignoredError sqref="J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macro="[0]!GoToCreditSummary">
                <anchor moveWithCells="1" sizeWithCells="1">
                  <from>
                    <xdr:col>5</xdr:col>
                    <xdr:colOff>876300</xdr:colOff>
                    <xdr:row>24</xdr:row>
                    <xdr:rowOff>104775</xdr:rowOff>
                  </from>
                  <to>
                    <xdr:col>8</xdr:col>
                    <xdr:colOff>0</xdr:colOff>
                    <xdr:row>26</xdr:row>
                    <xdr:rowOff>57150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Z29"/>
  <sheetViews>
    <sheetView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D5" sqref="D5"/>
    </sheetView>
  </sheetViews>
  <sheetFormatPr defaultColWidth="7.875" defaultRowHeight="12.75"/>
  <cols>
    <col min="1" max="1" width="7.25" style="728" customWidth="1"/>
    <col min="2" max="2" width="15.125" style="728" customWidth="1"/>
    <col min="3" max="3" width="25.625" style="728" customWidth="1"/>
    <col min="4" max="4" width="64.875" style="728" customWidth="1"/>
    <col min="5" max="5" width="21.25" style="728" hidden="1" customWidth="1"/>
    <col min="6" max="8" width="12.625" style="734" customWidth="1"/>
    <col min="9" max="9" width="31" style="728" customWidth="1"/>
    <col min="10" max="10" width="10.875" style="728" customWidth="1"/>
    <col min="11" max="11" width="8.875" style="728" customWidth="1"/>
    <col min="12" max="12" width="8.875" style="728" hidden="1" customWidth="1"/>
    <col min="13" max="26" width="7.875" style="728" hidden="1" customWidth="1"/>
    <col min="27" max="49" width="7.875" style="728" customWidth="1"/>
    <col min="50" max="16384" width="7.875" style="728"/>
  </cols>
  <sheetData>
    <row r="1" spans="1:13" s="1134" customFormat="1" ht="24" customHeight="1" thickBot="1">
      <c r="A1" s="1133" t="str">
        <f>Calculation!N31</f>
        <v>Green Star SA - Office Design v1</v>
      </c>
      <c r="D1" s="1010"/>
      <c r="E1" s="1010"/>
      <c r="F1" s="439"/>
      <c r="G1" s="997" t="s">
        <v>483</v>
      </c>
      <c r="H1" s="998">
        <f>'Credit Summary'!J81</f>
        <v>7.0000000000000007E-2</v>
      </c>
      <c r="I1" s="999" t="s">
        <v>484</v>
      </c>
      <c r="J1" s="1000"/>
    </row>
    <row r="2" spans="1:13" s="434" customFormat="1" ht="30" customHeight="1" thickBot="1">
      <c r="A2" s="725" t="s">
        <v>390</v>
      </c>
      <c r="B2" s="384"/>
      <c r="C2" s="384"/>
      <c r="D2" s="996" t="s">
        <v>485</v>
      </c>
      <c r="E2" s="372"/>
      <c r="F2" s="1002">
        <f>F12</f>
        <v>9</v>
      </c>
      <c r="G2" s="1003">
        <f>G12</f>
        <v>0</v>
      </c>
      <c r="H2" s="1002">
        <f>H12</f>
        <v>0</v>
      </c>
      <c r="I2" s="1004">
        <f>'Credit Summary'!K81</f>
        <v>0</v>
      </c>
      <c r="J2" s="1000"/>
    </row>
    <row r="3" spans="1:13" s="434" customFormat="1" ht="19.5" customHeight="1" thickBot="1">
      <c r="A3" s="374" t="s">
        <v>1217</v>
      </c>
      <c r="B3" s="375"/>
      <c r="C3" s="376" t="str">
        <f>IF('Building Input'!$C$5=0,"",'Building Input'!$C$5)</f>
        <v/>
      </c>
      <c r="D3" s="372"/>
      <c r="E3" s="372"/>
      <c r="F3" s="439"/>
      <c r="G3" s="1132" t="str">
        <f>IF(OR((J3=Calculation!$D$97),(J3=Calculation!$D$98),((G2+H2)&gt;F2)),Calculation!$D$99,"")</f>
        <v/>
      </c>
      <c r="H3" s="439"/>
      <c r="I3" s="1001"/>
      <c r="J3" s="1008" t="str">
        <f>T(J5:J11)</f>
        <v/>
      </c>
    </row>
    <row r="4" spans="1:13" ht="33" customHeight="1" thickBot="1">
      <c r="A4" s="442" t="s">
        <v>1219</v>
      </c>
      <c r="B4" s="443" t="s">
        <v>1220</v>
      </c>
      <c r="C4" s="443" t="s">
        <v>1221</v>
      </c>
      <c r="D4" s="443" t="s">
        <v>489</v>
      </c>
      <c r="E4" s="443" t="s">
        <v>64</v>
      </c>
      <c r="F4" s="444" t="s">
        <v>490</v>
      </c>
      <c r="G4" s="444" t="s">
        <v>518</v>
      </c>
      <c r="H4" s="444" t="s">
        <v>519</v>
      </c>
      <c r="I4" s="445" t="s">
        <v>520</v>
      </c>
      <c r="J4" s="727"/>
      <c r="K4" s="727"/>
      <c r="L4" s="727"/>
    </row>
    <row r="5" spans="1:13" ht="174" customHeight="1">
      <c r="A5" s="2694" t="s">
        <v>1498</v>
      </c>
      <c r="B5" s="2692" t="s">
        <v>680</v>
      </c>
      <c r="C5" s="2692" t="s">
        <v>1345</v>
      </c>
      <c r="D5" s="991" t="s">
        <v>1361</v>
      </c>
      <c r="E5" s="990"/>
      <c r="F5" s="2701" t="s">
        <v>3</v>
      </c>
      <c r="G5" s="2696"/>
      <c r="H5" s="2696" t="str">
        <f>IF(Q19="No",N24,N23)</f>
        <v>Eco- Conditional Requirement NOT met</v>
      </c>
      <c r="I5" s="2698" t="str">
        <f>IF(Q19=N21,N27,N26)</f>
        <v>The project team acknowledges that the design does NOT meet the conditional requirements as stipulated in the Green Star SA Office v1 Technical Manual. This Green Star SA project is therefore NOT eligible for formal certification by the GBCSA. Please refer to the Technical Manual for further information.</v>
      </c>
      <c r="J5" s="2691"/>
      <c r="K5" s="729"/>
      <c r="L5" s="730"/>
      <c r="M5" s="731"/>
    </row>
    <row r="6" spans="1:13" ht="149.25" customHeight="1">
      <c r="A6" s="2694"/>
      <c r="B6" s="2692"/>
      <c r="C6" s="2692"/>
      <c r="D6" s="991" t="s">
        <v>481</v>
      </c>
      <c r="E6" s="990"/>
      <c r="F6" s="2701"/>
      <c r="G6" s="2696"/>
      <c r="H6" s="2696"/>
      <c r="I6" s="2699"/>
      <c r="J6" s="2691"/>
      <c r="K6" s="729"/>
      <c r="L6" s="730"/>
      <c r="M6" s="731"/>
    </row>
    <row r="7" spans="1:13" ht="113.25" customHeight="1">
      <c r="A7" s="2695"/>
      <c r="B7" s="2693"/>
      <c r="C7" s="2693"/>
      <c r="D7" s="992" t="s">
        <v>482</v>
      </c>
      <c r="E7" s="990"/>
      <c r="F7" s="2702"/>
      <c r="G7" s="2697"/>
      <c r="H7" s="2697"/>
      <c r="I7" s="2700"/>
      <c r="J7" s="2691"/>
      <c r="K7" s="729"/>
      <c r="L7" s="730"/>
      <c r="M7" s="731"/>
    </row>
    <row r="8" spans="1:13" ht="190.5" customHeight="1">
      <c r="A8" s="263" t="s">
        <v>1499</v>
      </c>
      <c r="B8" s="257" t="s">
        <v>878</v>
      </c>
      <c r="C8" s="257" t="s">
        <v>218</v>
      </c>
      <c r="D8" s="257" t="s">
        <v>1346</v>
      </c>
      <c r="E8" s="264"/>
      <c r="F8" s="265">
        <f>IF(G8="na",0,1)</f>
        <v>1</v>
      </c>
      <c r="G8" s="237"/>
      <c r="H8" s="237"/>
      <c r="I8" s="440"/>
      <c r="J8" s="1009" t="str">
        <f>IF(ISBLANK(G8),IF(H8&gt;F8,Calculation!$D$97,""),IF(G8="na","",IF(OR(G8="na",ISNUMBER(G8)),IF(G8+H8&gt;F8,Calculation!$D$97,""),Calculation!$D$98)))</f>
        <v/>
      </c>
      <c r="K8" s="729"/>
      <c r="L8" s="730"/>
      <c r="M8" s="731"/>
    </row>
    <row r="9" spans="1:13" ht="125.25" customHeight="1">
      <c r="A9" s="241" t="s">
        <v>1500</v>
      </c>
      <c r="B9" s="255" t="s">
        <v>879</v>
      </c>
      <c r="C9" s="255" t="s">
        <v>267</v>
      </c>
      <c r="D9" s="255" t="s">
        <v>978</v>
      </c>
      <c r="E9" s="231"/>
      <c r="F9" s="242">
        <v>2</v>
      </c>
      <c r="G9" s="228"/>
      <c r="H9" s="228"/>
      <c r="I9" s="441"/>
      <c r="J9" s="1009" t="str">
        <f>IF(OR(ISTEXT(G9)=TRUE,ISTEXT(H9)=TRUE),Calculation!$D$100,IF(G9+H9&gt;F9,Calculation!$D$97,""))</f>
        <v/>
      </c>
      <c r="K9" s="729"/>
      <c r="L9" s="730"/>
      <c r="M9" s="731"/>
    </row>
    <row r="10" spans="1:13" ht="114" customHeight="1">
      <c r="A10" s="241" t="s">
        <v>1501</v>
      </c>
      <c r="B10" s="255" t="s">
        <v>181</v>
      </c>
      <c r="C10" s="255" t="s">
        <v>219</v>
      </c>
      <c r="D10" s="255" t="s">
        <v>226</v>
      </c>
      <c r="E10" s="231"/>
      <c r="F10" s="242">
        <f>IF(G10="na",0,2)</f>
        <v>2</v>
      </c>
      <c r="G10" s="228"/>
      <c r="H10" s="228"/>
      <c r="I10" s="441"/>
      <c r="J10" s="1009" t="str">
        <f>IF(ISBLANK(G10),IF(H10&gt;F10,Calculation!$D$97,""),IF(G10="na","",IF(OR(G10="na",ISNUMBER(G10)),IF(G10+H10&gt;F10,Calculation!$D$97,""),Calculation!$D$98)))</f>
        <v/>
      </c>
      <c r="K10" s="729"/>
      <c r="L10" s="730"/>
      <c r="M10" s="731"/>
    </row>
    <row r="11" spans="1:13" ht="205.5" customHeight="1" thickBot="1">
      <c r="A11" s="247" t="s">
        <v>1502</v>
      </c>
      <c r="B11" s="256" t="s">
        <v>1032</v>
      </c>
      <c r="C11" s="256" t="s">
        <v>59</v>
      </c>
      <c r="D11" s="256" t="s">
        <v>227</v>
      </c>
      <c r="E11" s="235"/>
      <c r="F11" s="246">
        <v>4</v>
      </c>
      <c r="G11" s="276">
        <f>'Ecology Calculator'!F40</f>
        <v>0</v>
      </c>
      <c r="H11" s="236"/>
      <c r="I11" s="453"/>
      <c r="J11" s="1009" t="str">
        <f>IF(OR(ISTEXT(G11)=TRUE,ISTEXT(H11)=TRUE),Calculation!$D$100,IF(G11+H11&gt;F11,Calculation!$D$97,""))</f>
        <v/>
      </c>
      <c r="K11" s="727"/>
      <c r="L11" s="727"/>
    </row>
    <row r="12" spans="1:13" ht="18.75" thickBot="1">
      <c r="A12" s="532"/>
      <c r="B12" s="533"/>
      <c r="C12" s="533"/>
      <c r="D12" s="388" t="s">
        <v>729</v>
      </c>
      <c r="E12" s="735" t="s">
        <v>88</v>
      </c>
      <c r="F12" s="390">
        <f>SUM(F8:F11)</f>
        <v>9</v>
      </c>
      <c r="G12" s="390">
        <f>SUM(G8:G11)</f>
        <v>0</v>
      </c>
      <c r="H12" s="390">
        <f>SUM(H8:H11)</f>
        <v>0</v>
      </c>
      <c r="I12" s="535"/>
      <c r="J12" s="732"/>
      <c r="K12" s="727"/>
      <c r="L12" s="727"/>
    </row>
    <row r="13" spans="1:13">
      <c r="A13" s="372"/>
      <c r="F13" s="733"/>
      <c r="G13" s="733"/>
      <c r="H13" s="733"/>
      <c r="I13" s="372"/>
    </row>
    <row r="14" spans="1:13">
      <c r="A14" s="372"/>
      <c r="F14" s="733"/>
      <c r="G14" s="733"/>
      <c r="H14" s="733"/>
      <c r="I14" s="372"/>
    </row>
    <row r="15" spans="1:13">
      <c r="A15" s="372"/>
      <c r="F15" s="733"/>
      <c r="G15" s="733"/>
      <c r="H15" s="733"/>
      <c r="I15" s="372"/>
    </row>
    <row r="16" spans="1:13">
      <c r="A16" s="1005" t="str">
        <f>Calculation!$C$86</f>
        <v>Project Teams are to refer to the Green Star SA Office v1 Technical Manual for explicit credit criteria and documentation requirements.</v>
      </c>
      <c r="F16" s="733"/>
      <c r="G16" s="733"/>
      <c r="H16" s="733"/>
      <c r="I16" s="372"/>
    </row>
    <row r="17" spans="1:18">
      <c r="A17" s="1005" t="str">
        <f>Calculation!$C$87</f>
        <v>The Green Star Technical Clarifications (TC) and Credit Interpretation Request (CIR) rulings provide an essential source of information to all</v>
      </c>
      <c r="F17" s="733"/>
      <c r="G17" s="733"/>
      <c r="H17" s="733"/>
      <c r="I17" s="727"/>
    </row>
    <row r="18" spans="1:18" ht="13.5" thickBot="1">
      <c r="A18" s="1005" t="str">
        <f>Calculation!$C$88</f>
        <v>projects undertaking Green Star assessment. They are available on the GBCSA website http://www.gbcsa.org.za . Technical Clarifications</v>
      </c>
      <c r="F18" s="733"/>
      <c r="G18" s="733"/>
      <c r="H18" s="733"/>
      <c r="I18" s="727"/>
      <c r="M18" s="1824"/>
      <c r="N18" s="1824"/>
      <c r="O18" s="1824"/>
      <c r="P18" s="1824"/>
      <c r="Q18" s="1824"/>
      <c r="R18" s="1962"/>
    </row>
    <row r="19" spans="1:18" ht="13.5" thickBot="1">
      <c r="A19" s="1005" t="str">
        <f>Calculation!$C$89</f>
        <v xml:space="preserve">often represent the GBCSA answers to technical queries and complement Green Star SA Technical Manuals. They do not amend but clarify </v>
      </c>
      <c r="M19" s="1824"/>
      <c r="N19" s="1824" t="s">
        <v>32</v>
      </c>
      <c r="O19" s="1824"/>
      <c r="P19" s="1824" t="s">
        <v>314</v>
      </c>
      <c r="Q19" s="1836" t="s">
        <v>265</v>
      </c>
      <c r="R19" s="1962"/>
    </row>
    <row r="20" spans="1:18">
      <c r="A20" s="1005" t="str">
        <f>Calculation!$C$90</f>
        <v xml:space="preserve">Credit Criteria or Compliance Requirements. They are an extension of the Technical Manual; it is the responsibility of the project teams to stay </v>
      </c>
      <c r="M20" s="1824"/>
      <c r="N20" s="1824" t="s">
        <v>65</v>
      </c>
      <c r="O20" s="1824"/>
      <c r="P20" s="1824"/>
      <c r="Q20" s="1824"/>
      <c r="R20" s="1962"/>
    </row>
    <row r="21" spans="1:18">
      <c r="A21" s="1005" t="str">
        <f>Calculation!$C$91</f>
        <v xml:space="preserve">up-to-date with this section of the GBCSA website. The CIR rulings offer alternative compliance options whenever those have been deemed </v>
      </c>
      <c r="M21" s="1824"/>
      <c r="N21" s="1824" t="s">
        <v>265</v>
      </c>
      <c r="O21" s="1824"/>
      <c r="P21" s="1824"/>
      <c r="Q21" s="1824"/>
      <c r="R21" s="1962"/>
    </row>
    <row r="22" spans="1:18">
      <c r="A22" s="1005" t="str">
        <f>Calculation!$C$92</f>
        <v>equivalent in meeting the Aim of Credit.</v>
      </c>
      <c r="M22" s="1824"/>
      <c r="N22" s="1824"/>
      <c r="O22" s="1824"/>
      <c r="P22" s="1824"/>
      <c r="Q22" s="1824"/>
      <c r="R22" s="1962"/>
    </row>
    <row r="23" spans="1:18">
      <c r="A23" s="1005"/>
      <c r="M23" s="1824"/>
      <c r="N23" s="1831" t="s">
        <v>315</v>
      </c>
      <c r="O23" s="1824"/>
      <c r="P23" s="1824"/>
      <c r="Q23" s="1824"/>
      <c r="R23" s="1962"/>
    </row>
    <row r="24" spans="1:18">
      <c r="M24" s="1824"/>
      <c r="N24" s="1827" t="s">
        <v>316</v>
      </c>
      <c r="O24" s="1824"/>
      <c r="P24" s="1824"/>
      <c r="Q24" s="1824"/>
      <c r="R24" s="1962"/>
    </row>
    <row r="25" spans="1:18">
      <c r="M25" s="1824"/>
      <c r="N25" s="1824"/>
      <c r="O25" s="1824"/>
      <c r="P25" s="1824"/>
      <c r="Q25" s="1824"/>
      <c r="R25" s="1962"/>
    </row>
    <row r="26" spans="1:18">
      <c r="M26" s="1824"/>
      <c r="N26" s="1827" t="s">
        <v>1760</v>
      </c>
      <c r="O26" s="1824"/>
      <c r="P26" s="1824"/>
      <c r="Q26" s="1824"/>
      <c r="R26" s="1962"/>
    </row>
    <row r="27" spans="1:18">
      <c r="M27" s="1824"/>
      <c r="N27" s="1827" t="s">
        <v>1761</v>
      </c>
      <c r="O27" s="1824"/>
      <c r="P27" s="1824"/>
      <c r="Q27" s="1824"/>
      <c r="R27" s="1962"/>
    </row>
    <row r="28" spans="1:18">
      <c r="M28" s="1824"/>
      <c r="N28" s="1824"/>
      <c r="O28" s="1824"/>
      <c r="P28" s="1824"/>
      <c r="Q28" s="1824"/>
      <c r="R28" s="1962"/>
    </row>
    <row r="29" spans="1:18">
      <c r="M29" s="1824"/>
      <c r="N29" s="1824"/>
      <c r="O29" s="1824"/>
      <c r="P29" s="1824"/>
      <c r="Q29" s="1824"/>
      <c r="R29" s="1962"/>
    </row>
  </sheetData>
  <sheetProtection password="AD9B" sheet="1" objects="1" scenarios="1"/>
  <mergeCells count="8">
    <mergeCell ref="J5:J7"/>
    <mergeCell ref="C5:C7"/>
    <mergeCell ref="B5:B7"/>
    <mergeCell ref="A5:A7"/>
    <mergeCell ref="G5:G7"/>
    <mergeCell ref="H5:H7"/>
    <mergeCell ref="I5:I7"/>
    <mergeCell ref="F5:F7"/>
  </mergeCells>
  <phoneticPr fontId="0"/>
  <conditionalFormatting sqref="H5:H7">
    <cfRule type="cellIs" dxfId="2" priority="1" stopIfTrue="1" operator="equal">
      <formula>N24</formula>
    </cfRule>
  </conditionalFormatting>
  <printOptions horizontalCentered="1"/>
  <pageMargins left="0.59055118110236227" right="0.59055118110236227" top="0.47244094488188981" bottom="0.47244094488188981" header="0.23622047244094491" footer="0.35433070866141736"/>
  <pageSetup paperSize="9" scale="65" fitToHeight="2" orientation="landscape" blackAndWhite="1" horizontalDpi="300" verticalDpi="300" r:id="rId1"/>
  <headerFooter alignWithMargins="0">
    <oddHeader>&amp;LGreen Building Council of South Africa&amp;R&amp;T   &amp;D</oddHeader>
    <oddFooter>&amp;L&amp;F&amp;CPage &amp;P of &amp;N&amp;RCategory: &amp;A</oddFooter>
  </headerFooter>
  <ignoredErrors>
    <ignoredError sqref="J9:J10" formula="1"/>
  </ignoredErrors>
  <drawing r:id="rId2"/>
  <legacyDrawing r:id="rId3"/>
  <controls>
    <mc:AlternateContent xmlns:mc="http://schemas.openxmlformats.org/markup-compatibility/2006">
      <mc:Choice Requires="x14">
        <control shapeId="43018" r:id="rId4" name="ComboBox1">
          <controlPr defaultSize="0" autoLine="0" linkedCell="Q19" listFillRange="N20:N21" r:id="rId5">
            <anchor moveWithCells="1">
              <from>
                <xdr:col>6</xdr:col>
                <xdr:colOff>85725</xdr:colOff>
                <xdr:row>5</xdr:row>
                <xdr:rowOff>390525</xdr:rowOff>
              </from>
              <to>
                <xdr:col>6</xdr:col>
                <xdr:colOff>885825</xdr:colOff>
                <xdr:row>5</xdr:row>
                <xdr:rowOff>695325</xdr:rowOff>
              </to>
            </anchor>
          </controlPr>
        </control>
      </mc:Choice>
      <mc:Fallback>
        <control shapeId="43018" r:id="rId4" name="ComboBox1"/>
      </mc:Fallback>
    </mc:AlternateContent>
    <mc:AlternateContent xmlns:mc="http://schemas.openxmlformats.org/markup-compatibility/2006">
      <mc:Choice Requires="x14">
        <control shapeId="43009" r:id="rId6" name="Button 1">
          <controlPr defaultSize="0" print="0" autoFill="0" autoPict="0" macro="[0]!GoToCreditSummary">
            <anchor moveWithCells="1" sizeWithCells="1">
              <from>
                <xdr:col>6</xdr:col>
                <xdr:colOff>0</xdr:colOff>
                <xdr:row>12</xdr:row>
                <xdr:rowOff>104775</xdr:rowOff>
              </from>
              <to>
                <xdr:col>8</xdr:col>
                <xdr:colOff>9525</xdr:colOff>
                <xdr:row>14</xdr:row>
                <xdr:rowOff>57150</xdr:rowOff>
              </to>
            </anchor>
          </controlPr>
        </control>
      </mc:Choice>
    </mc:AlternateContent>
    <mc:AlternateContent xmlns:mc="http://schemas.openxmlformats.org/markup-compatibility/2006">
      <mc:Choice Requires="x14">
        <control shapeId="43014" r:id="rId7" name="Button 6">
          <controlPr defaultSize="0" print="0" autoFill="0" autoPict="0" macro="[0]!GoToEcologyCalc">
            <anchor moveWithCells="1" sizeWithCells="1">
              <from>
                <xdr:col>3</xdr:col>
                <xdr:colOff>342900</xdr:colOff>
                <xdr:row>10</xdr:row>
                <xdr:rowOff>2152650</xdr:rowOff>
              </from>
              <to>
                <xdr:col>3</xdr:col>
                <xdr:colOff>4400550</xdr:colOff>
                <xdr:row>10</xdr:row>
                <xdr:rowOff>2524125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G107"/>
  <sheetViews>
    <sheetView zoomScaleNormal="100" zoomScaleSheetLayoutView="100" workbookViewId="0"/>
  </sheetViews>
  <sheetFormatPr defaultColWidth="7.875" defaultRowHeight="12.75"/>
  <cols>
    <col min="1" max="1" width="3.375" style="1059" customWidth="1"/>
    <col min="2" max="2" width="103" style="1059" customWidth="1"/>
    <col min="3" max="16384" width="7.875" style="1059"/>
  </cols>
  <sheetData>
    <row r="1" spans="1:7" ht="44.25" customHeight="1"/>
    <row r="3" spans="1:7">
      <c r="B3" s="1060" t="s">
        <v>512</v>
      </c>
      <c r="C3" s="1060"/>
      <c r="E3" s="1060"/>
      <c r="G3" s="1060"/>
    </row>
    <row r="4" spans="1:7" ht="6.75" customHeight="1"/>
    <row r="5" spans="1:7" ht="8.25" customHeight="1">
      <c r="A5" s="1061"/>
      <c r="B5" s="1061"/>
    </row>
    <row r="6" spans="1:7" ht="6.75" customHeight="1"/>
    <row r="7" spans="1:7" ht="54.75" customHeight="1">
      <c r="A7" s="1062"/>
      <c r="B7" s="1063" t="s">
        <v>709</v>
      </c>
    </row>
    <row r="9" spans="1:7" ht="12.75" customHeight="1"/>
    <row r="10" spans="1:7" ht="12.75" customHeight="1">
      <c r="A10" s="1060"/>
      <c r="C10" s="1060"/>
      <c r="E10" s="1060"/>
      <c r="G10" s="1060"/>
    </row>
    <row r="11" spans="1:7" ht="15" customHeight="1">
      <c r="B11" s="1087" t="s">
        <v>1216</v>
      </c>
    </row>
    <row r="12" spans="1:7" ht="15" customHeight="1"/>
    <row r="13" spans="1:7" ht="21" customHeight="1">
      <c r="B13" s="1087" t="s">
        <v>1589</v>
      </c>
    </row>
    <row r="14" spans="1:7" ht="11.25" customHeight="1"/>
    <row r="15" spans="1:7" ht="26.25" customHeight="1">
      <c r="B15" s="1087" t="s">
        <v>1590</v>
      </c>
    </row>
    <row r="16" spans="1:7" ht="7.5" customHeight="1"/>
    <row r="17" spans="1:7" ht="15" customHeight="1">
      <c r="B17" s="1087" t="s">
        <v>216</v>
      </c>
    </row>
    <row r="18" spans="1:7" ht="15" customHeight="1"/>
    <row r="19" spans="1:7" ht="15" customHeight="1">
      <c r="B19" s="1087" t="s">
        <v>638</v>
      </c>
    </row>
    <row r="20" spans="1:7" ht="12.75" customHeight="1"/>
    <row r="21" spans="1:7" ht="15.75">
      <c r="B21" s="1087"/>
    </row>
    <row r="22" spans="1:7" ht="12.75" customHeight="1"/>
    <row r="23" spans="1:7" ht="8.25" customHeight="1">
      <c r="A23" s="1061"/>
      <c r="B23" s="1061"/>
    </row>
    <row r="24" spans="1:7" ht="12.75" customHeight="1"/>
    <row r="25" spans="1:7" ht="24" customHeight="1">
      <c r="A25" s="1079"/>
      <c r="B25" s="1088" t="s">
        <v>1216</v>
      </c>
      <c r="C25" s="1079"/>
      <c r="D25" s="1079"/>
      <c r="E25" s="1079"/>
      <c r="F25" s="1079"/>
      <c r="G25" s="1079"/>
    </row>
    <row r="26" spans="1:7" ht="38.25">
      <c r="A26" s="1079"/>
      <c r="B26" s="1079" t="s">
        <v>369</v>
      </c>
      <c r="C26" s="1079"/>
      <c r="D26" s="1079"/>
      <c r="E26" s="1079"/>
      <c r="F26" s="1079"/>
      <c r="G26" s="1079"/>
    </row>
    <row r="27" spans="1:7">
      <c r="A27" s="1079"/>
      <c r="B27" s="1079"/>
      <c r="C27" s="1079"/>
      <c r="D27" s="1079"/>
      <c r="E27" s="1079"/>
      <c r="F27" s="1079"/>
      <c r="G27" s="1079"/>
    </row>
    <row r="28" spans="1:7" ht="27" customHeight="1">
      <c r="A28" s="1079"/>
      <c r="B28" s="1079" t="s">
        <v>824</v>
      </c>
      <c r="C28" s="1079"/>
      <c r="D28" s="1079"/>
      <c r="E28" s="1079"/>
      <c r="F28" s="1079"/>
      <c r="G28" s="1079"/>
    </row>
    <row r="29" spans="1:7" ht="51">
      <c r="A29" s="1079"/>
      <c r="B29" s="1089" t="s">
        <v>825</v>
      </c>
      <c r="C29" s="1079"/>
      <c r="D29" s="1079"/>
      <c r="E29" s="1079"/>
      <c r="F29" s="1079"/>
      <c r="G29" s="1079"/>
    </row>
    <row r="30" spans="1:7">
      <c r="A30" s="1079"/>
      <c r="B30" s="1079"/>
      <c r="C30" s="1079"/>
      <c r="D30" s="1079"/>
      <c r="E30" s="1079"/>
      <c r="F30" s="1079"/>
      <c r="G30" s="1079"/>
    </row>
    <row r="31" spans="1:7">
      <c r="A31" s="1079"/>
      <c r="B31" s="1079" t="s">
        <v>1605</v>
      </c>
      <c r="C31" s="1079"/>
      <c r="D31" s="1079"/>
      <c r="E31" s="1079"/>
      <c r="F31" s="1079"/>
      <c r="G31" s="1079"/>
    </row>
    <row r="32" spans="1:7">
      <c r="A32" s="1079"/>
      <c r="B32" s="1079"/>
      <c r="C32" s="1079"/>
      <c r="D32" s="1079"/>
      <c r="E32" s="1079"/>
      <c r="F32" s="1079"/>
      <c r="G32" s="1079"/>
    </row>
    <row r="33" spans="1:7">
      <c r="A33" s="1079"/>
      <c r="B33" s="1079" t="s">
        <v>365</v>
      </c>
      <c r="C33" s="1079"/>
      <c r="D33" s="1079"/>
      <c r="E33" s="1079"/>
      <c r="F33" s="1079"/>
      <c r="G33" s="1079"/>
    </row>
    <row r="34" spans="1:7">
      <c r="A34" s="1079"/>
      <c r="B34" s="1079" t="s">
        <v>741</v>
      </c>
      <c r="C34" s="1079"/>
      <c r="D34" s="1079"/>
      <c r="E34" s="1079"/>
      <c r="F34" s="1079"/>
      <c r="G34" s="1079"/>
    </row>
    <row r="35" spans="1:7">
      <c r="A35" s="1079"/>
      <c r="B35" s="1079" t="s">
        <v>1518</v>
      </c>
      <c r="C35" s="1079"/>
      <c r="D35" s="1079"/>
      <c r="E35" s="1079"/>
      <c r="F35" s="1079"/>
      <c r="G35" s="1079"/>
    </row>
    <row r="36" spans="1:7">
      <c r="A36" s="1079"/>
      <c r="B36" s="1079" t="s">
        <v>643</v>
      </c>
      <c r="C36" s="1079"/>
      <c r="D36" s="1079"/>
      <c r="E36" s="1079"/>
      <c r="F36" s="1079"/>
      <c r="G36" s="1079"/>
    </row>
    <row r="37" spans="1:7">
      <c r="A37" s="1079"/>
      <c r="B37" s="1079" t="s">
        <v>364</v>
      </c>
      <c r="C37" s="1079"/>
      <c r="D37" s="1079"/>
      <c r="E37" s="1079"/>
      <c r="F37" s="1079"/>
      <c r="G37" s="1079"/>
    </row>
    <row r="38" spans="1:7">
      <c r="A38" s="1079"/>
      <c r="B38" s="1079"/>
      <c r="C38" s="1079"/>
      <c r="D38" s="1079"/>
      <c r="E38" s="1079"/>
      <c r="F38" s="1079"/>
      <c r="G38" s="1079"/>
    </row>
    <row r="39" spans="1:7" ht="8.25" customHeight="1">
      <c r="A39" s="1090"/>
      <c r="B39" s="1090"/>
      <c r="C39" s="1079"/>
      <c r="D39" s="1079"/>
      <c r="E39" s="1079"/>
      <c r="F39" s="1079"/>
      <c r="G39" s="1079"/>
    </row>
    <row r="40" spans="1:7">
      <c r="A40" s="1079"/>
      <c r="B40" s="1079"/>
      <c r="C40" s="1079"/>
      <c r="D40" s="1079"/>
      <c r="E40" s="1079"/>
      <c r="F40" s="1079"/>
      <c r="G40" s="1079"/>
    </row>
    <row r="41" spans="1:7" ht="15.75">
      <c r="A41" s="1079"/>
      <c r="B41" s="1088" t="s">
        <v>1591</v>
      </c>
      <c r="C41" s="1079"/>
      <c r="D41" s="1079"/>
      <c r="E41" s="1079"/>
      <c r="F41" s="1079"/>
      <c r="G41" s="1079"/>
    </row>
    <row r="42" spans="1:7">
      <c r="A42" s="1079"/>
      <c r="B42" s="1079"/>
      <c r="C42" s="1079"/>
      <c r="D42" s="1079"/>
      <c r="E42" s="1079"/>
      <c r="F42" s="1079"/>
      <c r="G42" s="1079"/>
    </row>
    <row r="43" spans="1:7" ht="25.5">
      <c r="A43" s="1079"/>
      <c r="B43" s="1089" t="s">
        <v>1588</v>
      </c>
      <c r="C43" s="1079"/>
      <c r="D43" s="1079"/>
      <c r="E43" s="1079"/>
      <c r="F43" s="1079"/>
      <c r="G43" s="1079"/>
    </row>
    <row r="44" spans="1:7">
      <c r="A44" s="1079"/>
      <c r="B44" s="1089"/>
      <c r="C44" s="1079"/>
      <c r="D44" s="1079"/>
      <c r="E44" s="1079"/>
      <c r="F44" s="1079"/>
      <c r="G44" s="1079"/>
    </row>
    <row r="45" spans="1:7" ht="8.25" customHeight="1">
      <c r="A45" s="1090"/>
      <c r="B45" s="1091"/>
      <c r="C45" s="1079"/>
      <c r="D45" s="1079"/>
      <c r="E45" s="1079"/>
      <c r="F45" s="1079"/>
      <c r="G45" s="1079"/>
    </row>
    <row r="46" spans="1:7">
      <c r="A46" s="1079"/>
      <c r="B46" s="1089"/>
      <c r="C46" s="1079"/>
      <c r="D46" s="1079"/>
      <c r="E46" s="1079"/>
      <c r="F46" s="1079"/>
      <c r="G46" s="1079"/>
    </row>
    <row r="47" spans="1:7" ht="24" customHeight="1">
      <c r="A47" s="1079"/>
      <c r="B47" s="1088" t="s">
        <v>1590</v>
      </c>
      <c r="C47" s="1079"/>
      <c r="D47" s="1079"/>
      <c r="E47" s="1079"/>
      <c r="F47" s="1079"/>
      <c r="G47" s="1079"/>
    </row>
    <row r="48" spans="1:7" ht="38.25">
      <c r="A48" s="1079"/>
      <c r="B48" s="1079" t="s">
        <v>1378</v>
      </c>
      <c r="C48" s="1079"/>
      <c r="D48" s="1079"/>
      <c r="E48" s="1079"/>
      <c r="F48" s="1079"/>
      <c r="G48" s="1079"/>
    </row>
    <row r="49" spans="1:7">
      <c r="A49" s="1079"/>
      <c r="B49" s="1079"/>
      <c r="C49" s="1079"/>
      <c r="D49" s="1079"/>
      <c r="E49" s="1079"/>
      <c r="F49" s="1079"/>
      <c r="G49" s="1079"/>
    </row>
    <row r="50" spans="1:7" ht="51">
      <c r="A50" s="1079"/>
      <c r="B50" s="1092" t="s">
        <v>1598</v>
      </c>
      <c r="C50" s="1079"/>
      <c r="D50" s="1079"/>
      <c r="E50" s="1079"/>
      <c r="F50" s="1079"/>
      <c r="G50" s="1079"/>
    </row>
    <row r="51" spans="1:7">
      <c r="A51" s="1079"/>
      <c r="B51" s="1093"/>
      <c r="C51" s="1079"/>
      <c r="D51" s="1079"/>
      <c r="E51" s="1079"/>
      <c r="F51" s="1079"/>
      <c r="G51" s="1079"/>
    </row>
    <row r="52" spans="1:7" ht="8.25" customHeight="1">
      <c r="A52" s="1090"/>
      <c r="B52" s="1094"/>
      <c r="C52" s="1079"/>
      <c r="D52" s="1079"/>
      <c r="E52" s="1079"/>
      <c r="F52" s="1079"/>
      <c r="G52" s="1079"/>
    </row>
    <row r="53" spans="1:7">
      <c r="A53" s="1079"/>
      <c r="B53" s="1093"/>
      <c r="C53" s="1079"/>
      <c r="D53" s="1079"/>
      <c r="E53" s="1079"/>
      <c r="F53" s="1079"/>
      <c r="G53" s="1079"/>
    </row>
    <row r="54" spans="1:7" s="1097" customFormat="1" ht="24" customHeight="1">
      <c r="A54" s="1081"/>
      <c r="B54" s="1095" t="s">
        <v>216</v>
      </c>
      <c r="C54" s="1096"/>
      <c r="D54" s="1096"/>
      <c r="E54" s="1096"/>
      <c r="F54" s="1096"/>
      <c r="G54" s="1096"/>
    </row>
    <row r="55" spans="1:7" ht="38.25">
      <c r="A55" s="1079"/>
      <c r="B55" s="1098" t="s">
        <v>1437</v>
      </c>
      <c r="C55" s="1098"/>
      <c r="D55" s="1098"/>
      <c r="E55" s="1098"/>
      <c r="F55" s="1098"/>
      <c r="G55" s="1098"/>
    </row>
    <row r="56" spans="1:7">
      <c r="A56" s="1079"/>
      <c r="B56" s="1098" t="s">
        <v>1404</v>
      </c>
      <c r="C56" s="1079"/>
      <c r="D56" s="1079"/>
      <c r="E56" s="1079"/>
      <c r="F56" s="1079"/>
      <c r="G56" s="1079"/>
    </row>
    <row r="57" spans="1:7">
      <c r="A57" s="1079"/>
      <c r="B57" s="1098" t="s">
        <v>217</v>
      </c>
      <c r="C57" s="1079"/>
      <c r="D57" s="1079"/>
      <c r="E57" s="1079"/>
      <c r="F57" s="1079"/>
      <c r="G57" s="1079"/>
    </row>
    <row r="58" spans="1:7">
      <c r="A58" s="1079"/>
      <c r="B58" s="1098" t="s">
        <v>1303</v>
      </c>
      <c r="C58" s="1079"/>
      <c r="D58" s="1079"/>
      <c r="E58" s="1079"/>
      <c r="F58" s="1079"/>
      <c r="G58" s="1079"/>
    </row>
    <row r="59" spans="1:7" ht="14.25">
      <c r="A59" s="1098"/>
      <c r="B59" s="1099"/>
      <c r="C59" s="1079"/>
      <c r="D59" s="1079"/>
      <c r="E59" s="1079"/>
      <c r="F59" s="1079"/>
      <c r="G59" s="1079"/>
    </row>
    <row r="60" spans="1:7" ht="25.5">
      <c r="A60" s="1098"/>
      <c r="B60" s="1098" t="s">
        <v>466</v>
      </c>
      <c r="C60" s="1079"/>
      <c r="D60" s="1079"/>
      <c r="E60" s="1079"/>
      <c r="F60" s="1079"/>
      <c r="G60" s="1079"/>
    </row>
    <row r="61" spans="1:7" ht="14.25">
      <c r="A61" s="1098"/>
      <c r="B61" s="1099"/>
      <c r="C61" s="1079"/>
      <c r="D61" s="1079"/>
      <c r="E61" s="1079"/>
      <c r="F61" s="1079"/>
      <c r="G61" s="1079"/>
    </row>
    <row r="62" spans="1:7" ht="25.5">
      <c r="A62" s="1098"/>
      <c r="B62" s="1100" t="s">
        <v>222</v>
      </c>
      <c r="C62" s="1079"/>
      <c r="D62" s="1079"/>
      <c r="E62" s="1079"/>
      <c r="F62" s="1079"/>
      <c r="G62" s="1079"/>
    </row>
    <row r="63" spans="1:7">
      <c r="A63" s="1098"/>
      <c r="B63" s="1101"/>
      <c r="C63" s="1079"/>
      <c r="D63" s="1079"/>
      <c r="E63" s="1079"/>
      <c r="F63" s="1079"/>
      <c r="G63" s="1079"/>
    </row>
    <row r="64" spans="1:7" ht="14.25">
      <c r="A64" s="1098"/>
      <c r="B64" s="1099"/>
      <c r="C64" s="1079"/>
      <c r="D64" s="1079"/>
      <c r="E64" s="1079"/>
      <c r="F64" s="1079"/>
      <c r="G64" s="1079"/>
    </row>
    <row r="65" spans="1:7" ht="8.25" customHeight="1">
      <c r="A65" s="1102"/>
      <c r="B65" s="1103"/>
      <c r="C65" s="1079"/>
      <c r="D65" s="1079"/>
      <c r="E65" s="1079"/>
      <c r="F65" s="1079"/>
      <c r="G65" s="1079"/>
    </row>
    <row r="66" spans="1:7" ht="14.25">
      <c r="A66" s="1098"/>
      <c r="B66" s="1099"/>
      <c r="C66" s="1079"/>
      <c r="D66" s="1079"/>
      <c r="E66" s="1079"/>
      <c r="F66" s="1079"/>
      <c r="G66" s="1079"/>
    </row>
    <row r="67" spans="1:7" s="1097" customFormat="1" ht="24" customHeight="1">
      <c r="A67" s="1081"/>
      <c r="B67" s="1088" t="s">
        <v>638</v>
      </c>
      <c r="C67" s="1081"/>
      <c r="D67" s="1081"/>
      <c r="E67" s="1081"/>
      <c r="F67" s="1081"/>
      <c r="G67" s="1081"/>
    </row>
    <row r="68" spans="1:7" ht="25.5">
      <c r="A68" s="1079"/>
      <c r="B68" s="1079" t="s">
        <v>465</v>
      </c>
      <c r="C68" s="1079"/>
      <c r="D68" s="1079"/>
      <c r="E68" s="1079"/>
      <c r="F68" s="1079"/>
      <c r="G68" s="1079"/>
    </row>
    <row r="69" spans="1:7">
      <c r="A69" s="1079"/>
      <c r="B69" s="1104"/>
      <c r="C69" s="1079"/>
      <c r="D69" s="1079"/>
      <c r="E69" s="1079"/>
      <c r="F69" s="1079"/>
      <c r="G69" s="1079"/>
    </row>
    <row r="70" spans="1:7" ht="51">
      <c r="A70" s="1079"/>
      <c r="B70" s="1079" t="s">
        <v>46</v>
      </c>
      <c r="C70" s="1079"/>
      <c r="D70" s="1079"/>
      <c r="E70" s="1079"/>
      <c r="F70" s="1079"/>
      <c r="G70" s="1079"/>
    </row>
    <row r="71" spans="1:7">
      <c r="A71" s="1079"/>
      <c r="B71" s="1104"/>
      <c r="C71" s="1079"/>
      <c r="D71" s="1079"/>
      <c r="E71" s="1079"/>
      <c r="F71" s="1079"/>
      <c r="G71" s="1079"/>
    </row>
    <row r="72" spans="1:7" ht="26.25" customHeight="1">
      <c r="A72" s="1079"/>
      <c r="B72" s="1105" t="s">
        <v>47</v>
      </c>
      <c r="C72" s="1079"/>
      <c r="D72" s="1079"/>
      <c r="E72" s="1079"/>
      <c r="F72" s="1079"/>
      <c r="G72" s="1079"/>
    </row>
    <row r="73" spans="1:7">
      <c r="A73" s="1079"/>
      <c r="B73" s="1106"/>
      <c r="C73" s="1079"/>
      <c r="D73" s="1079"/>
      <c r="E73" s="1079"/>
      <c r="F73" s="1079"/>
      <c r="G73" s="1079"/>
    </row>
    <row r="74" spans="1:7" ht="25.5">
      <c r="A74" s="1079"/>
      <c r="B74" s="1107" t="s">
        <v>1114</v>
      </c>
      <c r="C74" s="1079"/>
      <c r="D74" s="1079"/>
      <c r="E74" s="1079"/>
      <c r="F74" s="1079"/>
      <c r="G74" s="1079"/>
    </row>
    <row r="75" spans="1:7" ht="14.25">
      <c r="B75" s="1108"/>
    </row>
    <row r="76" spans="1:7">
      <c r="B76" s="1059" t="s">
        <v>48</v>
      </c>
    </row>
    <row r="81" spans="1:7" ht="8.25" customHeight="1">
      <c r="A81" s="1061"/>
      <c r="B81" s="1061"/>
    </row>
    <row r="83" spans="1:7" s="1097" customFormat="1" ht="24" customHeight="1">
      <c r="A83" s="1081"/>
      <c r="B83" s="1088"/>
      <c r="C83" s="1081"/>
      <c r="D83" s="1081"/>
      <c r="E83" s="1081"/>
      <c r="F83" s="1081"/>
      <c r="G83" s="1081"/>
    </row>
    <row r="84" spans="1:7">
      <c r="A84" s="1079"/>
      <c r="B84" s="1079"/>
      <c r="C84" s="1079"/>
      <c r="D84" s="1079"/>
      <c r="E84" s="1079"/>
      <c r="F84" s="1079"/>
      <c r="G84" s="1079"/>
    </row>
    <row r="85" spans="1:7">
      <c r="A85" s="1098"/>
      <c r="B85" s="1101"/>
      <c r="C85" s="1079"/>
      <c r="D85" s="1079"/>
      <c r="E85" s="1079"/>
      <c r="F85" s="1079"/>
      <c r="G85" s="1079"/>
    </row>
    <row r="86" spans="1:7">
      <c r="A86" s="1098"/>
      <c r="B86" s="1101"/>
      <c r="C86" s="1079"/>
      <c r="D86" s="1079"/>
      <c r="E86" s="1079"/>
      <c r="F86" s="1079"/>
      <c r="G86" s="1079"/>
    </row>
    <row r="87" spans="1:7">
      <c r="A87" s="1098"/>
      <c r="B87" s="1101"/>
      <c r="C87" s="1079"/>
      <c r="D87" s="1079"/>
      <c r="E87" s="1079"/>
      <c r="F87" s="1079"/>
      <c r="G87" s="1079"/>
    </row>
    <row r="88" spans="1:7" ht="14.25">
      <c r="A88" s="1098"/>
      <c r="B88" s="1099"/>
      <c r="C88" s="1079"/>
      <c r="D88" s="1079"/>
      <c r="E88" s="1079"/>
      <c r="F88" s="1079"/>
      <c r="G88" s="1079"/>
    </row>
    <row r="89" spans="1:7">
      <c r="A89" s="1079"/>
      <c r="B89" s="1079"/>
      <c r="C89" s="1079"/>
      <c r="D89" s="1079"/>
      <c r="E89" s="1079"/>
      <c r="F89" s="1079"/>
      <c r="G89" s="1079"/>
    </row>
    <row r="90" spans="1:7">
      <c r="A90" s="1098"/>
      <c r="B90" s="1101"/>
      <c r="C90" s="1079"/>
      <c r="D90" s="1079"/>
      <c r="E90" s="1079"/>
      <c r="F90" s="1079"/>
      <c r="G90" s="1079"/>
    </row>
    <row r="91" spans="1:7">
      <c r="A91" s="1098"/>
      <c r="B91" s="1109"/>
      <c r="C91" s="1079"/>
      <c r="D91" s="1079"/>
      <c r="E91" s="1079"/>
      <c r="F91" s="1079"/>
      <c r="G91" s="1079"/>
    </row>
    <row r="92" spans="1:7">
      <c r="A92" s="1098"/>
      <c r="B92" s="1101"/>
      <c r="C92" s="1079"/>
      <c r="D92" s="1079"/>
      <c r="E92" s="1079"/>
      <c r="F92" s="1079"/>
      <c r="G92" s="1079"/>
    </row>
    <row r="93" spans="1:7">
      <c r="A93" s="1098"/>
      <c r="B93" s="1101"/>
      <c r="C93" s="1079"/>
      <c r="D93" s="1079"/>
      <c r="E93" s="1079"/>
      <c r="F93" s="1079"/>
      <c r="G93" s="1079"/>
    </row>
    <row r="94" spans="1:7">
      <c r="A94" s="1098"/>
      <c r="B94" s="1101"/>
      <c r="C94" s="1079"/>
      <c r="D94" s="1079"/>
      <c r="E94" s="1079"/>
      <c r="F94" s="1079"/>
      <c r="G94" s="1079"/>
    </row>
    <row r="95" spans="1:7">
      <c r="A95" s="1079"/>
      <c r="B95" s="1079"/>
      <c r="C95" s="1079"/>
      <c r="D95" s="1079"/>
      <c r="E95" s="1079"/>
      <c r="F95" s="1079"/>
      <c r="G95" s="1079"/>
    </row>
    <row r="96" spans="1:7">
      <c r="A96" s="1098"/>
      <c r="B96" s="1101"/>
      <c r="C96" s="1079"/>
      <c r="D96" s="1079"/>
      <c r="E96" s="1079"/>
      <c r="F96" s="1079"/>
      <c r="G96" s="1079"/>
    </row>
    <row r="97" spans="1:7">
      <c r="A97" s="1098"/>
      <c r="B97" s="1101"/>
      <c r="C97" s="1079"/>
      <c r="D97" s="1079"/>
      <c r="E97" s="1079"/>
      <c r="F97" s="1079"/>
      <c r="G97" s="1079"/>
    </row>
    <row r="98" spans="1:7">
      <c r="A98" s="1098"/>
      <c r="B98" s="1079"/>
      <c r="C98" s="1079"/>
      <c r="D98" s="1079"/>
      <c r="E98" s="1079"/>
      <c r="F98" s="1079"/>
      <c r="G98" s="1079"/>
    </row>
    <row r="99" spans="1:7">
      <c r="A99" s="1098"/>
      <c r="B99" s="1079"/>
      <c r="C99" s="1079"/>
      <c r="D99" s="1079"/>
      <c r="E99" s="1079"/>
      <c r="F99" s="1079"/>
      <c r="G99" s="1079"/>
    </row>
    <row r="100" spans="1:7">
      <c r="A100" s="1098"/>
      <c r="B100" s="1079"/>
      <c r="C100" s="1079"/>
      <c r="D100" s="1079"/>
      <c r="E100" s="1079"/>
      <c r="F100" s="1079"/>
      <c r="G100" s="1079"/>
    </row>
    <row r="101" spans="1:7">
      <c r="A101" s="1098"/>
      <c r="B101" s="1079"/>
      <c r="C101" s="1079"/>
      <c r="D101" s="1079"/>
      <c r="E101" s="1079"/>
      <c r="F101" s="1079"/>
      <c r="G101" s="1079"/>
    </row>
    <row r="102" spans="1:7">
      <c r="A102" s="1098"/>
      <c r="B102" s="1079"/>
      <c r="C102" s="1079"/>
      <c r="D102" s="1079"/>
      <c r="E102" s="1079"/>
      <c r="F102" s="1079"/>
      <c r="G102" s="1079"/>
    </row>
    <row r="103" spans="1:7">
      <c r="A103" s="1098"/>
      <c r="B103" s="1079"/>
      <c r="C103" s="1079"/>
      <c r="D103" s="1079"/>
      <c r="E103" s="1079"/>
      <c r="F103" s="1079"/>
      <c r="G103" s="1079"/>
    </row>
    <row r="104" spans="1:7">
      <c r="A104" s="1098"/>
      <c r="B104" s="1101"/>
      <c r="C104" s="1079"/>
      <c r="D104" s="1079"/>
      <c r="E104" s="1079"/>
      <c r="F104" s="1079"/>
      <c r="G104" s="1079"/>
    </row>
    <row r="106" spans="1:7">
      <c r="B106" s="1141"/>
    </row>
    <row r="107" spans="1:7">
      <c r="B107" s="1141"/>
    </row>
  </sheetData>
  <sheetProtection password="AD9B" sheet="1" objects="1" scenarios="1"/>
  <phoneticPr fontId="17" type="noConversion"/>
  <pageMargins left="0.59055118110236227" right="0.59055118110236227" top="0.47244094488188981" bottom="0.47244094488188981" header="0.23622047244094491" footer="0.35433070866141736"/>
  <pageSetup paperSize="9" scale="66" fitToHeight="2" orientation="portrait" blackAndWhite="1" r:id="rId1"/>
  <headerFooter alignWithMargins="0">
    <oddHeader>&amp;LGreen Building Council of South Africa&amp;R&amp;T   &amp;D</oddHeader>
    <oddFooter>&amp;L&amp;F&amp;CPage &amp;P of &amp;N&amp;R&amp;A</oddFooter>
  </headerFooter>
  <rowBreaks count="1" manualBreakCount="1">
    <brk id="64"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6448" r:id="rId4" name="Button 304">
              <controlPr defaultSize="0" print="0" autoFill="0" autoPict="0" macro="[0]!GreenStarSAIntro7">
                <anchor moveWithCells="1" sizeWithCells="1">
                  <from>
                    <xdr:col>1</xdr:col>
                    <xdr:colOff>6715125</xdr:colOff>
                    <xdr:row>24</xdr:row>
                    <xdr:rowOff>0</xdr:rowOff>
                  </from>
                  <to>
                    <xdr:col>2</xdr:col>
                    <xdr:colOff>0</xdr:colOff>
                    <xdr:row>24</xdr:row>
                    <xdr:rowOff>171450</xdr:rowOff>
                  </to>
                </anchor>
              </controlPr>
            </control>
          </mc:Choice>
        </mc:AlternateContent>
        <mc:AlternateContent xmlns:mc="http://schemas.openxmlformats.org/markup-compatibility/2006">
          <mc:Choice Requires="x14">
            <control shapeId="6449" r:id="rId5" name="Button 305">
              <controlPr defaultSize="0" print="0" autoFill="0" autoPict="0" macro="[0]!GreenStarSAIntro7">
                <anchor moveWithCells="1" sizeWithCells="1">
                  <from>
                    <xdr:col>1</xdr:col>
                    <xdr:colOff>6696075</xdr:colOff>
                    <xdr:row>39</xdr:row>
                    <xdr:rowOff>152400</xdr:rowOff>
                  </from>
                  <to>
                    <xdr:col>1</xdr:col>
                    <xdr:colOff>7829550</xdr:colOff>
                    <xdr:row>40</xdr:row>
                    <xdr:rowOff>161925</xdr:rowOff>
                  </to>
                </anchor>
              </controlPr>
            </control>
          </mc:Choice>
        </mc:AlternateContent>
        <mc:AlternateContent xmlns:mc="http://schemas.openxmlformats.org/markup-compatibility/2006">
          <mc:Choice Requires="x14">
            <control shapeId="6450" r:id="rId6" name="Button 306">
              <controlPr defaultSize="0" print="0" autoFill="0" autoPict="0" macro="[0]!GreenStarSAIntro7">
                <anchor moveWithCells="1" sizeWithCells="1">
                  <from>
                    <xdr:col>1</xdr:col>
                    <xdr:colOff>6696075</xdr:colOff>
                    <xdr:row>53</xdr:row>
                    <xdr:rowOff>19050</xdr:rowOff>
                  </from>
                  <to>
                    <xdr:col>1</xdr:col>
                    <xdr:colOff>7829550</xdr:colOff>
                    <xdr:row>53</xdr:row>
                    <xdr:rowOff>190500</xdr:rowOff>
                  </to>
                </anchor>
              </controlPr>
            </control>
          </mc:Choice>
        </mc:AlternateContent>
        <mc:AlternateContent xmlns:mc="http://schemas.openxmlformats.org/markup-compatibility/2006">
          <mc:Choice Requires="x14">
            <control shapeId="6451" r:id="rId7" name="Button 307">
              <controlPr defaultSize="0" print="0" autoFill="0" autoPict="0" macro="[0]!GreenStarSAIntro7">
                <anchor moveWithCells="1" sizeWithCells="1">
                  <from>
                    <xdr:col>1</xdr:col>
                    <xdr:colOff>6696075</xdr:colOff>
                    <xdr:row>65</xdr:row>
                    <xdr:rowOff>171450</xdr:rowOff>
                  </from>
                  <to>
                    <xdr:col>1</xdr:col>
                    <xdr:colOff>7829550</xdr:colOff>
                    <xdr:row>66</xdr:row>
                    <xdr:rowOff>161925</xdr:rowOff>
                  </to>
                </anchor>
              </controlPr>
            </control>
          </mc:Choice>
        </mc:AlternateContent>
        <mc:AlternateContent xmlns:mc="http://schemas.openxmlformats.org/markup-compatibility/2006">
          <mc:Choice Requires="x14">
            <control shapeId="6456" r:id="rId8" name="Button 312">
              <controlPr defaultSize="0" print="0" autoFill="0" autoPict="0" macro="[0]!GreenStarSAIntro7">
                <anchor moveWithCells="1" sizeWithCells="1">
                  <from>
                    <xdr:col>1</xdr:col>
                    <xdr:colOff>6696075</xdr:colOff>
                    <xdr:row>45</xdr:row>
                    <xdr:rowOff>142875</xdr:rowOff>
                  </from>
                  <to>
                    <xdr:col>1</xdr:col>
                    <xdr:colOff>7829550</xdr:colOff>
                    <xdr:row>46</xdr:row>
                    <xdr:rowOff>152400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pageSetUpPr fitToPage="1"/>
  </sheetPr>
  <dimension ref="A1:W570"/>
  <sheetViews>
    <sheetView zoomScale="80" zoomScaleNormal="100" zoomScaleSheetLayoutView="100" workbookViewId="0">
      <pane ySplit="4" topLeftCell="A5" activePane="bottomLeft" state="frozen"/>
      <selection activeCell="D17" sqref="D17"/>
      <selection pane="bottomLeft" activeCell="A575" sqref="A574:A575"/>
    </sheetView>
  </sheetViews>
  <sheetFormatPr defaultColWidth="7.875" defaultRowHeight="12.75"/>
  <cols>
    <col min="1" max="1" width="2.875" style="736" customWidth="1"/>
    <col min="2" max="2" width="42.875" style="736" customWidth="1"/>
    <col min="3" max="3" width="12" style="737" hidden="1" customWidth="1"/>
    <col min="4" max="4" width="11.75" style="737" hidden="1" customWidth="1"/>
    <col min="5" max="5" width="10.375" style="737" hidden="1" customWidth="1"/>
    <col min="6" max="6" width="17.75" style="737" customWidth="1"/>
    <col min="7" max="7" width="9.5" style="737" bestFit="1" customWidth="1"/>
    <col min="8" max="8" width="16.625" style="737" customWidth="1"/>
    <col min="9" max="9" width="10.375" style="737" hidden="1" customWidth="1"/>
    <col min="10" max="10" width="9.5" style="736" customWidth="1"/>
    <col min="11" max="11" width="11.625" style="736" customWidth="1"/>
    <col min="12" max="12" width="16" style="803" hidden="1" customWidth="1"/>
    <col min="13" max="13" width="2.625" style="803" hidden="1" customWidth="1"/>
    <col min="14" max="14" width="28.75" style="803" hidden="1" customWidth="1"/>
    <col min="15" max="15" width="13.375" style="803" hidden="1" customWidth="1"/>
    <col min="16" max="16" width="13.125" style="803" hidden="1" customWidth="1"/>
    <col min="17" max="17" width="7.875" style="803" hidden="1" customWidth="1"/>
    <col min="18" max="18" width="11.125" style="803" hidden="1" customWidth="1"/>
    <col min="19" max="21" width="10.375" style="803" hidden="1" customWidth="1"/>
    <col min="22" max="23" width="7.875" style="803" hidden="1" customWidth="1"/>
    <col min="24" max="26" width="7.875" style="736" customWidth="1"/>
    <col min="27" max="16384" width="7.875" style="736"/>
  </cols>
  <sheetData>
    <row r="1" spans="2:23" hidden="1"/>
    <row r="2" spans="2:23" s="739" customFormat="1" ht="27" customHeight="1">
      <c r="B2" s="738" t="str">
        <f>Calculation!N31</f>
        <v>Green Star SA - Office Design v1</v>
      </c>
      <c r="H2" s="740"/>
      <c r="I2" s="740"/>
      <c r="J2" s="741"/>
      <c r="K2" s="741"/>
      <c r="L2" s="804"/>
      <c r="M2" s="804"/>
      <c r="N2" s="804"/>
      <c r="O2" s="804"/>
      <c r="P2" s="804"/>
      <c r="Q2" s="804"/>
      <c r="R2" s="804"/>
      <c r="S2" s="804"/>
      <c r="T2" s="804"/>
      <c r="U2" s="804"/>
      <c r="V2" s="804"/>
      <c r="W2" s="804"/>
    </row>
    <row r="3" spans="2:23" s="745" customFormat="1" ht="27" customHeight="1">
      <c r="B3" s="742" t="s">
        <v>262</v>
      </c>
      <c r="C3" s="743"/>
      <c r="D3" s="744"/>
      <c r="E3" s="744"/>
      <c r="F3" s="2703" t="s">
        <v>373</v>
      </c>
      <c r="G3" s="2704"/>
      <c r="H3" s="2705"/>
      <c r="I3" s="294"/>
      <c r="J3" s="783">
        <f>F40</f>
        <v>0</v>
      </c>
      <c r="K3" s="798"/>
      <c r="L3" s="805" t="s">
        <v>263</v>
      </c>
      <c r="M3" s="806"/>
      <c r="N3" s="806"/>
      <c r="O3" s="806"/>
      <c r="P3" s="806"/>
      <c r="Q3" s="806"/>
      <c r="R3" s="806"/>
      <c r="S3" s="806"/>
      <c r="T3" s="806"/>
      <c r="U3" s="806"/>
      <c r="V3" s="806"/>
      <c r="W3" s="806"/>
    </row>
    <row r="4" spans="2:23" s="745" customFormat="1" ht="6" customHeight="1">
      <c r="B4" s="742"/>
      <c r="C4" s="743"/>
      <c r="D4" s="744"/>
      <c r="E4" s="744"/>
      <c r="F4" s="746"/>
      <c r="G4" s="747"/>
      <c r="H4" s="747"/>
      <c r="I4" s="748"/>
      <c r="K4" s="799"/>
      <c r="L4" s="805"/>
      <c r="M4" s="806"/>
      <c r="N4" s="806"/>
      <c r="O4" s="806"/>
      <c r="P4" s="806"/>
      <c r="Q4" s="806"/>
      <c r="R4" s="806"/>
      <c r="S4" s="806"/>
      <c r="T4" s="806"/>
      <c r="U4" s="806"/>
      <c r="V4" s="806"/>
      <c r="W4" s="806"/>
    </row>
    <row r="5" spans="2:23" ht="26.25" customHeight="1" thickBot="1">
      <c r="B5" s="749"/>
      <c r="D5" s="744"/>
      <c r="E5" s="744"/>
      <c r="F5" s="744"/>
      <c r="G5" s="744"/>
      <c r="L5" s="807"/>
    </row>
    <row r="6" spans="2:23" ht="26.25" thickBot="1">
      <c r="B6" s="784" t="s">
        <v>264</v>
      </c>
      <c r="C6" s="750"/>
      <c r="D6" s="751"/>
      <c r="F6" s="751"/>
      <c r="G6" s="752" t="str">
        <f>IF(M14=2,"If yes then no credits awarded","")</f>
        <v/>
      </c>
      <c r="L6" s="807"/>
    </row>
    <row r="7" spans="2:23">
      <c r="B7" s="753"/>
      <c r="C7" s="754"/>
      <c r="D7" s="751"/>
      <c r="E7" s="751"/>
      <c r="F7" s="752"/>
      <c r="G7" s="752"/>
    </row>
    <row r="8" spans="2:23">
      <c r="B8" s="753"/>
      <c r="C8" s="754"/>
      <c r="D8" s="751"/>
      <c r="E8" s="751"/>
      <c r="F8" s="752"/>
      <c r="G8" s="752"/>
      <c r="L8" s="803" t="str">
        <f>VLOOKUP(O9,M50:N101,2)</f>
        <v>Urban Area and Unallocated</v>
      </c>
    </row>
    <row r="9" spans="2:23">
      <c r="B9" s="784" t="s">
        <v>155</v>
      </c>
      <c r="C9" s="754"/>
      <c r="D9" s="751"/>
      <c r="E9" s="751"/>
      <c r="F9" s="755"/>
      <c r="G9" s="752"/>
      <c r="L9" s="803" t="str">
        <f ca="1">INDEX(INDIRECT(SUBSTITUTE(L8," ","_")),O11,0)</f>
        <v>Brownfield Site</v>
      </c>
      <c r="O9" s="803">
        <v>43</v>
      </c>
    </row>
    <row r="10" spans="2:23">
      <c r="B10" s="754"/>
      <c r="C10" s="754"/>
      <c r="D10" s="751"/>
      <c r="E10" s="751"/>
      <c r="F10" s="755"/>
      <c r="G10" s="752"/>
    </row>
    <row r="11" spans="2:23">
      <c r="B11" s="784" t="s">
        <v>55</v>
      </c>
      <c r="C11" s="754"/>
      <c r="D11" s="751"/>
      <c r="E11" s="751"/>
      <c r="F11" s="752"/>
      <c r="G11" s="752"/>
      <c r="O11" s="803">
        <v>2</v>
      </c>
    </row>
    <row r="12" spans="2:23" hidden="1">
      <c r="B12" s="754"/>
      <c r="C12" s="754"/>
      <c r="D12" s="751"/>
      <c r="E12" s="751"/>
      <c r="F12" s="752"/>
      <c r="G12" s="752"/>
    </row>
    <row r="13" spans="2:23" hidden="1">
      <c r="B13" s="753"/>
      <c r="C13" s="754"/>
      <c r="D13" s="751"/>
      <c r="E13" s="751"/>
      <c r="F13" s="752"/>
      <c r="G13" s="752"/>
    </row>
    <row r="14" spans="2:23" ht="14.25" hidden="1" customHeight="1">
      <c r="C14" s="754"/>
      <c r="D14" s="751"/>
      <c r="E14" s="751"/>
      <c r="F14" s="752"/>
      <c r="G14" s="752"/>
      <c r="M14" s="808">
        <v>1</v>
      </c>
      <c r="O14" s="803">
        <v>1</v>
      </c>
      <c r="P14" s="803" t="s">
        <v>265</v>
      </c>
    </row>
    <row r="15" spans="2:23" ht="18" hidden="1">
      <c r="B15" s="749"/>
      <c r="D15" s="756"/>
      <c r="E15" s="756"/>
      <c r="F15" s="756"/>
      <c r="G15" s="756"/>
      <c r="O15" s="803">
        <v>2</v>
      </c>
      <c r="P15" s="803" t="s">
        <v>65</v>
      </c>
    </row>
    <row r="16" spans="2:23" ht="13.5" customHeight="1" thickBot="1">
      <c r="B16" s="749"/>
      <c r="D16" s="756"/>
      <c r="E16" s="756"/>
      <c r="F16" s="756"/>
      <c r="G16" s="756"/>
    </row>
    <row r="17" spans="2:23" ht="18.75" thickBot="1">
      <c r="B17" s="789"/>
      <c r="C17" s="790" t="s">
        <v>156</v>
      </c>
      <c r="D17" s="790" t="s">
        <v>156</v>
      </c>
      <c r="E17" s="791" t="s">
        <v>156</v>
      </c>
      <c r="F17" s="2712" t="s">
        <v>157</v>
      </c>
      <c r="G17" s="2713"/>
      <c r="H17" s="2712" t="s">
        <v>158</v>
      </c>
      <c r="I17" s="2714"/>
      <c r="J17" s="2713"/>
    </row>
    <row r="18" spans="2:23" s="757" customFormat="1" ht="51.75" thickBot="1">
      <c r="B18" s="785" t="s">
        <v>159</v>
      </c>
      <c r="C18" s="786" t="s">
        <v>1592</v>
      </c>
      <c r="D18" s="786" t="s">
        <v>1593</v>
      </c>
      <c r="E18" s="787" t="s">
        <v>160</v>
      </c>
      <c r="F18" s="788" t="s">
        <v>103</v>
      </c>
      <c r="G18" s="788" t="s">
        <v>161</v>
      </c>
      <c r="H18" s="788" t="s">
        <v>104</v>
      </c>
      <c r="I18" s="792" t="s">
        <v>1538</v>
      </c>
      <c r="J18" s="788" t="s">
        <v>161</v>
      </c>
      <c r="L18" s="809"/>
      <c r="M18" s="803"/>
      <c r="N18" s="809"/>
      <c r="O18" s="803"/>
      <c r="P18" s="810" t="s">
        <v>764</v>
      </c>
      <c r="Q18" s="811" t="s">
        <v>163</v>
      </c>
      <c r="R18" s="803"/>
      <c r="S18" s="812" t="s">
        <v>164</v>
      </c>
      <c r="T18" s="813" t="s">
        <v>165</v>
      </c>
      <c r="U18" s="814" t="s">
        <v>166</v>
      </c>
      <c r="V18" s="803"/>
      <c r="W18" s="809"/>
    </row>
    <row r="19" spans="2:23" ht="15" customHeight="1">
      <c r="B19" s="793" t="s">
        <v>167</v>
      </c>
      <c r="C19" s="295">
        <f ca="1">IF(AND($L$8="Urban Area and Unallocated",$L$9="Brownfield Site"),2,1)</f>
        <v>2</v>
      </c>
      <c r="D19" s="295">
        <v>1</v>
      </c>
      <c r="E19" s="296">
        <v>0</v>
      </c>
      <c r="F19" s="795"/>
      <c r="G19" s="338">
        <f t="shared" ref="G19:G36" ca="1" si="0">C19*E19*F19*D19</f>
        <v>0</v>
      </c>
      <c r="H19" s="795"/>
      <c r="I19" s="295">
        <v>1</v>
      </c>
      <c r="J19" s="337">
        <f t="shared" ref="J19:J26" ca="1" si="1">H19*E19*C19*I19</f>
        <v>0</v>
      </c>
      <c r="K19" s="800"/>
      <c r="P19" s="815" t="s">
        <v>765</v>
      </c>
      <c r="Q19" s="816">
        <v>2</v>
      </c>
      <c r="S19" s="817" t="s">
        <v>685</v>
      </c>
      <c r="T19" s="818">
        <v>-200</v>
      </c>
      <c r="U19" s="816">
        <v>0</v>
      </c>
    </row>
    <row r="20" spans="2:23" ht="15" customHeight="1">
      <c r="B20" s="297" t="s">
        <v>168</v>
      </c>
      <c r="C20" s="295">
        <f t="shared" ref="C20:C33" ca="1" si="2">IF(AND($L$8="Urban Area and Unallocated",$L$9="Brownfield Site"),2,1)</f>
        <v>2</v>
      </c>
      <c r="D20" s="295">
        <v>1</v>
      </c>
      <c r="E20" s="296">
        <v>0</v>
      </c>
      <c r="F20" s="795"/>
      <c r="G20" s="338">
        <f t="shared" ca="1" si="0"/>
        <v>0</v>
      </c>
      <c r="H20" s="795"/>
      <c r="I20" s="295">
        <v>1</v>
      </c>
      <c r="J20" s="337">
        <f t="shared" ca="1" si="1"/>
        <v>0</v>
      </c>
      <c r="K20" s="800"/>
      <c r="O20" s="809"/>
      <c r="P20" s="815" t="s">
        <v>686</v>
      </c>
      <c r="Q20" s="816">
        <v>1</v>
      </c>
      <c r="R20" s="809"/>
      <c r="S20" s="819" t="s">
        <v>687</v>
      </c>
      <c r="T20" s="820">
        <v>1</v>
      </c>
      <c r="U20" s="816">
        <v>1</v>
      </c>
    </row>
    <row r="21" spans="2:23" ht="15" customHeight="1">
      <c r="B21" s="297" t="s">
        <v>169</v>
      </c>
      <c r="C21" s="295">
        <f t="shared" ca="1" si="2"/>
        <v>2</v>
      </c>
      <c r="D21" s="295">
        <v>1</v>
      </c>
      <c r="E21" s="296">
        <v>1</v>
      </c>
      <c r="F21" s="795"/>
      <c r="G21" s="338">
        <f t="shared" ca="1" si="0"/>
        <v>0</v>
      </c>
      <c r="H21" s="795"/>
      <c r="I21" s="295">
        <v>1</v>
      </c>
      <c r="J21" s="337">
        <f t="shared" ca="1" si="1"/>
        <v>0</v>
      </c>
      <c r="K21" s="800"/>
      <c r="P21" s="815" t="s">
        <v>688</v>
      </c>
      <c r="Q21" s="816">
        <v>0.25</v>
      </c>
      <c r="S21" s="819" t="s">
        <v>689</v>
      </c>
      <c r="T21" s="815">
        <v>5</v>
      </c>
      <c r="U21" s="816">
        <v>2</v>
      </c>
    </row>
    <row r="22" spans="2:23" ht="15" customHeight="1" thickBot="1">
      <c r="B22" s="297" t="s">
        <v>170</v>
      </c>
      <c r="C22" s="295">
        <f t="shared" ca="1" si="2"/>
        <v>2</v>
      </c>
      <c r="D22" s="295">
        <v>1</v>
      </c>
      <c r="E22" s="296">
        <v>5</v>
      </c>
      <c r="F22" s="795"/>
      <c r="G22" s="338">
        <f t="shared" ca="1" si="0"/>
        <v>0</v>
      </c>
      <c r="H22" s="795"/>
      <c r="I22" s="295">
        <v>1</v>
      </c>
      <c r="J22" s="337">
        <f t="shared" ca="1" si="1"/>
        <v>0</v>
      </c>
      <c r="K22" s="800"/>
      <c r="P22" s="821" t="s">
        <v>690</v>
      </c>
      <c r="Q22" s="822">
        <v>0.5</v>
      </c>
      <c r="S22" s="819" t="s">
        <v>171</v>
      </c>
      <c r="T22" s="815">
        <v>15</v>
      </c>
      <c r="U22" s="816">
        <v>3</v>
      </c>
    </row>
    <row r="23" spans="2:23" ht="15" customHeight="1" thickBot="1">
      <c r="B23" s="297" t="s">
        <v>172</v>
      </c>
      <c r="C23" s="295">
        <f t="shared" ca="1" si="2"/>
        <v>2</v>
      </c>
      <c r="D23" s="295">
        <v>1</v>
      </c>
      <c r="E23" s="296">
        <v>5</v>
      </c>
      <c r="F23" s="795"/>
      <c r="G23" s="338">
        <f t="shared" ca="1" si="0"/>
        <v>0</v>
      </c>
      <c r="H23" s="795"/>
      <c r="I23" s="295">
        <v>1</v>
      </c>
      <c r="J23" s="337">
        <f t="shared" ca="1" si="1"/>
        <v>0</v>
      </c>
      <c r="K23" s="800"/>
      <c r="S23" s="823" t="s">
        <v>173</v>
      </c>
      <c r="T23" s="821">
        <v>25</v>
      </c>
      <c r="U23" s="822">
        <v>4</v>
      </c>
    </row>
    <row r="24" spans="2:23" ht="15" customHeight="1">
      <c r="B24" s="297" t="s">
        <v>691</v>
      </c>
      <c r="C24" s="295">
        <f t="shared" ca="1" si="2"/>
        <v>2</v>
      </c>
      <c r="D24" s="295">
        <v>1</v>
      </c>
      <c r="E24" s="296">
        <v>10</v>
      </c>
      <c r="F24" s="795"/>
      <c r="G24" s="338">
        <f t="shared" ca="1" si="0"/>
        <v>0</v>
      </c>
      <c r="H24" s="795"/>
      <c r="I24" s="295">
        <v>1</v>
      </c>
      <c r="J24" s="337">
        <f t="shared" ca="1" si="1"/>
        <v>0</v>
      </c>
      <c r="K24" s="800"/>
    </row>
    <row r="25" spans="2:23" ht="15" customHeight="1" thickBot="1">
      <c r="B25" s="297" t="s">
        <v>692</v>
      </c>
      <c r="C25" s="295">
        <f t="shared" ca="1" si="2"/>
        <v>2</v>
      </c>
      <c r="D25" s="295">
        <v>1</v>
      </c>
      <c r="E25" s="296">
        <v>10</v>
      </c>
      <c r="F25" s="795"/>
      <c r="G25" s="338">
        <f t="shared" ca="1" si="0"/>
        <v>0</v>
      </c>
      <c r="H25" s="795"/>
      <c r="I25" s="295">
        <v>1</v>
      </c>
      <c r="J25" s="337">
        <f t="shared" ca="1" si="1"/>
        <v>0</v>
      </c>
      <c r="K25" s="800"/>
      <c r="P25" s="824"/>
      <c r="Q25" s="824"/>
    </row>
    <row r="26" spans="2:23" ht="15" customHeight="1" thickBot="1">
      <c r="B26" s="297" t="s">
        <v>174</v>
      </c>
      <c r="C26" s="295">
        <f t="shared" ca="1" si="2"/>
        <v>2</v>
      </c>
      <c r="D26" s="295">
        <v>1</v>
      </c>
      <c r="E26" s="296">
        <v>5</v>
      </c>
      <c r="F26" s="795"/>
      <c r="G26" s="338">
        <f t="shared" ca="1" si="0"/>
        <v>0</v>
      </c>
      <c r="H26" s="795"/>
      <c r="I26" s="295">
        <v>1</v>
      </c>
      <c r="J26" s="337">
        <f t="shared" ca="1" si="1"/>
        <v>0</v>
      </c>
      <c r="K26" s="800"/>
      <c r="P26" s="825" t="s">
        <v>175</v>
      </c>
      <c r="Q26" s="826">
        <v>2</v>
      </c>
    </row>
    <row r="27" spans="2:23" ht="15" customHeight="1" thickBot="1">
      <c r="B27" s="297" t="s">
        <v>562</v>
      </c>
      <c r="C27" s="295">
        <f ca="1">IF(AND($L$8="Urban Area and Unallocated",$L$9="Brownfield Site"),0,1)</f>
        <v>0</v>
      </c>
      <c r="D27" s="295">
        <f ca="1">IF($L$9 ="&lt;Don't know&gt;",$Q$29,1)</f>
        <v>1</v>
      </c>
      <c r="E27" s="296">
        <v>25</v>
      </c>
      <c r="F27" s="795"/>
      <c r="G27" s="338">
        <f t="shared" ca="1" si="0"/>
        <v>0</v>
      </c>
      <c r="H27" s="795"/>
      <c r="I27" s="295">
        <v>1</v>
      </c>
      <c r="J27" s="337">
        <f ca="1">IF(H27&gt;F27,G27,H27*E27*I27*C27)</f>
        <v>0</v>
      </c>
      <c r="K27" s="800"/>
      <c r="P27" s="825" t="s">
        <v>176</v>
      </c>
      <c r="Q27" s="826" t="str">
        <f ca="1">VLOOKUP(L9,B47:E568,4,FALSE)</f>
        <v>CE</v>
      </c>
    </row>
    <row r="28" spans="2:23" ht="15" customHeight="1" thickBot="1">
      <c r="B28" s="297" t="s">
        <v>178</v>
      </c>
      <c r="C28" s="295">
        <f ca="1">IF(AND($L$8="Urban Area and Unallocated",$L$9="Brownfield Site"),0,1)</f>
        <v>0</v>
      </c>
      <c r="D28" s="295">
        <v>1</v>
      </c>
      <c r="E28" s="296">
        <v>5</v>
      </c>
      <c r="F28" s="795"/>
      <c r="G28" s="338">
        <f t="shared" ca="1" si="0"/>
        <v>0</v>
      </c>
      <c r="H28" s="795"/>
      <c r="I28" s="295">
        <v>1</v>
      </c>
      <c r="J28" s="337">
        <f ca="1">H28*E28*C28*I28</f>
        <v>0</v>
      </c>
      <c r="K28" s="800"/>
      <c r="P28" s="824"/>
      <c r="Q28" s="824"/>
      <c r="S28" s="827" t="s">
        <v>177</v>
      </c>
      <c r="T28" s="824">
        <f>VLOOKUP(F39,T19:U23,2)</f>
        <v>0</v>
      </c>
    </row>
    <row r="29" spans="2:23" ht="15" customHeight="1" thickBot="1">
      <c r="B29" s="297" t="s">
        <v>693</v>
      </c>
      <c r="C29" s="295">
        <f ca="1">IF(AND($L$8="Urban Area and Unallocated",$L$9="Brownfield Site"),0,1)</f>
        <v>0</v>
      </c>
      <c r="D29" s="295">
        <f ca="1">IF($L$9 ="&lt;Don't know&gt;",$Q$29,1)</f>
        <v>1</v>
      </c>
      <c r="E29" s="296">
        <v>75</v>
      </c>
      <c r="F29" s="795"/>
      <c r="G29" s="338">
        <f t="shared" ca="1" si="0"/>
        <v>0</v>
      </c>
      <c r="H29" s="795"/>
      <c r="I29" s="295">
        <v>1</v>
      </c>
      <c r="J29" s="337">
        <f ca="1">IF(H29&gt;F29,G29,H29*E29*I29*C29)</f>
        <v>0</v>
      </c>
      <c r="K29" s="800"/>
      <c r="P29" s="825" t="s">
        <v>962</v>
      </c>
      <c r="Q29" s="828">
        <f ca="1">VLOOKUP(Q27,P19:Q22,2)</f>
        <v>2</v>
      </c>
      <c r="S29" s="827" t="s">
        <v>179</v>
      </c>
      <c r="T29" s="824">
        <f>M14</f>
        <v>1</v>
      </c>
      <c r="U29" s="803" t="s">
        <v>180</v>
      </c>
    </row>
    <row r="30" spans="2:23" ht="15" customHeight="1">
      <c r="B30" s="297" t="s">
        <v>563</v>
      </c>
      <c r="C30" s="295">
        <f ca="1">IF(AND($L$8="Urban Area and Unallocated",$L$9="Brownfield Site"),0,1)</f>
        <v>0</v>
      </c>
      <c r="D30" s="295">
        <f ca="1">IF($L$9 ="&lt;Don't know&gt;",$Q$29,1)</f>
        <v>1</v>
      </c>
      <c r="E30" s="296">
        <v>100</v>
      </c>
      <c r="F30" s="795"/>
      <c r="G30" s="338">
        <f t="shared" ca="1" si="0"/>
        <v>0</v>
      </c>
      <c r="H30" s="795"/>
      <c r="I30" s="295">
        <v>1</v>
      </c>
      <c r="J30" s="337">
        <f ca="1">IF(H30&gt;F30,G30,H30*E30*I30*C30)</f>
        <v>0</v>
      </c>
      <c r="K30" s="800"/>
      <c r="S30" s="827" t="s">
        <v>963</v>
      </c>
      <c r="T30" s="829">
        <f>IF(T29=2,0,T28)</f>
        <v>0</v>
      </c>
    </row>
    <row r="31" spans="2:23" ht="15" customHeight="1">
      <c r="B31" s="297" t="s">
        <v>696</v>
      </c>
      <c r="C31" s="295">
        <f t="shared" ca="1" si="2"/>
        <v>2</v>
      </c>
      <c r="D31" s="295">
        <v>1</v>
      </c>
      <c r="E31" s="296">
        <v>50</v>
      </c>
      <c r="F31" s="795"/>
      <c r="G31" s="338">
        <f t="shared" ca="1" si="0"/>
        <v>0</v>
      </c>
      <c r="H31" s="795"/>
      <c r="I31" s="295">
        <f ca="1">IF($L$9 ="&lt;Don't know&gt;",0,1)</f>
        <v>1</v>
      </c>
      <c r="J31" s="337">
        <f ca="1">H31*E31*C31*I31</f>
        <v>0</v>
      </c>
      <c r="K31" s="800"/>
    </row>
    <row r="32" spans="2:23" ht="15" customHeight="1">
      <c r="B32" s="297" t="s">
        <v>697</v>
      </c>
      <c r="C32" s="295">
        <f t="shared" ca="1" si="2"/>
        <v>2</v>
      </c>
      <c r="D32" s="295">
        <v>1</v>
      </c>
      <c r="E32" s="296">
        <v>5</v>
      </c>
      <c r="F32" s="795"/>
      <c r="G32" s="338">
        <f t="shared" ca="1" si="0"/>
        <v>0</v>
      </c>
      <c r="H32" s="795"/>
      <c r="I32" s="295">
        <v>1</v>
      </c>
      <c r="J32" s="337">
        <f ca="1">H32*E32*C32*I32</f>
        <v>0</v>
      </c>
      <c r="K32" s="800"/>
      <c r="S32" s="808" t="s">
        <v>964</v>
      </c>
    </row>
    <row r="33" spans="1:23" ht="15" customHeight="1">
      <c r="B33" s="297" t="s">
        <v>698</v>
      </c>
      <c r="C33" s="295">
        <f t="shared" ca="1" si="2"/>
        <v>2</v>
      </c>
      <c r="D33" s="295">
        <v>1</v>
      </c>
      <c r="E33" s="296">
        <v>20</v>
      </c>
      <c r="F33" s="795"/>
      <c r="G33" s="338">
        <f t="shared" ca="1" si="0"/>
        <v>0</v>
      </c>
      <c r="H33" s="795"/>
      <c r="I33" s="295">
        <v>1</v>
      </c>
      <c r="J33" s="337">
        <f ca="1">H33*E33*C33*I33</f>
        <v>0</v>
      </c>
      <c r="K33" s="800"/>
      <c r="P33" s="827"/>
      <c r="Q33" s="824"/>
      <c r="S33" s="803" t="s">
        <v>965</v>
      </c>
    </row>
    <row r="34" spans="1:23" ht="15" customHeight="1">
      <c r="B34" s="297" t="s">
        <v>707</v>
      </c>
      <c r="C34" s="295">
        <f ca="1">IF(AND($L$8="Urban Area and Unallocated",$L$9="Brownfield Site"),0,1)</f>
        <v>0</v>
      </c>
      <c r="D34" s="295">
        <f ca="1">IF($L$9 ="&lt;Don't know&gt;",$Q$29,1)</f>
        <v>1</v>
      </c>
      <c r="E34" s="296">
        <v>50</v>
      </c>
      <c r="F34" s="795"/>
      <c r="G34" s="338">
        <f t="shared" ca="1" si="0"/>
        <v>0</v>
      </c>
      <c r="H34" s="795"/>
      <c r="I34" s="295">
        <f ca="1">IF($L$9 ="&lt;Don't know&gt;",0,1)</f>
        <v>1</v>
      </c>
      <c r="J34" s="337">
        <f ca="1">H34*E34*C34*I34</f>
        <v>0</v>
      </c>
      <c r="K34" s="800"/>
      <c r="P34" s="827"/>
      <c r="Q34" s="829"/>
      <c r="R34" s="824"/>
      <c r="S34" s="827" t="s">
        <v>966</v>
      </c>
      <c r="T34" s="829">
        <f>IF(H37=F37,T30,0)</f>
        <v>0</v>
      </c>
    </row>
    <row r="35" spans="1:23" ht="15" customHeight="1">
      <c r="B35" s="297" t="s">
        <v>1337</v>
      </c>
      <c r="C35" s="295">
        <f ca="1">IF(AND($L$8="Urban Area and Unallocated",$L$9="Brownfield Site"),0,1)</f>
        <v>0</v>
      </c>
      <c r="D35" s="295">
        <f ca="1">IF($L$9 ="&lt;Don't know&gt;",$Q$29,1)</f>
        <v>1</v>
      </c>
      <c r="E35" s="296">
        <v>75</v>
      </c>
      <c r="F35" s="795"/>
      <c r="G35" s="338">
        <f t="shared" ca="1" si="0"/>
        <v>0</v>
      </c>
      <c r="H35" s="795"/>
      <c r="I35" s="295">
        <v>1</v>
      </c>
      <c r="J35" s="337">
        <f ca="1">IF(H35&gt;F35,G35,H35*E35*I35*C35)</f>
        <v>0</v>
      </c>
      <c r="K35" s="800"/>
      <c r="P35" s="827"/>
      <c r="Q35" s="824"/>
      <c r="R35" s="824"/>
    </row>
    <row r="36" spans="1:23" ht="15" customHeight="1">
      <c r="B36" s="297" t="s">
        <v>1338</v>
      </c>
      <c r="C36" s="295">
        <f ca="1">IF(AND($L$8="Urban Area and Unallocated",$L$9="Brownfield Site"),0,1)</f>
        <v>0</v>
      </c>
      <c r="D36" s="295">
        <f ca="1">IF($L$9 ="&lt;Don't know&gt;",$Q$29,1)</f>
        <v>1</v>
      </c>
      <c r="E36" s="296">
        <v>100</v>
      </c>
      <c r="F36" s="269"/>
      <c r="G36" s="338">
        <f t="shared" ca="1" si="0"/>
        <v>0</v>
      </c>
      <c r="H36" s="795"/>
      <c r="I36" s="295">
        <v>1</v>
      </c>
      <c r="J36" s="337">
        <f ca="1">IF(H36&gt;F36,G36,H36*E36*I36*C36)</f>
        <v>0</v>
      </c>
      <c r="K36" s="801"/>
      <c r="L36" s="808"/>
      <c r="M36" s="808"/>
      <c r="N36" s="808"/>
      <c r="P36" s="827"/>
      <c r="Q36" s="830"/>
      <c r="R36" s="831"/>
    </row>
    <row r="37" spans="1:23" ht="16.5" customHeight="1">
      <c r="B37" s="794" t="s">
        <v>967</v>
      </c>
      <c r="C37" s="296"/>
      <c r="D37" s="296"/>
      <c r="E37" s="295"/>
      <c r="F37" s="336">
        <f>SUM(F19:F36)</f>
        <v>0</v>
      </c>
      <c r="G37" s="336">
        <f ca="1">SUM(G19:G36)</f>
        <v>0</v>
      </c>
      <c r="H37" s="336">
        <f>SUM(H19:H36)</f>
        <v>0</v>
      </c>
      <c r="I37" s="339"/>
      <c r="J37" s="340">
        <f ca="1">SUM(J19:J36)</f>
        <v>0</v>
      </c>
      <c r="R37" s="824"/>
    </row>
    <row r="38" spans="1:23" ht="18" customHeight="1" thickBot="1">
      <c r="B38" s="796" t="s">
        <v>1143</v>
      </c>
      <c r="C38" s="758"/>
      <c r="D38" s="758"/>
      <c r="E38" s="758"/>
      <c r="F38" s="560"/>
      <c r="G38" s="298">
        <f>IF(F37=0,0,G37/F37)</f>
        <v>0</v>
      </c>
      <c r="H38" s="560"/>
      <c r="I38" s="760"/>
      <c r="J38" s="298">
        <f>IF(H37=0,0,J37/H37)</f>
        <v>0</v>
      </c>
    </row>
    <row r="39" spans="1:23" s="761" customFormat="1" ht="19.5" customHeight="1" thickBot="1">
      <c r="B39" s="796" t="s">
        <v>751</v>
      </c>
      <c r="C39" s="758"/>
      <c r="D39" s="758"/>
      <c r="E39" s="758"/>
      <c r="F39" s="299">
        <f>J38-G38</f>
        <v>0</v>
      </c>
      <c r="G39" s="762"/>
      <c r="H39" s="763"/>
      <c r="I39" s="567"/>
      <c r="J39" s="567"/>
      <c r="K39" s="736"/>
      <c r="L39" s="803"/>
      <c r="M39" s="803"/>
      <c r="N39" s="803"/>
      <c r="O39" s="803"/>
      <c r="P39" s="803"/>
      <c r="Q39" s="803"/>
      <c r="R39" s="803"/>
      <c r="S39" s="810" t="s">
        <v>162</v>
      </c>
      <c r="T39" s="2710" t="s">
        <v>112</v>
      </c>
      <c r="U39" s="2711"/>
      <c r="V39" s="832"/>
      <c r="W39" s="832"/>
    </row>
    <row r="40" spans="1:23" ht="18">
      <c r="B40" s="797" t="s">
        <v>1406</v>
      </c>
      <c r="C40" s="764"/>
      <c r="D40" s="764"/>
      <c r="E40" s="764"/>
      <c r="F40" s="300">
        <f>IF(F37=0,0,T34)</f>
        <v>0</v>
      </c>
      <c r="G40" s="765"/>
      <c r="H40" s="766" t="str">
        <f>IF(H37=F37,"","Error - Check Areas")</f>
        <v/>
      </c>
      <c r="I40" s="767"/>
      <c r="J40" s="767"/>
      <c r="K40" s="802"/>
      <c r="L40" s="832"/>
      <c r="M40" s="832"/>
      <c r="N40" s="832"/>
      <c r="P40" s="832"/>
      <c r="Q40" s="832"/>
      <c r="S40" s="833" t="s">
        <v>765</v>
      </c>
      <c r="T40" s="834" t="s">
        <v>699</v>
      </c>
      <c r="U40" s="835"/>
    </row>
    <row r="41" spans="1:23" ht="18">
      <c r="B41" s="736" t="s">
        <v>752</v>
      </c>
      <c r="R41" s="832"/>
      <c r="S41" s="836" t="s">
        <v>686</v>
      </c>
      <c r="T41" s="2706" t="s">
        <v>700</v>
      </c>
      <c r="U41" s="2707"/>
    </row>
    <row r="42" spans="1:23" ht="18">
      <c r="O42" s="832"/>
      <c r="S42" s="836" t="s">
        <v>688</v>
      </c>
      <c r="T42" s="837" t="s">
        <v>701</v>
      </c>
      <c r="U42" s="838"/>
    </row>
    <row r="43" spans="1:23" ht="13.5" thickBot="1">
      <c r="S43" s="839" t="s">
        <v>690</v>
      </c>
      <c r="T43" s="2708" t="s">
        <v>702</v>
      </c>
      <c r="U43" s="2709"/>
    </row>
    <row r="44" spans="1:23">
      <c r="A44" s="754"/>
      <c r="B44" s="754"/>
      <c r="C44" s="754"/>
      <c r="D44" s="754"/>
      <c r="E44" s="754"/>
      <c r="F44" s="754"/>
      <c r="G44" s="754"/>
      <c r="H44" s="754"/>
      <c r="I44" s="754"/>
      <c r="M44" s="824"/>
      <c r="N44" s="824"/>
    </row>
    <row r="45" spans="1:23" s="772" customFormat="1" ht="15.75" hidden="1">
      <c r="A45" s="768"/>
      <c r="B45" s="769" t="s">
        <v>1326</v>
      </c>
      <c r="C45" s="770"/>
      <c r="D45" s="771"/>
      <c r="E45" s="771"/>
      <c r="F45" s="771"/>
      <c r="G45" s="770"/>
      <c r="H45" s="770"/>
      <c r="I45" s="770"/>
      <c r="J45" s="769"/>
      <c r="L45" s="840"/>
      <c r="M45" s="840"/>
      <c r="N45" s="840"/>
      <c r="O45" s="840"/>
      <c r="P45" s="840"/>
      <c r="Q45" s="840"/>
      <c r="R45" s="840"/>
      <c r="S45" s="840"/>
      <c r="T45" s="840"/>
      <c r="U45" s="840"/>
      <c r="V45" s="840"/>
      <c r="W45" s="840"/>
    </row>
    <row r="46" spans="1:23" s="753" customFormat="1" ht="38.25" hidden="1">
      <c r="A46" s="773"/>
      <c r="B46" s="774" t="s">
        <v>1339</v>
      </c>
      <c r="C46" s="775" t="s">
        <v>1327</v>
      </c>
      <c r="D46" s="775" t="s">
        <v>1328</v>
      </c>
      <c r="E46" s="775" t="s">
        <v>1329</v>
      </c>
      <c r="G46" s="776"/>
      <c r="H46" s="776"/>
      <c r="L46" s="841"/>
      <c r="M46" s="841"/>
      <c r="N46" s="841"/>
      <c r="O46" s="841"/>
      <c r="P46" s="841"/>
      <c r="Q46" s="841"/>
      <c r="R46" s="841"/>
      <c r="S46" s="841"/>
      <c r="T46" s="841"/>
      <c r="U46" s="841"/>
      <c r="V46" s="841"/>
      <c r="W46" s="841"/>
    </row>
    <row r="47" spans="1:23" s="778" customFormat="1" hidden="1">
      <c r="A47" s="759"/>
      <c r="B47" s="777" t="s">
        <v>1315</v>
      </c>
      <c r="C47" s="759"/>
      <c r="D47" s="759"/>
      <c r="E47" s="759"/>
      <c r="F47" s="759"/>
      <c r="G47" s="759"/>
      <c r="H47" s="759"/>
      <c r="I47" s="759"/>
      <c r="J47" s="759"/>
      <c r="K47" s="759"/>
      <c r="L47" s="842"/>
      <c r="M47" s="842"/>
      <c r="N47" s="842"/>
      <c r="O47" s="842"/>
      <c r="P47" s="842"/>
      <c r="Q47" s="842"/>
      <c r="R47" s="842"/>
      <c r="S47" s="842"/>
      <c r="T47" s="842"/>
      <c r="U47" s="842"/>
      <c r="V47" s="842"/>
      <c r="W47" s="842"/>
    </row>
    <row r="48" spans="1:23" s="778" customFormat="1" ht="12.75" hidden="1" customHeight="1">
      <c r="A48" s="759">
        <v>1</v>
      </c>
      <c r="B48" s="779" t="s">
        <v>1330</v>
      </c>
      <c r="C48" s="759" t="s">
        <v>1331</v>
      </c>
      <c r="D48" s="759">
        <v>1</v>
      </c>
      <c r="E48" s="759" t="s">
        <v>765</v>
      </c>
      <c r="F48" s="759" t="s">
        <v>1332</v>
      </c>
      <c r="G48" s="759"/>
      <c r="H48" s="759"/>
      <c r="I48" s="759"/>
      <c r="J48" s="759"/>
      <c r="K48" s="759"/>
      <c r="L48" s="842"/>
      <c r="M48" s="842"/>
      <c r="N48" s="842"/>
      <c r="O48" s="842"/>
      <c r="P48" s="842"/>
      <c r="Q48" s="842"/>
      <c r="R48" s="842"/>
      <c r="S48" s="842"/>
      <c r="T48" s="842"/>
      <c r="U48" s="842"/>
      <c r="V48" s="842"/>
      <c r="W48" s="842"/>
    </row>
    <row r="49" spans="1:23" s="778" customFormat="1" ht="12.75" hidden="1" customHeight="1">
      <c r="A49" s="759">
        <v>2</v>
      </c>
      <c r="B49" s="779" t="s">
        <v>1197</v>
      </c>
      <c r="C49" s="759" t="s">
        <v>1331</v>
      </c>
      <c r="D49" s="759">
        <v>2</v>
      </c>
      <c r="E49" s="759" t="s">
        <v>765</v>
      </c>
      <c r="F49" s="759" t="s">
        <v>1061</v>
      </c>
      <c r="G49" s="759"/>
      <c r="H49" s="759"/>
      <c r="I49" s="759"/>
      <c r="J49" s="759"/>
      <c r="K49" s="759"/>
      <c r="L49" s="842"/>
      <c r="M49" s="843" t="s">
        <v>1062</v>
      </c>
      <c r="N49" s="843" t="s">
        <v>1339</v>
      </c>
      <c r="O49" s="842"/>
      <c r="P49" s="842"/>
      <c r="Q49" s="842"/>
      <c r="R49" s="842"/>
      <c r="S49" s="842"/>
      <c r="T49" s="842"/>
      <c r="U49" s="842"/>
      <c r="V49" s="842"/>
      <c r="W49" s="842"/>
    </row>
    <row r="50" spans="1:23" s="778" customFormat="1" hidden="1">
      <c r="A50" s="759"/>
      <c r="B50" s="777" t="s">
        <v>1063</v>
      </c>
      <c r="C50" s="759"/>
      <c r="D50" s="759"/>
      <c r="E50" s="759"/>
      <c r="F50" s="759"/>
      <c r="G50" s="759"/>
      <c r="H50" s="759"/>
      <c r="I50" s="759"/>
      <c r="J50" s="759"/>
      <c r="K50" s="759"/>
      <c r="L50" s="842"/>
      <c r="M50" s="844">
        <v>1</v>
      </c>
      <c r="N50" s="845" t="s">
        <v>1063</v>
      </c>
      <c r="O50" s="842"/>
      <c r="P50" s="842"/>
      <c r="Q50" s="842"/>
      <c r="R50" s="842"/>
      <c r="S50" s="842"/>
      <c r="T50" s="842"/>
      <c r="U50" s="842"/>
      <c r="V50" s="842"/>
      <c r="W50" s="842"/>
    </row>
    <row r="51" spans="1:23" s="778" customFormat="1" hidden="1">
      <c r="A51" s="759">
        <v>1</v>
      </c>
      <c r="B51" s="779" t="s">
        <v>1330</v>
      </c>
      <c r="C51" s="759" t="s">
        <v>1331</v>
      </c>
      <c r="D51" s="759">
        <v>1</v>
      </c>
      <c r="E51" s="759" t="s">
        <v>765</v>
      </c>
      <c r="F51" s="759"/>
      <c r="G51" s="759"/>
      <c r="H51" s="759"/>
      <c r="I51" s="759"/>
      <c r="J51" s="759"/>
      <c r="K51" s="759"/>
      <c r="L51" s="842"/>
      <c r="M51" s="844">
        <v>2</v>
      </c>
      <c r="N51" s="845" t="s">
        <v>985</v>
      </c>
      <c r="O51" s="842"/>
      <c r="P51" s="842"/>
      <c r="Q51" s="842"/>
      <c r="R51" s="842"/>
      <c r="S51" s="842"/>
      <c r="T51" s="842"/>
      <c r="U51" s="842"/>
      <c r="V51" s="842"/>
      <c r="W51" s="842"/>
    </row>
    <row r="52" spans="1:23" s="778" customFormat="1" hidden="1">
      <c r="A52" s="759">
        <v>2</v>
      </c>
      <c r="B52" s="779" t="s">
        <v>983</v>
      </c>
      <c r="C52" s="759">
        <v>833</v>
      </c>
      <c r="D52" s="759">
        <v>2</v>
      </c>
      <c r="E52" s="759" t="s">
        <v>282</v>
      </c>
      <c r="F52" s="759">
        <v>326915</v>
      </c>
      <c r="G52" s="759">
        <v>263815</v>
      </c>
      <c r="H52" s="759">
        <v>81</v>
      </c>
      <c r="I52" s="759">
        <v>1</v>
      </c>
      <c r="J52" s="759">
        <v>19</v>
      </c>
      <c r="K52" s="759" t="s">
        <v>984</v>
      </c>
      <c r="L52" s="842"/>
      <c r="M52" s="844">
        <v>3</v>
      </c>
      <c r="N52" s="845" t="s">
        <v>988</v>
      </c>
      <c r="O52" s="842"/>
      <c r="P52" s="842"/>
      <c r="Q52" s="842"/>
      <c r="R52" s="842"/>
      <c r="S52" s="842"/>
      <c r="T52" s="842"/>
      <c r="U52" s="842"/>
      <c r="V52" s="842"/>
      <c r="W52" s="842"/>
    </row>
    <row r="53" spans="1:23" s="778" customFormat="1" hidden="1">
      <c r="A53" s="759">
        <v>3</v>
      </c>
      <c r="B53" s="779" t="s">
        <v>986</v>
      </c>
      <c r="C53" s="759">
        <v>8060</v>
      </c>
      <c r="D53" s="759">
        <v>3</v>
      </c>
      <c r="E53" s="759" t="s">
        <v>284</v>
      </c>
      <c r="F53" s="759">
        <v>113220</v>
      </c>
      <c r="G53" s="759">
        <v>89394</v>
      </c>
      <c r="H53" s="759">
        <v>79</v>
      </c>
      <c r="I53" s="759">
        <v>1</v>
      </c>
      <c r="J53" s="759">
        <v>19</v>
      </c>
      <c r="K53" s="759" t="s">
        <v>987</v>
      </c>
      <c r="L53" s="842"/>
      <c r="M53" s="844">
        <v>4</v>
      </c>
      <c r="N53" s="845" t="s">
        <v>990</v>
      </c>
      <c r="O53" s="842"/>
      <c r="P53" s="842"/>
      <c r="Q53" s="842"/>
      <c r="R53" s="842"/>
      <c r="S53" s="842"/>
      <c r="T53" s="842"/>
      <c r="U53" s="842"/>
      <c r="V53" s="842"/>
      <c r="W53" s="842"/>
    </row>
    <row r="54" spans="1:23" s="778" customFormat="1" hidden="1">
      <c r="A54" s="759">
        <v>4</v>
      </c>
      <c r="B54" s="779" t="s">
        <v>989</v>
      </c>
      <c r="C54" s="759">
        <v>851</v>
      </c>
      <c r="D54" s="759">
        <v>4</v>
      </c>
      <c r="E54" s="759" t="s">
        <v>282</v>
      </c>
      <c r="F54" s="759">
        <v>197622</v>
      </c>
      <c r="G54" s="759">
        <v>194933</v>
      </c>
      <c r="H54" s="759">
        <v>99</v>
      </c>
      <c r="I54" s="759">
        <v>5</v>
      </c>
      <c r="J54" s="759">
        <v>19</v>
      </c>
      <c r="K54" s="759" t="s">
        <v>984</v>
      </c>
      <c r="L54" s="842"/>
      <c r="M54" s="844">
        <v>5</v>
      </c>
      <c r="N54" s="845" t="s">
        <v>233</v>
      </c>
      <c r="O54" s="842"/>
      <c r="P54" s="842"/>
      <c r="Q54" s="842"/>
      <c r="R54" s="842"/>
      <c r="S54" s="842"/>
      <c r="T54" s="842"/>
      <c r="U54" s="842"/>
      <c r="V54" s="842"/>
      <c r="W54" s="842"/>
    </row>
    <row r="55" spans="1:23" s="778" customFormat="1" hidden="1">
      <c r="A55" s="759">
        <v>5</v>
      </c>
      <c r="B55" s="779" t="s">
        <v>232</v>
      </c>
      <c r="C55" s="759">
        <v>304</v>
      </c>
      <c r="D55" s="759">
        <v>5</v>
      </c>
      <c r="E55" s="759" t="s">
        <v>282</v>
      </c>
      <c r="F55" s="759">
        <v>24622</v>
      </c>
      <c r="G55" s="759">
        <v>22989</v>
      </c>
      <c r="H55" s="759">
        <v>93</v>
      </c>
      <c r="I55" s="759">
        <v>9</v>
      </c>
      <c r="J55" s="759">
        <v>19</v>
      </c>
      <c r="K55" s="759" t="s">
        <v>984</v>
      </c>
      <c r="L55" s="842"/>
      <c r="M55" s="844">
        <v>6</v>
      </c>
      <c r="N55" s="845" t="s">
        <v>235</v>
      </c>
      <c r="O55" s="842"/>
      <c r="P55" s="842"/>
      <c r="Q55" s="842"/>
      <c r="R55" s="842"/>
      <c r="S55" s="842"/>
      <c r="T55" s="842"/>
      <c r="U55" s="842"/>
      <c r="V55" s="842"/>
      <c r="W55" s="842"/>
    </row>
    <row r="56" spans="1:23" s="778" customFormat="1" hidden="1">
      <c r="A56" s="759">
        <v>6</v>
      </c>
      <c r="B56" s="779" t="s">
        <v>234</v>
      </c>
      <c r="C56" s="759">
        <v>8061</v>
      </c>
      <c r="D56" s="759">
        <v>6</v>
      </c>
      <c r="E56" s="759" t="s">
        <v>282</v>
      </c>
      <c r="F56" s="759">
        <v>129232</v>
      </c>
      <c r="G56" s="759">
        <v>123138</v>
      </c>
      <c r="H56" s="759">
        <v>95</v>
      </c>
      <c r="I56" s="759">
        <v>5</v>
      </c>
      <c r="J56" s="759">
        <v>19</v>
      </c>
      <c r="K56" s="759" t="s">
        <v>984</v>
      </c>
      <c r="L56" s="842"/>
      <c r="M56" s="844">
        <v>7</v>
      </c>
      <c r="N56" s="845" t="s">
        <v>237</v>
      </c>
      <c r="O56" s="842"/>
      <c r="P56" s="842"/>
      <c r="Q56" s="842"/>
      <c r="R56" s="842"/>
      <c r="S56" s="842"/>
      <c r="T56" s="842"/>
      <c r="U56" s="842"/>
      <c r="V56" s="842"/>
      <c r="W56" s="842"/>
    </row>
    <row r="57" spans="1:23" s="778" customFormat="1" hidden="1">
      <c r="A57" s="759">
        <v>7</v>
      </c>
      <c r="B57" s="779" t="s">
        <v>236</v>
      </c>
      <c r="C57" s="759">
        <v>8064</v>
      </c>
      <c r="D57" s="759">
        <v>7</v>
      </c>
      <c r="E57" s="759" t="s">
        <v>282</v>
      </c>
      <c r="F57" s="759">
        <v>168298</v>
      </c>
      <c r="G57" s="759">
        <v>153521</v>
      </c>
      <c r="H57" s="759">
        <v>91</v>
      </c>
      <c r="I57" s="759">
        <v>8</v>
      </c>
      <c r="J57" s="759">
        <v>19</v>
      </c>
      <c r="K57" s="759" t="s">
        <v>984</v>
      </c>
      <c r="L57" s="842"/>
      <c r="M57" s="844">
        <v>8</v>
      </c>
      <c r="N57" s="845" t="s">
        <v>239</v>
      </c>
      <c r="O57" s="842"/>
      <c r="P57" s="842"/>
      <c r="Q57" s="842"/>
      <c r="R57" s="842"/>
      <c r="S57" s="842"/>
      <c r="T57" s="842"/>
      <c r="U57" s="842"/>
      <c r="V57" s="842"/>
      <c r="W57" s="842"/>
    </row>
    <row r="58" spans="1:23" s="778" customFormat="1" hidden="1">
      <c r="A58" s="759">
        <v>8</v>
      </c>
      <c r="B58" s="779" t="s">
        <v>238</v>
      </c>
      <c r="C58" s="759">
        <v>8068</v>
      </c>
      <c r="D58" s="759">
        <v>8</v>
      </c>
      <c r="E58" s="759" t="s">
        <v>282</v>
      </c>
      <c r="F58" s="759">
        <v>88298</v>
      </c>
      <c r="G58" s="759">
        <v>75907</v>
      </c>
      <c r="H58" s="759">
        <v>86</v>
      </c>
      <c r="I58" s="759">
        <v>6</v>
      </c>
      <c r="J58" s="759">
        <v>19</v>
      </c>
      <c r="K58" s="759" t="s">
        <v>984</v>
      </c>
      <c r="L58" s="842"/>
      <c r="M58" s="844">
        <v>9</v>
      </c>
      <c r="N58" s="845" t="s">
        <v>241</v>
      </c>
      <c r="O58" s="842"/>
      <c r="P58" s="842"/>
      <c r="Q58" s="842"/>
      <c r="R58" s="842"/>
      <c r="S58" s="842"/>
      <c r="T58" s="842"/>
      <c r="U58" s="842"/>
      <c r="V58" s="842"/>
      <c r="W58" s="842"/>
    </row>
    <row r="59" spans="1:23" s="778" customFormat="1" hidden="1">
      <c r="A59" s="759">
        <v>9</v>
      </c>
      <c r="B59" s="779" t="s">
        <v>240</v>
      </c>
      <c r="C59" s="759">
        <v>9273</v>
      </c>
      <c r="D59" s="759">
        <v>9</v>
      </c>
      <c r="E59" s="759" t="s">
        <v>282</v>
      </c>
      <c r="F59" s="759">
        <v>67393</v>
      </c>
      <c r="G59" s="759">
        <v>64417</v>
      </c>
      <c r="H59" s="759">
        <v>96</v>
      </c>
      <c r="I59" s="759">
        <v>3</v>
      </c>
      <c r="J59" s="759">
        <v>19</v>
      </c>
      <c r="K59" s="759" t="s">
        <v>984</v>
      </c>
      <c r="L59" s="842"/>
      <c r="M59" s="844">
        <v>10</v>
      </c>
      <c r="N59" s="845" t="s">
        <v>243</v>
      </c>
      <c r="O59" s="842"/>
      <c r="P59" s="842"/>
      <c r="Q59" s="842"/>
      <c r="R59" s="842"/>
      <c r="S59" s="842"/>
      <c r="T59" s="842"/>
      <c r="U59" s="842"/>
      <c r="V59" s="842"/>
      <c r="W59" s="842"/>
    </row>
    <row r="60" spans="1:23" s="778" customFormat="1" hidden="1">
      <c r="A60" s="759">
        <v>10</v>
      </c>
      <c r="B60" s="779" t="s">
        <v>242</v>
      </c>
      <c r="C60" s="759">
        <v>8062</v>
      </c>
      <c r="D60" s="759">
        <v>10</v>
      </c>
      <c r="E60" s="759" t="s">
        <v>282</v>
      </c>
      <c r="F60" s="759">
        <v>676337</v>
      </c>
      <c r="G60" s="759">
        <v>648575</v>
      </c>
      <c r="H60" s="759">
        <v>96</v>
      </c>
      <c r="I60" s="759">
        <v>6</v>
      </c>
      <c r="J60" s="759">
        <v>19</v>
      </c>
      <c r="K60" s="759" t="s">
        <v>984</v>
      </c>
      <c r="L60" s="842"/>
      <c r="M60" s="844">
        <v>11</v>
      </c>
      <c r="N60" s="845" t="s">
        <v>246</v>
      </c>
      <c r="O60" s="842"/>
      <c r="P60" s="842"/>
      <c r="Q60" s="842"/>
      <c r="R60" s="842"/>
      <c r="S60" s="842"/>
      <c r="T60" s="842"/>
      <c r="U60" s="842"/>
      <c r="V60" s="842"/>
      <c r="W60" s="842"/>
    </row>
    <row r="61" spans="1:23" s="778" customFormat="1" hidden="1">
      <c r="A61" s="759">
        <v>11</v>
      </c>
      <c r="B61" s="779" t="s">
        <v>244</v>
      </c>
      <c r="C61" s="759">
        <v>8063</v>
      </c>
      <c r="D61" s="759">
        <v>11</v>
      </c>
      <c r="E61" s="759" t="s">
        <v>282</v>
      </c>
      <c r="F61" s="759">
        <v>248438</v>
      </c>
      <c r="G61" s="759">
        <v>244784</v>
      </c>
      <c r="H61" s="759">
        <v>99</v>
      </c>
      <c r="I61" s="759">
        <v>11</v>
      </c>
      <c r="J61" s="759">
        <v>19</v>
      </c>
      <c r="K61" s="759" t="s">
        <v>245</v>
      </c>
      <c r="L61" s="842"/>
      <c r="M61" s="844">
        <v>12</v>
      </c>
      <c r="N61" s="845" t="s">
        <v>248</v>
      </c>
      <c r="O61" s="842"/>
      <c r="P61" s="842"/>
      <c r="Q61" s="842"/>
      <c r="R61" s="842"/>
      <c r="S61" s="842"/>
      <c r="T61" s="842"/>
      <c r="U61" s="842"/>
      <c r="V61" s="842"/>
      <c r="W61" s="842"/>
    </row>
    <row r="62" spans="1:23" s="778" customFormat="1" hidden="1">
      <c r="A62" s="759">
        <v>12</v>
      </c>
      <c r="B62" s="779" t="s">
        <v>247</v>
      </c>
      <c r="C62" s="759">
        <v>8066</v>
      </c>
      <c r="D62" s="759">
        <v>12</v>
      </c>
      <c r="E62" s="759" t="s">
        <v>282</v>
      </c>
      <c r="F62" s="759">
        <v>224866</v>
      </c>
      <c r="G62" s="759">
        <v>205961</v>
      </c>
      <c r="H62" s="759">
        <v>92</v>
      </c>
      <c r="I62" s="759">
        <v>5</v>
      </c>
      <c r="J62" s="759">
        <v>19</v>
      </c>
      <c r="K62" s="759" t="s">
        <v>984</v>
      </c>
      <c r="L62" s="842"/>
      <c r="M62" s="844">
        <v>13</v>
      </c>
      <c r="N62" s="845" t="s">
        <v>250</v>
      </c>
      <c r="O62" s="842"/>
      <c r="P62" s="842"/>
      <c r="Q62" s="842"/>
      <c r="R62" s="842"/>
      <c r="S62" s="842"/>
      <c r="T62" s="842"/>
      <c r="U62" s="842"/>
      <c r="V62" s="842"/>
      <c r="W62" s="842"/>
    </row>
    <row r="63" spans="1:23" s="778" customFormat="1" hidden="1">
      <c r="A63" s="759">
        <v>13</v>
      </c>
      <c r="B63" s="779" t="s">
        <v>249</v>
      </c>
      <c r="C63" s="759">
        <v>8069</v>
      </c>
      <c r="D63" s="759">
        <v>13</v>
      </c>
      <c r="E63" s="759" t="s">
        <v>282</v>
      </c>
      <c r="F63" s="759">
        <v>127114</v>
      </c>
      <c r="G63" s="759">
        <v>123568</v>
      </c>
      <c r="H63" s="759">
        <v>97</v>
      </c>
      <c r="I63" s="759">
        <v>13</v>
      </c>
      <c r="J63" s="759">
        <v>19</v>
      </c>
      <c r="K63" s="759" t="s">
        <v>245</v>
      </c>
      <c r="L63" s="842"/>
      <c r="M63" s="844">
        <v>14</v>
      </c>
      <c r="N63" s="845" t="s">
        <v>252</v>
      </c>
      <c r="O63" s="842"/>
      <c r="P63" s="842"/>
      <c r="Q63" s="842"/>
      <c r="R63" s="842"/>
      <c r="S63" s="842"/>
      <c r="T63" s="842"/>
      <c r="U63" s="842"/>
      <c r="V63" s="842"/>
      <c r="W63" s="842"/>
    </row>
    <row r="64" spans="1:23" s="778" customFormat="1" hidden="1">
      <c r="A64" s="759">
        <v>14</v>
      </c>
      <c r="B64" s="779" t="s">
        <v>251</v>
      </c>
      <c r="C64" s="759">
        <v>8067</v>
      </c>
      <c r="D64" s="759">
        <v>14</v>
      </c>
      <c r="E64" s="759" t="s">
        <v>282</v>
      </c>
      <c r="F64" s="759">
        <v>523565</v>
      </c>
      <c r="G64" s="759">
        <v>494258</v>
      </c>
      <c r="H64" s="759">
        <v>94</v>
      </c>
      <c r="I64" s="759">
        <v>9</v>
      </c>
      <c r="J64" s="759">
        <v>19</v>
      </c>
      <c r="K64" s="759" t="s">
        <v>984</v>
      </c>
      <c r="L64" s="842"/>
      <c r="M64" s="844">
        <v>15</v>
      </c>
      <c r="N64" s="845" t="s">
        <v>254</v>
      </c>
      <c r="O64" s="842"/>
      <c r="P64" s="842"/>
      <c r="Q64" s="842"/>
      <c r="R64" s="842"/>
      <c r="S64" s="842"/>
      <c r="T64" s="842"/>
      <c r="U64" s="842"/>
      <c r="V64" s="842"/>
      <c r="W64" s="842"/>
    </row>
    <row r="65" spans="1:23" s="778" customFormat="1" hidden="1">
      <c r="A65" s="759"/>
      <c r="B65" s="777" t="s">
        <v>253</v>
      </c>
      <c r="C65" s="759"/>
      <c r="D65" s="759"/>
      <c r="E65" s="759"/>
      <c r="F65" s="759"/>
      <c r="G65" s="759"/>
      <c r="H65" s="759"/>
      <c r="I65" s="759"/>
      <c r="J65" s="759"/>
      <c r="K65" s="759"/>
      <c r="L65" s="842"/>
      <c r="M65" s="844">
        <v>16</v>
      </c>
      <c r="N65" s="845" t="s">
        <v>1445</v>
      </c>
      <c r="O65" s="842"/>
      <c r="P65" s="842"/>
      <c r="Q65" s="842"/>
      <c r="R65" s="842"/>
      <c r="S65" s="842"/>
      <c r="T65" s="842"/>
      <c r="U65" s="842"/>
      <c r="V65" s="842"/>
      <c r="W65" s="842"/>
    </row>
    <row r="66" spans="1:23" s="778" customFormat="1" hidden="1">
      <c r="A66" s="759">
        <v>1</v>
      </c>
      <c r="B66" s="779" t="s">
        <v>1330</v>
      </c>
      <c r="C66" s="759" t="s">
        <v>1331</v>
      </c>
      <c r="D66" s="759">
        <v>1</v>
      </c>
      <c r="E66" s="759" t="s">
        <v>765</v>
      </c>
      <c r="F66" s="759"/>
      <c r="G66" s="759"/>
      <c r="H66" s="759"/>
      <c r="I66" s="759"/>
      <c r="J66" s="759"/>
      <c r="K66" s="759"/>
      <c r="L66" s="842"/>
      <c r="M66" s="844">
        <v>17</v>
      </c>
      <c r="N66" s="845" t="s">
        <v>1210</v>
      </c>
      <c r="O66" s="842"/>
      <c r="P66" s="842"/>
      <c r="Q66" s="842"/>
      <c r="R66" s="842"/>
      <c r="S66" s="842"/>
      <c r="T66" s="842"/>
      <c r="U66" s="842"/>
      <c r="V66" s="842"/>
      <c r="W66" s="842"/>
    </row>
    <row r="67" spans="1:23" s="778" customFormat="1" hidden="1">
      <c r="A67" s="759">
        <v>2</v>
      </c>
      <c r="B67" s="779" t="s">
        <v>1444</v>
      </c>
      <c r="C67" s="759">
        <v>866</v>
      </c>
      <c r="D67" s="759">
        <v>2</v>
      </c>
      <c r="E67" s="759" t="s">
        <v>286</v>
      </c>
      <c r="F67" s="759">
        <v>58399</v>
      </c>
      <c r="G67" s="759">
        <v>30006</v>
      </c>
      <c r="H67" s="759">
        <v>51</v>
      </c>
      <c r="I67" s="759">
        <v>6</v>
      </c>
      <c r="J67" s="759">
        <v>31</v>
      </c>
      <c r="K67" s="759" t="s">
        <v>984</v>
      </c>
      <c r="L67" s="842"/>
      <c r="M67" s="844">
        <v>18</v>
      </c>
      <c r="N67" s="845" t="s">
        <v>1213</v>
      </c>
      <c r="O67" s="842"/>
      <c r="P67" s="842"/>
      <c r="Q67" s="842"/>
      <c r="R67" s="842"/>
      <c r="S67" s="842"/>
      <c r="T67" s="842"/>
      <c r="U67" s="842"/>
      <c r="V67" s="842"/>
      <c r="W67" s="842"/>
    </row>
    <row r="68" spans="1:23" s="778" customFormat="1" hidden="1">
      <c r="A68" s="759"/>
      <c r="B68" s="777" t="s">
        <v>988</v>
      </c>
      <c r="C68" s="759"/>
      <c r="D68" s="759"/>
      <c r="E68" s="759"/>
      <c r="F68" s="759"/>
      <c r="G68" s="759"/>
      <c r="H68" s="759"/>
      <c r="I68" s="759"/>
      <c r="J68" s="759"/>
      <c r="K68" s="759"/>
      <c r="L68" s="842"/>
      <c r="M68" s="844">
        <v>19</v>
      </c>
      <c r="N68" s="845" t="s">
        <v>1215</v>
      </c>
      <c r="O68" s="842"/>
      <c r="P68" s="842"/>
      <c r="Q68" s="842"/>
      <c r="R68" s="842"/>
      <c r="S68" s="842"/>
      <c r="T68" s="842"/>
      <c r="U68" s="842"/>
      <c r="V68" s="842"/>
      <c r="W68" s="842"/>
    </row>
    <row r="69" spans="1:23" s="778" customFormat="1" hidden="1">
      <c r="A69" s="759">
        <v>1</v>
      </c>
      <c r="B69" s="779" t="s">
        <v>1330</v>
      </c>
      <c r="C69" s="759" t="s">
        <v>1331</v>
      </c>
      <c r="D69" s="759">
        <v>1</v>
      </c>
      <c r="E69" s="759" t="s">
        <v>765</v>
      </c>
      <c r="F69" s="759"/>
      <c r="G69" s="759"/>
      <c r="H69" s="759"/>
      <c r="I69" s="759"/>
      <c r="J69" s="759"/>
      <c r="K69" s="759"/>
      <c r="L69" s="842"/>
      <c r="M69" s="844">
        <v>20</v>
      </c>
      <c r="N69" s="845" t="s">
        <v>1096</v>
      </c>
      <c r="O69" s="842"/>
      <c r="P69" s="842"/>
      <c r="Q69" s="842"/>
      <c r="R69" s="842"/>
      <c r="S69" s="842"/>
      <c r="T69" s="842"/>
      <c r="U69" s="842"/>
      <c r="V69" s="842"/>
      <c r="W69" s="842"/>
    </row>
    <row r="70" spans="1:23" s="778" customFormat="1" hidden="1">
      <c r="A70" s="759">
        <v>2</v>
      </c>
      <c r="B70" s="779" t="s">
        <v>1211</v>
      </c>
      <c r="C70" s="759">
        <v>9239</v>
      </c>
      <c r="D70" s="759">
        <v>2</v>
      </c>
      <c r="E70" s="759" t="s">
        <v>282</v>
      </c>
      <c r="F70" s="759">
        <v>17038</v>
      </c>
      <c r="G70" s="759">
        <v>15542</v>
      </c>
      <c r="H70" s="759">
        <v>91</v>
      </c>
      <c r="I70" s="759">
        <v>27</v>
      </c>
      <c r="J70" s="759">
        <v>20</v>
      </c>
      <c r="K70" s="759" t="s">
        <v>1212</v>
      </c>
      <c r="L70" s="842"/>
      <c r="M70" s="844">
        <v>21</v>
      </c>
      <c r="N70" s="845" t="s">
        <v>1098</v>
      </c>
      <c r="O70" s="842"/>
      <c r="P70" s="842"/>
      <c r="Q70" s="842"/>
      <c r="R70" s="842"/>
      <c r="S70" s="842"/>
      <c r="T70" s="842"/>
      <c r="U70" s="842"/>
      <c r="V70" s="842"/>
      <c r="W70" s="842"/>
    </row>
    <row r="71" spans="1:23" s="778" customFormat="1" hidden="1">
      <c r="A71" s="759">
        <v>3</v>
      </c>
      <c r="B71" s="779" t="s">
        <v>1214</v>
      </c>
      <c r="C71" s="759">
        <v>846</v>
      </c>
      <c r="D71" s="759">
        <v>3</v>
      </c>
      <c r="E71" s="759" t="s">
        <v>282</v>
      </c>
      <c r="F71" s="759">
        <v>28154</v>
      </c>
      <c r="G71" s="759">
        <v>25035</v>
      </c>
      <c r="H71" s="759">
        <v>89</v>
      </c>
      <c r="I71" s="759">
        <v>4</v>
      </c>
      <c r="J71" s="759">
        <v>20</v>
      </c>
      <c r="K71" s="759" t="s">
        <v>984</v>
      </c>
      <c r="L71" s="842"/>
      <c r="M71" s="844">
        <v>22</v>
      </c>
      <c r="N71" s="845" t="s">
        <v>335</v>
      </c>
      <c r="O71" s="842"/>
      <c r="P71" s="842"/>
      <c r="Q71" s="842"/>
      <c r="R71" s="842"/>
      <c r="S71" s="842"/>
      <c r="T71" s="842"/>
      <c r="U71" s="842"/>
      <c r="V71" s="842"/>
      <c r="W71" s="842"/>
    </row>
    <row r="72" spans="1:23" s="778" customFormat="1" hidden="1">
      <c r="A72" s="759">
        <v>4</v>
      </c>
      <c r="B72" s="779" t="s">
        <v>1095</v>
      </c>
      <c r="C72" s="759">
        <v>8070</v>
      </c>
      <c r="D72" s="759">
        <v>4</v>
      </c>
      <c r="E72" s="759" t="s">
        <v>282</v>
      </c>
      <c r="F72" s="759">
        <v>1983</v>
      </c>
      <c r="G72" s="759">
        <v>1946</v>
      </c>
      <c r="H72" s="759">
        <v>98</v>
      </c>
      <c r="I72" s="759">
        <v>36</v>
      </c>
      <c r="J72" s="759">
        <v>20</v>
      </c>
      <c r="K72" s="759" t="s">
        <v>1212</v>
      </c>
      <c r="L72" s="842"/>
      <c r="M72" s="844">
        <v>23</v>
      </c>
      <c r="N72" s="845" t="s">
        <v>337</v>
      </c>
      <c r="O72" s="842"/>
      <c r="P72" s="842"/>
      <c r="Q72" s="842"/>
      <c r="R72" s="842"/>
      <c r="S72" s="842"/>
      <c r="T72" s="842"/>
      <c r="U72" s="842"/>
      <c r="V72" s="842"/>
      <c r="W72" s="842"/>
    </row>
    <row r="73" spans="1:23" s="778" customFormat="1" hidden="1">
      <c r="A73" s="759">
        <v>5</v>
      </c>
      <c r="B73" s="779" t="s">
        <v>1097</v>
      </c>
      <c r="C73" s="759">
        <v>937</v>
      </c>
      <c r="D73" s="759">
        <v>5</v>
      </c>
      <c r="E73" s="759" t="s">
        <v>282</v>
      </c>
      <c r="F73" s="759">
        <v>4147</v>
      </c>
      <c r="G73" s="759">
        <v>3755</v>
      </c>
      <c r="H73" s="759">
        <v>91</v>
      </c>
      <c r="I73" s="759">
        <v>42</v>
      </c>
      <c r="J73" s="759">
        <v>20</v>
      </c>
      <c r="K73" s="759" t="s">
        <v>1212</v>
      </c>
      <c r="L73" s="842"/>
      <c r="M73" s="844">
        <v>24</v>
      </c>
      <c r="N73" s="845" t="s">
        <v>338</v>
      </c>
      <c r="O73" s="842"/>
      <c r="P73" s="842"/>
      <c r="Q73" s="842"/>
      <c r="R73" s="842"/>
      <c r="S73" s="842"/>
      <c r="T73" s="842"/>
      <c r="U73" s="842"/>
      <c r="V73" s="842"/>
      <c r="W73" s="842"/>
    </row>
    <row r="74" spans="1:23" s="778" customFormat="1" hidden="1">
      <c r="A74" s="759"/>
      <c r="B74" s="777" t="s">
        <v>239</v>
      </c>
      <c r="C74" s="759"/>
      <c r="D74" s="759"/>
      <c r="E74" s="759"/>
      <c r="F74" s="759"/>
      <c r="G74" s="759"/>
      <c r="H74" s="759"/>
      <c r="I74" s="759"/>
      <c r="J74" s="759"/>
      <c r="K74" s="759"/>
      <c r="L74" s="842"/>
      <c r="M74" s="844">
        <v>25</v>
      </c>
      <c r="N74" s="845" t="s">
        <v>523</v>
      </c>
      <c r="O74" s="842"/>
      <c r="P74" s="842"/>
      <c r="Q74" s="842"/>
      <c r="R74" s="842"/>
      <c r="S74" s="842"/>
      <c r="T74" s="842"/>
      <c r="U74" s="842"/>
      <c r="V74" s="842"/>
      <c r="W74" s="842"/>
    </row>
    <row r="75" spans="1:23" s="778" customFormat="1" hidden="1">
      <c r="A75" s="759">
        <v>1</v>
      </c>
      <c r="B75" s="779" t="s">
        <v>1330</v>
      </c>
      <c r="C75" s="759" t="s">
        <v>1331</v>
      </c>
      <c r="D75" s="759">
        <v>1</v>
      </c>
      <c r="E75" s="759" t="s">
        <v>765</v>
      </c>
      <c r="F75" s="759"/>
      <c r="G75" s="759"/>
      <c r="H75" s="759"/>
      <c r="I75" s="759"/>
      <c r="J75" s="759"/>
      <c r="K75" s="759"/>
      <c r="L75" s="842"/>
      <c r="M75" s="844">
        <v>26</v>
      </c>
      <c r="N75" s="845" t="s">
        <v>525</v>
      </c>
      <c r="O75" s="842"/>
      <c r="P75" s="842"/>
      <c r="Q75" s="842"/>
      <c r="R75" s="842"/>
      <c r="S75" s="842"/>
      <c r="T75" s="842"/>
      <c r="U75" s="842"/>
      <c r="V75" s="842"/>
      <c r="W75" s="842"/>
    </row>
    <row r="76" spans="1:23" s="778" customFormat="1" hidden="1">
      <c r="A76" s="759">
        <v>2</v>
      </c>
      <c r="B76" s="779" t="s">
        <v>336</v>
      </c>
      <c r="C76" s="759">
        <v>910</v>
      </c>
      <c r="D76" s="759">
        <v>2</v>
      </c>
      <c r="E76" s="759" t="s">
        <v>286</v>
      </c>
      <c r="F76" s="759">
        <v>75154</v>
      </c>
      <c r="G76" s="759">
        <v>24742</v>
      </c>
      <c r="H76" s="759">
        <v>33</v>
      </c>
      <c r="I76" s="759">
        <v>4</v>
      </c>
      <c r="J76" s="759">
        <v>31</v>
      </c>
      <c r="K76" s="759" t="s">
        <v>984</v>
      </c>
      <c r="L76" s="842"/>
      <c r="M76" s="844">
        <v>27</v>
      </c>
      <c r="N76" s="845" t="s">
        <v>527</v>
      </c>
      <c r="O76" s="842"/>
      <c r="P76" s="842"/>
      <c r="Q76" s="842"/>
      <c r="R76" s="842"/>
      <c r="S76" s="842"/>
      <c r="T76" s="842"/>
      <c r="U76" s="842"/>
      <c r="V76" s="842"/>
      <c r="W76" s="842"/>
    </row>
    <row r="77" spans="1:23" s="778" customFormat="1" hidden="1">
      <c r="A77" s="759"/>
      <c r="B77" s="777" t="s">
        <v>243</v>
      </c>
      <c r="C77" s="759"/>
      <c r="D77" s="759"/>
      <c r="E77" s="759"/>
      <c r="F77" s="759"/>
      <c r="G77" s="759"/>
      <c r="H77" s="759"/>
      <c r="I77" s="759"/>
      <c r="J77" s="759"/>
      <c r="K77" s="759"/>
      <c r="L77" s="842"/>
      <c r="M77" s="844">
        <v>28</v>
      </c>
      <c r="N77" s="845" t="s">
        <v>1323</v>
      </c>
      <c r="O77" s="842"/>
      <c r="P77" s="842"/>
      <c r="Q77" s="842"/>
      <c r="R77" s="842"/>
      <c r="S77" s="842"/>
      <c r="T77" s="842"/>
      <c r="U77" s="842"/>
      <c r="V77" s="842"/>
      <c r="W77" s="842"/>
    </row>
    <row r="78" spans="1:23" s="778" customFormat="1" hidden="1">
      <c r="A78" s="759">
        <v>1</v>
      </c>
      <c r="B78" s="779" t="s">
        <v>1330</v>
      </c>
      <c r="C78" s="759" t="s">
        <v>1331</v>
      </c>
      <c r="D78" s="759">
        <v>1</v>
      </c>
      <c r="E78" s="759" t="s">
        <v>765</v>
      </c>
      <c r="F78" s="759"/>
      <c r="G78" s="759"/>
      <c r="H78" s="759"/>
      <c r="I78" s="759"/>
      <c r="J78" s="759"/>
      <c r="K78" s="759"/>
      <c r="L78" s="842"/>
      <c r="M78" s="844">
        <v>29</v>
      </c>
      <c r="N78" s="845" t="s">
        <v>615</v>
      </c>
      <c r="O78" s="842"/>
      <c r="P78" s="842"/>
      <c r="Q78" s="842"/>
      <c r="R78" s="842"/>
      <c r="S78" s="842"/>
      <c r="T78" s="842"/>
      <c r="U78" s="842"/>
      <c r="V78" s="842"/>
      <c r="W78" s="842"/>
    </row>
    <row r="79" spans="1:23" s="778" customFormat="1" hidden="1">
      <c r="A79" s="759">
        <v>2</v>
      </c>
      <c r="B79" s="779" t="s">
        <v>339</v>
      </c>
      <c r="C79" s="759">
        <v>270</v>
      </c>
      <c r="D79" s="759">
        <v>2</v>
      </c>
      <c r="E79" s="759" t="s">
        <v>282</v>
      </c>
      <c r="F79" s="759">
        <v>63753</v>
      </c>
      <c r="G79" s="759">
        <v>63620</v>
      </c>
      <c r="H79" s="759">
        <v>100</v>
      </c>
      <c r="I79" s="759">
        <v>0</v>
      </c>
      <c r="J79" s="759">
        <v>34</v>
      </c>
      <c r="K79" s="759" t="s">
        <v>522</v>
      </c>
      <c r="L79" s="842"/>
      <c r="M79" s="844">
        <v>30</v>
      </c>
      <c r="N79" s="845" t="s">
        <v>617</v>
      </c>
      <c r="O79" s="842"/>
      <c r="P79" s="842"/>
      <c r="Q79" s="842"/>
      <c r="R79" s="842"/>
      <c r="S79" s="842"/>
      <c r="T79" s="842"/>
      <c r="U79" s="842"/>
      <c r="V79" s="842"/>
      <c r="W79" s="842"/>
    </row>
    <row r="80" spans="1:23" s="778" customFormat="1" hidden="1">
      <c r="A80" s="759">
        <v>3</v>
      </c>
      <c r="B80" s="779" t="s">
        <v>524</v>
      </c>
      <c r="C80" s="759">
        <v>269</v>
      </c>
      <c r="D80" s="759">
        <v>3</v>
      </c>
      <c r="E80" s="759" t="s">
        <v>282</v>
      </c>
      <c r="F80" s="759">
        <v>157801</v>
      </c>
      <c r="G80" s="759">
        <v>156502</v>
      </c>
      <c r="H80" s="759">
        <v>99</v>
      </c>
      <c r="I80" s="759">
        <v>0</v>
      </c>
      <c r="J80" s="759">
        <v>34</v>
      </c>
      <c r="K80" s="759" t="s">
        <v>522</v>
      </c>
      <c r="L80" s="842"/>
      <c r="M80" s="844">
        <v>31</v>
      </c>
      <c r="N80" s="845" t="s">
        <v>619</v>
      </c>
      <c r="O80" s="842"/>
      <c r="P80" s="842"/>
      <c r="Q80" s="842"/>
      <c r="R80" s="842"/>
      <c r="S80" s="842"/>
      <c r="T80" s="842"/>
      <c r="U80" s="842"/>
      <c r="V80" s="842"/>
      <c r="W80" s="842"/>
    </row>
    <row r="81" spans="1:23" s="778" customFormat="1" hidden="1">
      <c r="A81" s="759">
        <v>4</v>
      </c>
      <c r="B81" s="779" t="s">
        <v>526</v>
      </c>
      <c r="C81" s="759">
        <v>271</v>
      </c>
      <c r="D81" s="759">
        <v>4</v>
      </c>
      <c r="E81" s="759" t="s">
        <v>282</v>
      </c>
      <c r="F81" s="759">
        <v>256852</v>
      </c>
      <c r="G81" s="759">
        <v>255544</v>
      </c>
      <c r="H81" s="759">
        <v>99</v>
      </c>
      <c r="I81" s="759">
        <v>0</v>
      </c>
      <c r="J81" s="759">
        <v>34</v>
      </c>
      <c r="K81" s="759" t="s">
        <v>522</v>
      </c>
      <c r="L81" s="842"/>
      <c r="M81" s="844">
        <v>32</v>
      </c>
      <c r="N81" s="845" t="s">
        <v>1300</v>
      </c>
      <c r="O81" s="842"/>
      <c r="P81" s="842"/>
      <c r="Q81" s="842"/>
      <c r="R81" s="842"/>
      <c r="S81" s="842"/>
      <c r="T81" s="842"/>
      <c r="U81" s="842"/>
      <c r="V81" s="842"/>
      <c r="W81" s="842"/>
    </row>
    <row r="82" spans="1:23" s="778" customFormat="1" hidden="1">
      <c r="A82" s="759">
        <v>5</v>
      </c>
      <c r="B82" s="779" t="s">
        <v>1322</v>
      </c>
      <c r="C82" s="759">
        <v>774</v>
      </c>
      <c r="D82" s="759">
        <v>5</v>
      </c>
      <c r="E82" s="759" t="s">
        <v>282</v>
      </c>
      <c r="F82" s="759">
        <v>826</v>
      </c>
      <c r="G82" s="759">
        <v>821</v>
      </c>
      <c r="H82" s="759">
        <v>99</v>
      </c>
      <c r="I82" s="759">
        <v>0</v>
      </c>
      <c r="J82" s="759">
        <v>34</v>
      </c>
      <c r="K82" s="759" t="s">
        <v>522</v>
      </c>
      <c r="L82" s="842"/>
      <c r="M82" s="844">
        <v>33</v>
      </c>
      <c r="N82" s="845" t="s">
        <v>746</v>
      </c>
      <c r="O82" s="842"/>
      <c r="P82" s="842"/>
      <c r="Q82" s="842"/>
      <c r="R82" s="842"/>
      <c r="S82" s="842"/>
      <c r="T82" s="842"/>
      <c r="U82" s="842"/>
      <c r="V82" s="842"/>
      <c r="W82" s="842"/>
    </row>
    <row r="83" spans="1:23" s="778" customFormat="1" hidden="1">
      <c r="A83" s="759">
        <v>6</v>
      </c>
      <c r="B83" s="779" t="s">
        <v>614</v>
      </c>
      <c r="C83" s="759">
        <v>778</v>
      </c>
      <c r="D83" s="759">
        <v>6</v>
      </c>
      <c r="E83" s="759" t="s">
        <v>282</v>
      </c>
      <c r="F83" s="759">
        <v>33646</v>
      </c>
      <c r="G83" s="759">
        <v>33496</v>
      </c>
      <c r="H83" s="759">
        <v>100</v>
      </c>
      <c r="I83" s="759">
        <v>100</v>
      </c>
      <c r="J83" s="759">
        <v>34</v>
      </c>
      <c r="K83" s="759" t="s">
        <v>1212</v>
      </c>
      <c r="L83" s="842"/>
      <c r="M83" s="844">
        <v>34</v>
      </c>
      <c r="N83" s="845" t="s">
        <v>748</v>
      </c>
      <c r="O83" s="842"/>
      <c r="P83" s="842"/>
      <c r="Q83" s="842"/>
      <c r="R83" s="842"/>
      <c r="S83" s="842"/>
      <c r="T83" s="842"/>
      <c r="U83" s="842"/>
      <c r="V83" s="842"/>
      <c r="W83" s="842"/>
    </row>
    <row r="84" spans="1:23" s="778" customFormat="1" hidden="1">
      <c r="A84" s="759">
        <v>7</v>
      </c>
      <c r="B84" s="779" t="s">
        <v>616</v>
      </c>
      <c r="C84" s="759">
        <v>777</v>
      </c>
      <c r="D84" s="759">
        <v>7</v>
      </c>
      <c r="E84" s="759" t="s">
        <v>282</v>
      </c>
      <c r="F84" s="759">
        <v>24586</v>
      </c>
      <c r="G84" s="759">
        <v>24229</v>
      </c>
      <c r="H84" s="759">
        <v>99</v>
      </c>
      <c r="I84" s="759">
        <v>0</v>
      </c>
      <c r="J84" s="759">
        <v>34</v>
      </c>
      <c r="K84" s="759" t="s">
        <v>522</v>
      </c>
      <c r="L84" s="842"/>
      <c r="M84" s="844">
        <v>35</v>
      </c>
      <c r="N84" s="845" t="s">
        <v>780</v>
      </c>
      <c r="O84" s="842"/>
      <c r="P84" s="842"/>
      <c r="Q84" s="842"/>
      <c r="R84" s="842"/>
      <c r="S84" s="842"/>
      <c r="T84" s="842"/>
      <c r="U84" s="842"/>
      <c r="V84" s="842"/>
      <c r="W84" s="842"/>
    </row>
    <row r="85" spans="1:23" s="778" customFormat="1" hidden="1">
      <c r="A85" s="759">
        <v>8</v>
      </c>
      <c r="B85" s="779" t="s">
        <v>618</v>
      </c>
      <c r="C85" s="759">
        <v>779</v>
      </c>
      <c r="D85" s="759">
        <v>8</v>
      </c>
      <c r="E85" s="759" t="s">
        <v>282</v>
      </c>
      <c r="F85" s="759">
        <v>39781</v>
      </c>
      <c r="G85" s="759">
        <v>39649</v>
      </c>
      <c r="H85" s="759">
        <v>100</v>
      </c>
      <c r="I85" s="759">
        <v>100</v>
      </c>
      <c r="J85" s="759">
        <v>34</v>
      </c>
      <c r="K85" s="759" t="s">
        <v>1212</v>
      </c>
      <c r="L85" s="842"/>
      <c r="M85" s="844">
        <v>36</v>
      </c>
      <c r="N85" s="845" t="s">
        <v>782</v>
      </c>
      <c r="O85" s="842"/>
      <c r="P85" s="842"/>
      <c r="Q85" s="842"/>
      <c r="R85" s="842"/>
      <c r="S85" s="842"/>
      <c r="T85" s="842"/>
      <c r="U85" s="842"/>
      <c r="V85" s="842"/>
      <c r="W85" s="842"/>
    </row>
    <row r="86" spans="1:23" s="778" customFormat="1" hidden="1">
      <c r="A86" s="759">
        <v>9</v>
      </c>
      <c r="B86" s="779" t="s">
        <v>1299</v>
      </c>
      <c r="C86" s="759">
        <v>791</v>
      </c>
      <c r="D86" s="759">
        <v>9</v>
      </c>
      <c r="E86" s="759" t="s">
        <v>282</v>
      </c>
      <c r="F86" s="759">
        <v>59448</v>
      </c>
      <c r="G86" s="759">
        <v>59271</v>
      </c>
      <c r="H86" s="759">
        <v>100</v>
      </c>
      <c r="I86" s="759">
        <v>8</v>
      </c>
      <c r="J86" s="759">
        <v>34</v>
      </c>
      <c r="K86" s="759" t="s">
        <v>984</v>
      </c>
      <c r="L86" s="842"/>
      <c r="M86" s="844">
        <v>37</v>
      </c>
      <c r="N86" s="845" t="s">
        <v>784</v>
      </c>
      <c r="O86" s="842"/>
      <c r="P86" s="842"/>
      <c r="Q86" s="842"/>
      <c r="R86" s="842"/>
      <c r="S86" s="842"/>
      <c r="T86" s="842"/>
      <c r="U86" s="842"/>
      <c r="V86" s="842"/>
      <c r="W86" s="842"/>
    </row>
    <row r="87" spans="1:23" s="778" customFormat="1" hidden="1">
      <c r="A87" s="759">
        <v>10</v>
      </c>
      <c r="B87" s="779" t="s">
        <v>1301</v>
      </c>
      <c r="C87" s="759">
        <v>793</v>
      </c>
      <c r="D87" s="759">
        <v>10</v>
      </c>
      <c r="E87" s="759" t="s">
        <v>282</v>
      </c>
      <c r="F87" s="759">
        <v>34320</v>
      </c>
      <c r="G87" s="759">
        <v>34299</v>
      </c>
      <c r="H87" s="759">
        <v>100</v>
      </c>
      <c r="I87" s="759">
        <v>0</v>
      </c>
      <c r="J87" s="759">
        <v>34</v>
      </c>
      <c r="K87" s="759" t="s">
        <v>522</v>
      </c>
      <c r="L87" s="842"/>
      <c r="M87" s="844">
        <v>38</v>
      </c>
      <c r="N87" s="845" t="s">
        <v>786</v>
      </c>
      <c r="O87" s="842"/>
      <c r="P87" s="842"/>
      <c r="Q87" s="842"/>
      <c r="R87" s="842"/>
      <c r="S87" s="842"/>
      <c r="T87" s="842"/>
      <c r="U87" s="842"/>
      <c r="V87" s="842"/>
      <c r="W87" s="842"/>
    </row>
    <row r="88" spans="1:23" s="778" customFormat="1" hidden="1">
      <c r="A88" s="759">
        <v>11</v>
      </c>
      <c r="B88" s="779" t="s">
        <v>747</v>
      </c>
      <c r="C88" s="759">
        <v>803</v>
      </c>
      <c r="D88" s="759">
        <v>11</v>
      </c>
      <c r="E88" s="759" t="s">
        <v>282</v>
      </c>
      <c r="F88" s="759">
        <v>10831</v>
      </c>
      <c r="G88" s="759">
        <v>10831</v>
      </c>
      <c r="H88" s="759">
        <v>100</v>
      </c>
      <c r="I88" s="759">
        <v>100</v>
      </c>
      <c r="J88" s="759">
        <v>34</v>
      </c>
      <c r="K88" s="759" t="s">
        <v>1212</v>
      </c>
      <c r="L88" s="842"/>
      <c r="M88" s="844">
        <v>39</v>
      </c>
      <c r="N88" s="845" t="s">
        <v>788</v>
      </c>
      <c r="O88" s="842"/>
      <c r="P88" s="842"/>
      <c r="Q88" s="842"/>
      <c r="R88" s="842"/>
      <c r="S88" s="842"/>
      <c r="T88" s="842"/>
      <c r="U88" s="842"/>
      <c r="V88" s="842"/>
      <c r="W88" s="842"/>
    </row>
    <row r="89" spans="1:23" s="778" customFormat="1" hidden="1">
      <c r="A89" s="759">
        <v>12</v>
      </c>
      <c r="B89" s="779" t="s">
        <v>749</v>
      </c>
      <c r="C89" s="759">
        <v>802</v>
      </c>
      <c r="D89" s="759">
        <v>12</v>
      </c>
      <c r="E89" s="759" t="s">
        <v>282</v>
      </c>
      <c r="F89" s="759">
        <v>11271</v>
      </c>
      <c r="G89" s="759">
        <v>11162</v>
      </c>
      <c r="H89" s="759">
        <v>99</v>
      </c>
      <c r="I89" s="759">
        <v>100</v>
      </c>
      <c r="J89" s="759">
        <v>34</v>
      </c>
      <c r="K89" s="759" t="s">
        <v>1212</v>
      </c>
      <c r="L89" s="842"/>
      <c r="M89" s="844">
        <v>40</v>
      </c>
      <c r="N89" s="845" t="s">
        <v>790</v>
      </c>
      <c r="O89" s="842"/>
      <c r="P89" s="842"/>
      <c r="Q89" s="842"/>
      <c r="R89" s="842"/>
      <c r="S89" s="842"/>
      <c r="T89" s="842"/>
      <c r="U89" s="842"/>
      <c r="V89" s="842"/>
      <c r="W89" s="842"/>
    </row>
    <row r="90" spans="1:23" s="778" customFormat="1" hidden="1">
      <c r="A90" s="759">
        <v>13</v>
      </c>
      <c r="B90" s="779" t="s">
        <v>781</v>
      </c>
      <c r="C90" s="759">
        <v>806</v>
      </c>
      <c r="D90" s="759">
        <v>13</v>
      </c>
      <c r="E90" s="759" t="s">
        <v>282</v>
      </c>
      <c r="F90" s="759">
        <v>328</v>
      </c>
      <c r="G90" s="759">
        <v>328</v>
      </c>
      <c r="H90" s="759">
        <v>100</v>
      </c>
      <c r="I90" s="759">
        <v>100</v>
      </c>
      <c r="J90" s="759">
        <v>34</v>
      </c>
      <c r="K90" s="759" t="s">
        <v>1212</v>
      </c>
      <c r="L90" s="842"/>
      <c r="M90" s="844">
        <v>41</v>
      </c>
      <c r="N90" s="845" t="s">
        <v>792</v>
      </c>
      <c r="O90" s="842"/>
      <c r="P90" s="842"/>
      <c r="Q90" s="842"/>
      <c r="R90" s="842"/>
      <c r="S90" s="842"/>
      <c r="T90" s="842"/>
      <c r="U90" s="842"/>
      <c r="V90" s="842"/>
      <c r="W90" s="842"/>
    </row>
    <row r="91" spans="1:23" s="778" customFormat="1" hidden="1">
      <c r="A91" s="759"/>
      <c r="B91" s="777" t="s">
        <v>783</v>
      </c>
      <c r="C91" s="759"/>
      <c r="D91" s="759"/>
      <c r="E91" s="759"/>
      <c r="F91" s="759"/>
      <c r="G91" s="759"/>
      <c r="H91" s="759"/>
      <c r="I91" s="759"/>
      <c r="J91" s="759"/>
      <c r="K91" s="759"/>
      <c r="L91" s="842"/>
      <c r="M91" s="844">
        <v>42</v>
      </c>
      <c r="N91" s="845" t="s">
        <v>793</v>
      </c>
      <c r="O91" s="842"/>
      <c r="P91" s="842"/>
      <c r="Q91" s="842"/>
      <c r="R91" s="842"/>
      <c r="S91" s="842"/>
      <c r="T91" s="842"/>
      <c r="U91" s="842"/>
      <c r="V91" s="842"/>
      <c r="W91" s="842"/>
    </row>
    <row r="92" spans="1:23" s="778" customFormat="1" hidden="1">
      <c r="A92" s="759">
        <v>1</v>
      </c>
      <c r="B92" s="779" t="s">
        <v>1330</v>
      </c>
      <c r="C92" s="759" t="s">
        <v>1331</v>
      </c>
      <c r="D92" s="759">
        <v>1</v>
      </c>
      <c r="E92" s="759" t="s">
        <v>765</v>
      </c>
      <c r="F92" s="759"/>
      <c r="G92" s="759"/>
      <c r="H92" s="759"/>
      <c r="I92" s="759"/>
      <c r="J92" s="759"/>
      <c r="K92" s="759"/>
      <c r="L92" s="842"/>
      <c r="M92" s="844">
        <v>43</v>
      </c>
      <c r="N92" s="845" t="s">
        <v>1315</v>
      </c>
      <c r="O92" s="842"/>
      <c r="P92" s="842"/>
      <c r="Q92" s="842"/>
      <c r="R92" s="842"/>
      <c r="S92" s="842"/>
      <c r="T92" s="842"/>
      <c r="U92" s="842"/>
      <c r="V92" s="842"/>
      <c r="W92" s="842"/>
    </row>
    <row r="93" spans="1:23" s="778" customFormat="1" hidden="1">
      <c r="A93" s="759">
        <v>2</v>
      </c>
      <c r="B93" s="779" t="s">
        <v>785</v>
      </c>
      <c r="C93" s="759">
        <v>3146</v>
      </c>
      <c r="D93" s="759">
        <v>2</v>
      </c>
      <c r="E93" s="759" t="s">
        <v>282</v>
      </c>
      <c r="F93" s="759">
        <v>1700</v>
      </c>
      <c r="G93" s="759">
        <v>1482</v>
      </c>
      <c r="H93" s="759">
        <v>87</v>
      </c>
      <c r="I93" s="759">
        <v>0</v>
      </c>
      <c r="J93" s="759">
        <v>28</v>
      </c>
      <c r="K93" s="759" t="s">
        <v>522</v>
      </c>
      <c r="L93" s="842"/>
      <c r="M93" s="844">
        <v>44</v>
      </c>
      <c r="N93" s="845" t="s">
        <v>277</v>
      </c>
      <c r="O93" s="842"/>
      <c r="P93" s="842"/>
      <c r="Q93" s="842"/>
      <c r="R93" s="842"/>
      <c r="S93" s="842"/>
      <c r="T93" s="842"/>
      <c r="U93" s="842"/>
      <c r="V93" s="842"/>
      <c r="W93" s="842"/>
    </row>
    <row r="94" spans="1:23" s="778" customFormat="1" hidden="1">
      <c r="A94" s="759">
        <v>3</v>
      </c>
      <c r="B94" s="779" t="s">
        <v>787</v>
      </c>
      <c r="C94" s="759">
        <v>812</v>
      </c>
      <c r="D94" s="759">
        <v>3</v>
      </c>
      <c r="E94" s="759" t="s">
        <v>282</v>
      </c>
      <c r="F94" s="759">
        <v>41361</v>
      </c>
      <c r="G94" s="759">
        <v>40621</v>
      </c>
      <c r="H94" s="759">
        <v>98</v>
      </c>
      <c r="I94" s="759">
        <v>11</v>
      </c>
      <c r="J94" s="759">
        <v>28</v>
      </c>
      <c r="K94" s="759" t="s">
        <v>984</v>
      </c>
      <c r="L94" s="842"/>
      <c r="M94" s="844">
        <v>45</v>
      </c>
      <c r="N94" s="845" t="s">
        <v>279</v>
      </c>
      <c r="O94" s="842"/>
      <c r="P94" s="842"/>
      <c r="Q94" s="842"/>
      <c r="R94" s="842"/>
      <c r="S94" s="842"/>
      <c r="T94" s="842"/>
      <c r="U94" s="842"/>
      <c r="V94" s="842"/>
      <c r="W94" s="842"/>
    </row>
    <row r="95" spans="1:23" s="778" customFormat="1" hidden="1">
      <c r="A95" s="759">
        <v>4</v>
      </c>
      <c r="B95" s="779" t="s">
        <v>789</v>
      </c>
      <c r="C95" s="759">
        <v>813</v>
      </c>
      <c r="D95" s="759">
        <v>4</v>
      </c>
      <c r="E95" s="759" t="s">
        <v>282</v>
      </c>
      <c r="F95" s="759">
        <v>23947</v>
      </c>
      <c r="G95" s="759">
        <v>23132</v>
      </c>
      <c r="H95" s="759">
        <v>97</v>
      </c>
      <c r="I95" s="759">
        <v>0</v>
      </c>
      <c r="J95" s="759">
        <v>28</v>
      </c>
      <c r="K95" s="759" t="s">
        <v>522</v>
      </c>
      <c r="L95" s="842"/>
      <c r="M95" s="844">
        <v>46</v>
      </c>
      <c r="N95" s="845" t="s">
        <v>1657</v>
      </c>
      <c r="O95" s="842"/>
      <c r="P95" s="842"/>
      <c r="Q95" s="842"/>
      <c r="R95" s="842"/>
      <c r="S95" s="842"/>
      <c r="T95" s="842"/>
      <c r="U95" s="842"/>
      <c r="V95" s="842"/>
      <c r="W95" s="842"/>
    </row>
    <row r="96" spans="1:23" s="778" customFormat="1" hidden="1">
      <c r="A96" s="759">
        <v>5</v>
      </c>
      <c r="B96" s="779" t="s">
        <v>791</v>
      </c>
      <c r="C96" s="759">
        <v>811</v>
      </c>
      <c r="D96" s="759">
        <v>5</v>
      </c>
      <c r="E96" s="759" t="s">
        <v>282</v>
      </c>
      <c r="F96" s="759">
        <v>19224</v>
      </c>
      <c r="G96" s="759">
        <v>18550</v>
      </c>
      <c r="H96" s="759">
        <v>96</v>
      </c>
      <c r="I96" s="759">
        <v>0</v>
      </c>
      <c r="J96" s="759">
        <v>28</v>
      </c>
      <c r="K96" s="759" t="s">
        <v>522</v>
      </c>
      <c r="L96" s="842"/>
      <c r="M96" s="844">
        <v>47</v>
      </c>
      <c r="N96" s="845" t="s">
        <v>1658</v>
      </c>
      <c r="O96" s="842"/>
      <c r="P96" s="842"/>
      <c r="Q96" s="842"/>
      <c r="R96" s="842"/>
      <c r="S96" s="842"/>
      <c r="T96" s="842"/>
      <c r="U96" s="842"/>
      <c r="V96" s="842"/>
      <c r="W96" s="842"/>
    </row>
    <row r="97" spans="1:23" s="778" customFormat="1" hidden="1">
      <c r="A97" s="759"/>
      <c r="B97" s="777" t="s">
        <v>527</v>
      </c>
      <c r="C97" s="759"/>
      <c r="D97" s="759"/>
      <c r="E97" s="759"/>
      <c r="F97" s="759"/>
      <c r="G97" s="759"/>
      <c r="H97" s="759"/>
      <c r="I97" s="759"/>
      <c r="J97" s="759"/>
      <c r="K97" s="759"/>
      <c r="L97" s="842"/>
      <c r="M97" s="844">
        <v>48</v>
      </c>
      <c r="N97" s="845" t="s">
        <v>783</v>
      </c>
      <c r="O97" s="842"/>
      <c r="P97" s="842"/>
      <c r="Q97" s="842"/>
      <c r="R97" s="842"/>
      <c r="S97" s="842"/>
      <c r="T97" s="842"/>
      <c r="U97" s="842"/>
      <c r="V97" s="842"/>
      <c r="W97" s="842"/>
    </row>
    <row r="98" spans="1:23" s="778" customFormat="1" hidden="1">
      <c r="A98" s="759">
        <v>1</v>
      </c>
      <c r="B98" s="779" t="s">
        <v>1330</v>
      </c>
      <c r="C98" s="759" t="s">
        <v>1331</v>
      </c>
      <c r="D98" s="759">
        <v>1</v>
      </c>
      <c r="E98" s="759" t="s">
        <v>765</v>
      </c>
      <c r="F98" s="759"/>
      <c r="G98" s="759"/>
      <c r="H98" s="759"/>
      <c r="I98" s="759"/>
      <c r="J98" s="759"/>
      <c r="K98" s="759"/>
      <c r="L98" s="842"/>
      <c r="M98" s="844">
        <v>49</v>
      </c>
      <c r="N98" s="845" t="s">
        <v>1661</v>
      </c>
      <c r="O98" s="842"/>
      <c r="P98" s="842"/>
      <c r="Q98" s="842"/>
      <c r="R98" s="842"/>
      <c r="S98" s="842"/>
      <c r="T98" s="842"/>
      <c r="U98" s="842"/>
      <c r="V98" s="842"/>
      <c r="W98" s="842"/>
    </row>
    <row r="99" spans="1:23" s="778" customFormat="1" hidden="1">
      <c r="A99" s="759">
        <v>2</v>
      </c>
      <c r="B99" s="779" t="s">
        <v>794</v>
      </c>
      <c r="C99" s="759">
        <v>8051</v>
      </c>
      <c r="D99" s="759">
        <v>2</v>
      </c>
      <c r="E99" s="759" t="s">
        <v>795</v>
      </c>
      <c r="F99" s="759">
        <v>5913</v>
      </c>
      <c r="G99" s="759">
        <v>5904</v>
      </c>
      <c r="H99" s="759">
        <v>100</v>
      </c>
      <c r="I99" s="759">
        <v>100</v>
      </c>
      <c r="J99" s="759">
        <v>100</v>
      </c>
      <c r="K99" s="759" t="s">
        <v>1212</v>
      </c>
      <c r="L99" s="842"/>
      <c r="M99" s="844">
        <v>50</v>
      </c>
      <c r="N99" s="845" t="s">
        <v>1663</v>
      </c>
      <c r="O99" s="842"/>
      <c r="P99" s="842"/>
      <c r="Q99" s="842"/>
      <c r="R99" s="842"/>
      <c r="S99" s="842"/>
      <c r="T99" s="842"/>
      <c r="U99" s="842"/>
      <c r="V99" s="842"/>
      <c r="W99" s="842"/>
    </row>
    <row r="100" spans="1:23" s="778" customFormat="1" hidden="1">
      <c r="A100" s="759">
        <v>3</v>
      </c>
      <c r="B100" s="779" t="s">
        <v>276</v>
      </c>
      <c r="C100" s="759">
        <v>4175</v>
      </c>
      <c r="D100" s="759">
        <v>3</v>
      </c>
      <c r="E100" s="759" t="s">
        <v>282</v>
      </c>
      <c r="F100" s="759">
        <v>46705</v>
      </c>
      <c r="G100" s="759">
        <v>45205</v>
      </c>
      <c r="H100" s="759">
        <v>97</v>
      </c>
      <c r="I100" s="759">
        <v>100</v>
      </c>
      <c r="J100" s="759">
        <v>43</v>
      </c>
      <c r="K100" s="759" t="s">
        <v>1212</v>
      </c>
      <c r="L100" s="842"/>
      <c r="M100" s="844">
        <v>51</v>
      </c>
      <c r="N100" s="845" t="s">
        <v>1665</v>
      </c>
      <c r="O100" s="842"/>
      <c r="P100" s="842"/>
      <c r="Q100" s="842"/>
      <c r="R100" s="842"/>
      <c r="S100" s="842"/>
      <c r="T100" s="842"/>
      <c r="U100" s="842"/>
      <c r="V100" s="842"/>
      <c r="W100" s="842"/>
    </row>
    <row r="101" spans="1:23" s="778" customFormat="1" hidden="1">
      <c r="A101" s="759">
        <v>4</v>
      </c>
      <c r="B101" s="779" t="s">
        <v>278</v>
      </c>
      <c r="C101" s="759">
        <v>4184</v>
      </c>
      <c r="D101" s="759">
        <v>4</v>
      </c>
      <c r="E101" s="759" t="s">
        <v>795</v>
      </c>
      <c r="F101" s="759">
        <v>24276</v>
      </c>
      <c r="G101" s="759">
        <v>23906</v>
      </c>
      <c r="H101" s="759">
        <v>98</v>
      </c>
      <c r="I101" s="759">
        <v>100</v>
      </c>
      <c r="J101" s="759">
        <v>100</v>
      </c>
      <c r="K101" s="759" t="s">
        <v>1212</v>
      </c>
      <c r="L101" s="842"/>
      <c r="M101" s="844">
        <v>52</v>
      </c>
      <c r="N101" s="845" t="s">
        <v>1667</v>
      </c>
      <c r="O101" s="842"/>
      <c r="P101" s="842"/>
      <c r="Q101" s="842"/>
      <c r="R101" s="842"/>
      <c r="S101" s="842"/>
      <c r="T101" s="842"/>
      <c r="U101" s="842"/>
      <c r="V101" s="842"/>
      <c r="W101" s="842"/>
    </row>
    <row r="102" spans="1:23" s="778" customFormat="1" hidden="1">
      <c r="A102" s="759">
        <v>5</v>
      </c>
      <c r="B102" s="779" t="s">
        <v>1656</v>
      </c>
      <c r="C102" s="759">
        <v>8031</v>
      </c>
      <c r="D102" s="759">
        <v>5</v>
      </c>
      <c r="E102" s="759" t="s">
        <v>282</v>
      </c>
      <c r="F102" s="759">
        <v>16530</v>
      </c>
      <c r="G102" s="759">
        <v>15573</v>
      </c>
      <c r="H102" s="759">
        <v>94</v>
      </c>
      <c r="I102" s="759">
        <v>89</v>
      </c>
      <c r="J102" s="759">
        <v>40</v>
      </c>
      <c r="K102" s="759" t="s">
        <v>1212</v>
      </c>
      <c r="L102" s="842"/>
      <c r="M102" s="842"/>
      <c r="N102" s="842"/>
      <c r="O102" s="842"/>
      <c r="P102" s="842"/>
      <c r="Q102" s="842"/>
      <c r="R102" s="842"/>
      <c r="S102" s="842"/>
      <c r="T102" s="842"/>
      <c r="U102" s="842"/>
      <c r="V102" s="842"/>
      <c r="W102" s="842"/>
    </row>
    <row r="103" spans="1:23" s="778" customFormat="1" hidden="1">
      <c r="A103" s="759"/>
      <c r="B103" s="777" t="s">
        <v>277</v>
      </c>
      <c r="C103" s="759"/>
      <c r="D103" s="759"/>
      <c r="E103" s="759"/>
      <c r="F103" s="759"/>
      <c r="G103" s="759"/>
      <c r="H103" s="759"/>
      <c r="I103" s="759"/>
      <c r="J103" s="759"/>
      <c r="K103" s="759"/>
      <c r="L103" s="842"/>
      <c r="M103" s="842"/>
      <c r="N103" s="842"/>
      <c r="O103" s="842"/>
      <c r="P103" s="842"/>
      <c r="Q103" s="842"/>
      <c r="R103" s="842"/>
      <c r="S103" s="842"/>
      <c r="T103" s="842"/>
      <c r="U103" s="842"/>
      <c r="V103" s="842"/>
      <c r="W103" s="842"/>
    </row>
    <row r="104" spans="1:23" s="778" customFormat="1" hidden="1">
      <c r="A104" s="759">
        <v>1</v>
      </c>
      <c r="B104" s="779" t="s">
        <v>1330</v>
      </c>
      <c r="C104" s="759" t="s">
        <v>1331</v>
      </c>
      <c r="D104" s="759">
        <v>1</v>
      </c>
      <c r="E104" s="759" t="s">
        <v>765</v>
      </c>
      <c r="F104" s="759"/>
      <c r="G104" s="759"/>
      <c r="H104" s="759"/>
      <c r="I104" s="759"/>
      <c r="J104" s="759"/>
      <c r="K104" s="759"/>
      <c r="L104" s="842"/>
      <c r="M104" s="842"/>
      <c r="N104" s="842"/>
      <c r="O104" s="842"/>
      <c r="P104" s="842"/>
      <c r="Q104" s="842"/>
      <c r="R104" s="842"/>
      <c r="S104" s="842"/>
      <c r="T104" s="842"/>
      <c r="U104" s="842"/>
      <c r="V104" s="842"/>
      <c r="W104" s="842"/>
    </row>
    <row r="105" spans="1:23" s="778" customFormat="1" hidden="1">
      <c r="A105" s="759">
        <v>2</v>
      </c>
      <c r="B105" s="779" t="s">
        <v>1659</v>
      </c>
      <c r="C105" s="759">
        <v>4187</v>
      </c>
      <c r="D105" s="759">
        <v>2</v>
      </c>
      <c r="E105" s="759" t="s">
        <v>282</v>
      </c>
      <c r="F105" s="759">
        <v>16974</v>
      </c>
      <c r="G105" s="759">
        <v>16725</v>
      </c>
      <c r="H105" s="759">
        <v>99</v>
      </c>
      <c r="I105" s="759">
        <v>37</v>
      </c>
      <c r="J105" s="759">
        <v>31</v>
      </c>
      <c r="K105" s="759" t="s">
        <v>1212</v>
      </c>
      <c r="L105" s="842"/>
      <c r="M105" s="842"/>
      <c r="N105" s="842"/>
      <c r="O105" s="842"/>
      <c r="P105" s="842"/>
      <c r="Q105" s="842"/>
      <c r="R105" s="842"/>
      <c r="S105" s="842"/>
      <c r="T105" s="842"/>
      <c r="U105" s="842"/>
      <c r="V105" s="842"/>
      <c r="W105" s="842"/>
    </row>
    <row r="106" spans="1:23" s="778" customFormat="1" hidden="1">
      <c r="A106" s="759">
        <v>3</v>
      </c>
      <c r="B106" s="779" t="s">
        <v>1660</v>
      </c>
      <c r="C106" s="759">
        <v>8000</v>
      </c>
      <c r="D106" s="759">
        <v>3</v>
      </c>
      <c r="E106" s="759" t="s">
        <v>282</v>
      </c>
      <c r="F106" s="759">
        <v>61338</v>
      </c>
      <c r="G106" s="759">
        <v>51341</v>
      </c>
      <c r="H106" s="759">
        <v>84</v>
      </c>
      <c r="I106" s="759">
        <v>11</v>
      </c>
      <c r="J106" s="759">
        <v>30</v>
      </c>
      <c r="K106" s="759" t="s">
        <v>984</v>
      </c>
      <c r="L106" s="842"/>
      <c r="M106" s="842"/>
      <c r="N106" s="842"/>
      <c r="O106" s="842"/>
      <c r="P106" s="842"/>
      <c r="Q106" s="842"/>
      <c r="R106" s="842"/>
      <c r="S106" s="842"/>
      <c r="T106" s="842"/>
      <c r="U106" s="842"/>
      <c r="V106" s="842"/>
      <c r="W106" s="842"/>
    </row>
    <row r="107" spans="1:23" s="778" customFormat="1" hidden="1">
      <c r="A107" s="759">
        <v>4</v>
      </c>
      <c r="B107" s="779" t="s">
        <v>1662</v>
      </c>
      <c r="C107" s="759">
        <v>4181</v>
      </c>
      <c r="D107" s="759">
        <v>4</v>
      </c>
      <c r="E107" s="759" t="s">
        <v>282</v>
      </c>
      <c r="F107" s="759">
        <v>86718</v>
      </c>
      <c r="G107" s="759">
        <v>83054</v>
      </c>
      <c r="H107" s="759">
        <v>96</v>
      </c>
      <c r="I107" s="759">
        <v>34</v>
      </c>
      <c r="J107" s="759">
        <v>40</v>
      </c>
      <c r="K107" s="759" t="s">
        <v>245</v>
      </c>
      <c r="L107" s="842"/>
      <c r="M107" s="842"/>
      <c r="N107" s="842"/>
      <c r="O107" s="842"/>
      <c r="P107" s="842"/>
      <c r="Q107" s="842"/>
      <c r="R107" s="842"/>
      <c r="S107" s="842"/>
      <c r="T107" s="842"/>
      <c r="U107" s="842"/>
      <c r="V107" s="842"/>
      <c r="W107" s="842"/>
    </row>
    <row r="108" spans="1:23" s="778" customFormat="1" hidden="1">
      <c r="A108" s="759">
        <v>5</v>
      </c>
      <c r="B108" s="779" t="s">
        <v>1664</v>
      </c>
      <c r="C108" s="759">
        <v>4190</v>
      </c>
      <c r="D108" s="759">
        <v>5</v>
      </c>
      <c r="E108" s="759" t="s">
        <v>282</v>
      </c>
      <c r="F108" s="759">
        <v>81521</v>
      </c>
      <c r="G108" s="759">
        <v>79405</v>
      </c>
      <c r="H108" s="759">
        <v>97</v>
      </c>
      <c r="I108" s="759">
        <v>26</v>
      </c>
      <c r="J108" s="759">
        <v>34</v>
      </c>
      <c r="K108" s="759" t="s">
        <v>245</v>
      </c>
      <c r="L108" s="842"/>
      <c r="M108" s="842"/>
      <c r="N108" s="842"/>
      <c r="O108" s="842"/>
      <c r="P108" s="842"/>
      <c r="Q108" s="842"/>
      <c r="R108" s="842"/>
      <c r="S108" s="842"/>
      <c r="T108" s="842"/>
      <c r="U108" s="842"/>
      <c r="V108" s="842"/>
      <c r="W108" s="842"/>
    </row>
    <row r="109" spans="1:23" s="778" customFormat="1" hidden="1">
      <c r="A109" s="759">
        <v>6</v>
      </c>
      <c r="B109" s="779" t="s">
        <v>1666</v>
      </c>
      <c r="C109" s="759">
        <v>8002</v>
      </c>
      <c r="D109" s="759">
        <v>6</v>
      </c>
      <c r="E109" s="759" t="s">
        <v>282</v>
      </c>
      <c r="F109" s="759">
        <v>110016</v>
      </c>
      <c r="G109" s="759">
        <v>104415</v>
      </c>
      <c r="H109" s="759">
        <v>95</v>
      </c>
      <c r="I109" s="759">
        <v>10</v>
      </c>
      <c r="J109" s="759">
        <v>30</v>
      </c>
      <c r="K109" s="759" t="s">
        <v>984</v>
      </c>
      <c r="L109" s="842"/>
      <c r="M109" s="842"/>
      <c r="N109" s="842"/>
      <c r="O109" s="842"/>
      <c r="P109" s="842"/>
      <c r="Q109" s="842"/>
      <c r="R109" s="842"/>
      <c r="S109" s="842"/>
      <c r="T109" s="842"/>
      <c r="U109" s="842"/>
      <c r="V109" s="842"/>
      <c r="W109" s="842"/>
    </row>
    <row r="110" spans="1:23" s="778" customFormat="1" hidden="1">
      <c r="A110" s="759"/>
      <c r="B110" s="777" t="s">
        <v>1667</v>
      </c>
      <c r="C110" s="759"/>
      <c r="D110" s="759"/>
      <c r="E110" s="759"/>
      <c r="F110" s="759"/>
      <c r="G110" s="759"/>
      <c r="H110" s="759"/>
      <c r="I110" s="759"/>
      <c r="J110" s="759"/>
      <c r="K110" s="759"/>
      <c r="L110" s="842"/>
      <c r="M110" s="842"/>
      <c r="N110" s="842"/>
      <c r="O110" s="842"/>
      <c r="P110" s="842"/>
      <c r="Q110" s="842"/>
      <c r="R110" s="842"/>
      <c r="S110" s="842"/>
      <c r="T110" s="842"/>
      <c r="U110" s="842"/>
      <c r="V110" s="842"/>
      <c r="W110" s="842"/>
    </row>
    <row r="111" spans="1:23" s="778" customFormat="1" hidden="1">
      <c r="A111" s="759">
        <v>1</v>
      </c>
      <c r="B111" s="779" t="s">
        <v>1330</v>
      </c>
      <c r="C111" s="759" t="s">
        <v>1331</v>
      </c>
      <c r="D111" s="759">
        <v>1</v>
      </c>
      <c r="E111" s="759" t="s">
        <v>765</v>
      </c>
      <c r="F111" s="759"/>
      <c r="G111" s="759"/>
      <c r="H111" s="759"/>
      <c r="I111" s="759"/>
      <c r="J111" s="759"/>
      <c r="K111" s="759"/>
      <c r="L111" s="842"/>
      <c r="M111" s="842"/>
      <c r="N111" s="842"/>
      <c r="O111" s="842"/>
      <c r="P111" s="842"/>
      <c r="Q111" s="842"/>
      <c r="R111" s="842"/>
      <c r="S111" s="842"/>
      <c r="T111" s="842"/>
      <c r="U111" s="842"/>
      <c r="V111" s="842"/>
      <c r="W111" s="842"/>
    </row>
    <row r="112" spans="1:23" s="780" customFormat="1" hidden="1">
      <c r="A112" s="759">
        <v>2</v>
      </c>
      <c r="B112" s="779" t="s">
        <v>1668</v>
      </c>
      <c r="C112" s="759">
        <v>4191</v>
      </c>
      <c r="D112" s="759">
        <v>2</v>
      </c>
      <c r="E112" s="759" t="s">
        <v>795</v>
      </c>
      <c r="F112" s="759">
        <v>15837</v>
      </c>
      <c r="G112" s="759">
        <v>15423</v>
      </c>
      <c r="H112" s="759">
        <v>97</v>
      </c>
      <c r="I112" s="759">
        <v>100</v>
      </c>
      <c r="J112" s="759">
        <v>100</v>
      </c>
      <c r="K112" s="759" t="s">
        <v>1212</v>
      </c>
      <c r="L112" s="846"/>
      <c r="M112" s="846"/>
      <c r="N112" s="846"/>
      <c r="O112" s="846"/>
      <c r="P112" s="846"/>
      <c r="Q112" s="846"/>
      <c r="R112" s="846"/>
      <c r="S112" s="846"/>
      <c r="T112" s="846"/>
      <c r="U112" s="846"/>
      <c r="V112" s="846"/>
      <c r="W112" s="846"/>
    </row>
    <row r="113" spans="1:11" hidden="1">
      <c r="A113" s="759">
        <v>3</v>
      </c>
      <c r="B113" s="779" t="s">
        <v>1669</v>
      </c>
      <c r="C113" s="759">
        <v>4185</v>
      </c>
      <c r="D113" s="759">
        <v>3</v>
      </c>
      <c r="E113" s="759" t="s">
        <v>795</v>
      </c>
      <c r="F113" s="759">
        <v>3340</v>
      </c>
      <c r="G113" s="759">
        <v>3222</v>
      </c>
      <c r="H113" s="759">
        <v>96</v>
      </c>
      <c r="I113" s="759">
        <v>47</v>
      </c>
      <c r="J113" s="759">
        <v>100</v>
      </c>
      <c r="K113" s="759" t="s">
        <v>984</v>
      </c>
    </row>
    <row r="114" spans="1:11" hidden="1">
      <c r="A114" s="759">
        <v>4</v>
      </c>
      <c r="B114" s="779" t="s">
        <v>1670</v>
      </c>
      <c r="C114" s="759">
        <v>4192</v>
      </c>
      <c r="D114" s="759">
        <v>4</v>
      </c>
      <c r="E114" s="759" t="s">
        <v>795</v>
      </c>
      <c r="F114" s="759">
        <v>3803</v>
      </c>
      <c r="G114" s="759">
        <v>3615</v>
      </c>
      <c r="H114" s="759">
        <v>95</v>
      </c>
      <c r="I114" s="759">
        <v>100</v>
      </c>
      <c r="J114" s="759">
        <v>100</v>
      </c>
      <c r="K114" s="759" t="s">
        <v>1212</v>
      </c>
    </row>
    <row r="115" spans="1:11" hidden="1">
      <c r="A115" s="759"/>
      <c r="B115" s="777" t="s">
        <v>1671</v>
      </c>
      <c r="C115" s="759"/>
      <c r="D115" s="759"/>
      <c r="E115" s="759"/>
      <c r="F115" s="759"/>
      <c r="G115" s="759"/>
      <c r="H115" s="759"/>
      <c r="I115" s="759"/>
      <c r="J115" s="759"/>
      <c r="K115" s="759"/>
    </row>
    <row r="116" spans="1:11" hidden="1">
      <c r="A116" s="759">
        <v>1</v>
      </c>
      <c r="B116" s="779" t="s">
        <v>1330</v>
      </c>
      <c r="C116" s="759" t="s">
        <v>1331</v>
      </c>
      <c r="D116" s="759">
        <v>1</v>
      </c>
      <c r="E116" s="759" t="s">
        <v>765</v>
      </c>
      <c r="F116" s="759"/>
      <c r="G116" s="759"/>
      <c r="H116" s="759"/>
      <c r="I116" s="759"/>
      <c r="J116" s="759"/>
      <c r="K116" s="759"/>
    </row>
    <row r="117" spans="1:11" hidden="1">
      <c r="A117" s="759">
        <v>2</v>
      </c>
      <c r="B117" s="779" t="s">
        <v>1672</v>
      </c>
      <c r="C117" s="759">
        <v>8090</v>
      </c>
      <c r="D117" s="759">
        <v>2</v>
      </c>
      <c r="E117" s="759" t="s">
        <v>795</v>
      </c>
      <c r="F117" s="759">
        <v>28406</v>
      </c>
      <c r="G117" s="759">
        <v>8931</v>
      </c>
      <c r="H117" s="759">
        <v>31</v>
      </c>
      <c r="I117" s="759">
        <v>1</v>
      </c>
      <c r="J117" s="759">
        <v>31</v>
      </c>
      <c r="K117" s="759" t="s">
        <v>987</v>
      </c>
    </row>
    <row r="118" spans="1:11" hidden="1">
      <c r="A118" s="759"/>
      <c r="B118" s="777" t="s">
        <v>1673</v>
      </c>
      <c r="C118" s="759"/>
      <c r="D118" s="759"/>
      <c r="E118" s="759"/>
      <c r="F118" s="759"/>
      <c r="G118" s="759"/>
      <c r="H118" s="759"/>
      <c r="I118" s="759"/>
      <c r="J118" s="759"/>
      <c r="K118" s="759"/>
    </row>
    <row r="119" spans="1:11" hidden="1">
      <c r="A119" s="759">
        <v>1</v>
      </c>
      <c r="B119" s="779" t="s">
        <v>1330</v>
      </c>
      <c r="C119" s="759" t="s">
        <v>1331</v>
      </c>
      <c r="D119" s="759">
        <v>1</v>
      </c>
      <c r="E119" s="759" t="s">
        <v>765</v>
      </c>
      <c r="F119" s="759"/>
      <c r="G119" s="759"/>
      <c r="H119" s="759"/>
      <c r="I119" s="759"/>
      <c r="J119" s="759"/>
      <c r="K119" s="759"/>
    </row>
    <row r="120" spans="1:11" hidden="1">
      <c r="A120" s="759">
        <v>2</v>
      </c>
      <c r="B120" s="779" t="s">
        <v>1674</v>
      </c>
      <c r="C120" s="759">
        <v>2875</v>
      </c>
      <c r="D120" s="759">
        <v>2</v>
      </c>
      <c r="E120" s="759" t="s">
        <v>282</v>
      </c>
      <c r="F120" s="759">
        <v>3637</v>
      </c>
      <c r="G120" s="759">
        <v>3556</v>
      </c>
      <c r="H120" s="759">
        <v>98</v>
      </c>
      <c r="I120" s="759">
        <v>0</v>
      </c>
      <c r="J120" s="759">
        <v>27</v>
      </c>
      <c r="K120" s="759" t="s">
        <v>522</v>
      </c>
    </row>
    <row r="121" spans="1:11" hidden="1">
      <c r="A121" s="759"/>
      <c r="B121" s="777" t="s">
        <v>1675</v>
      </c>
      <c r="C121" s="759"/>
      <c r="D121" s="759"/>
      <c r="E121" s="759"/>
      <c r="F121" s="759"/>
      <c r="G121" s="759"/>
      <c r="H121" s="759"/>
      <c r="I121" s="759"/>
      <c r="J121" s="759"/>
      <c r="K121" s="759"/>
    </row>
    <row r="122" spans="1:11" hidden="1">
      <c r="A122" s="759">
        <v>1</v>
      </c>
      <c r="B122" s="779" t="s">
        <v>1330</v>
      </c>
      <c r="C122" s="759" t="s">
        <v>1331</v>
      </c>
      <c r="D122" s="759">
        <v>1</v>
      </c>
      <c r="E122" s="759" t="s">
        <v>765</v>
      </c>
      <c r="F122" s="759"/>
      <c r="G122" s="759"/>
      <c r="H122" s="759"/>
      <c r="I122" s="759"/>
      <c r="J122" s="759"/>
      <c r="K122" s="759"/>
    </row>
    <row r="123" spans="1:11" hidden="1">
      <c r="A123" s="759">
        <v>2</v>
      </c>
      <c r="B123" s="779" t="s">
        <v>1676</v>
      </c>
      <c r="C123" s="759">
        <v>5579</v>
      </c>
      <c r="D123" s="759">
        <v>2</v>
      </c>
      <c r="E123" s="759" t="s">
        <v>282</v>
      </c>
      <c r="F123" s="759">
        <v>40580</v>
      </c>
      <c r="G123" s="759">
        <v>39678</v>
      </c>
      <c r="H123" s="759">
        <v>98</v>
      </c>
      <c r="I123" s="759">
        <v>4</v>
      </c>
      <c r="J123" s="759">
        <v>27</v>
      </c>
      <c r="K123" s="759" t="s">
        <v>984</v>
      </c>
    </row>
    <row r="124" spans="1:11" hidden="1">
      <c r="A124" s="759">
        <v>3</v>
      </c>
      <c r="B124" s="779" t="s">
        <v>664</v>
      </c>
      <c r="C124" s="759">
        <v>5551</v>
      </c>
      <c r="D124" s="759">
        <v>3</v>
      </c>
      <c r="E124" s="759" t="s">
        <v>282</v>
      </c>
      <c r="F124" s="759">
        <v>10888</v>
      </c>
      <c r="G124" s="759">
        <v>10153</v>
      </c>
      <c r="H124" s="759">
        <v>93</v>
      </c>
      <c r="I124" s="759">
        <v>32</v>
      </c>
      <c r="J124" s="759">
        <v>27</v>
      </c>
      <c r="K124" s="759" t="s">
        <v>1212</v>
      </c>
    </row>
    <row r="125" spans="1:11" hidden="1">
      <c r="A125" s="759">
        <v>4</v>
      </c>
      <c r="B125" s="779" t="s">
        <v>665</v>
      </c>
      <c r="C125" s="759">
        <v>92</v>
      </c>
      <c r="D125" s="759">
        <v>4</v>
      </c>
      <c r="E125" s="759" t="s">
        <v>282</v>
      </c>
      <c r="F125" s="759">
        <v>126816</v>
      </c>
      <c r="G125" s="759">
        <v>125132</v>
      </c>
      <c r="H125" s="759">
        <v>99</v>
      </c>
      <c r="I125" s="759">
        <v>4</v>
      </c>
      <c r="J125" s="759">
        <v>27</v>
      </c>
      <c r="K125" s="759" t="s">
        <v>984</v>
      </c>
    </row>
    <row r="126" spans="1:11" hidden="1">
      <c r="A126" s="759">
        <v>5</v>
      </c>
      <c r="B126" s="779" t="s">
        <v>666</v>
      </c>
      <c r="C126" s="759">
        <v>8021</v>
      </c>
      <c r="D126" s="759">
        <v>5</v>
      </c>
      <c r="E126" s="759" t="s">
        <v>282</v>
      </c>
      <c r="F126" s="759">
        <v>10653</v>
      </c>
      <c r="G126" s="759">
        <v>10348</v>
      </c>
      <c r="H126" s="759">
        <v>97</v>
      </c>
      <c r="I126" s="759">
        <v>24</v>
      </c>
      <c r="J126" s="759">
        <v>27</v>
      </c>
      <c r="K126" s="759" t="s">
        <v>245</v>
      </c>
    </row>
    <row r="127" spans="1:11" hidden="1">
      <c r="A127" s="759">
        <v>6</v>
      </c>
      <c r="B127" s="779" t="s">
        <v>629</v>
      </c>
      <c r="C127" s="759">
        <v>9227</v>
      </c>
      <c r="D127" s="759">
        <v>6</v>
      </c>
      <c r="E127" s="759" t="s">
        <v>282</v>
      </c>
      <c r="F127" s="759">
        <v>33259</v>
      </c>
      <c r="G127" s="759">
        <v>33103</v>
      </c>
      <c r="H127" s="759">
        <v>100</v>
      </c>
      <c r="I127" s="759">
        <v>60</v>
      </c>
      <c r="J127" s="759">
        <v>27</v>
      </c>
      <c r="K127" s="759" t="s">
        <v>1212</v>
      </c>
    </row>
    <row r="128" spans="1:11" hidden="1">
      <c r="A128" s="759">
        <v>7</v>
      </c>
      <c r="B128" s="779" t="s">
        <v>1634</v>
      </c>
      <c r="C128" s="759">
        <v>9222</v>
      </c>
      <c r="D128" s="759">
        <v>7</v>
      </c>
      <c r="E128" s="759" t="s">
        <v>282</v>
      </c>
      <c r="F128" s="759">
        <v>31873</v>
      </c>
      <c r="G128" s="759">
        <v>31861</v>
      </c>
      <c r="H128" s="759">
        <v>100</v>
      </c>
      <c r="I128" s="759">
        <v>28</v>
      </c>
      <c r="J128" s="759">
        <v>27</v>
      </c>
      <c r="K128" s="759" t="s">
        <v>1212</v>
      </c>
    </row>
    <row r="129" spans="1:11" hidden="1">
      <c r="A129" s="759">
        <v>8</v>
      </c>
      <c r="B129" s="779" t="s">
        <v>1635</v>
      </c>
      <c r="C129" s="759">
        <v>134</v>
      </c>
      <c r="D129" s="759">
        <v>8</v>
      </c>
      <c r="E129" s="759" t="s">
        <v>282</v>
      </c>
      <c r="F129" s="759">
        <v>86434</v>
      </c>
      <c r="G129" s="759">
        <v>84831</v>
      </c>
      <c r="H129" s="759">
        <v>98</v>
      </c>
      <c r="I129" s="759">
        <v>57</v>
      </c>
      <c r="J129" s="759">
        <v>27</v>
      </c>
      <c r="K129" s="759" t="s">
        <v>1212</v>
      </c>
    </row>
    <row r="130" spans="1:11" hidden="1">
      <c r="A130" s="759">
        <v>9</v>
      </c>
      <c r="B130" s="779" t="s">
        <v>1636</v>
      </c>
      <c r="C130" s="759">
        <v>9243</v>
      </c>
      <c r="D130" s="759">
        <v>9</v>
      </c>
      <c r="E130" s="759" t="s">
        <v>282</v>
      </c>
      <c r="F130" s="759">
        <v>30418</v>
      </c>
      <c r="G130" s="759">
        <v>29195</v>
      </c>
      <c r="H130" s="759">
        <v>96</v>
      </c>
      <c r="I130" s="759">
        <v>11</v>
      </c>
      <c r="J130" s="759">
        <v>27</v>
      </c>
      <c r="K130" s="759" t="s">
        <v>984</v>
      </c>
    </row>
    <row r="131" spans="1:11" hidden="1">
      <c r="A131" s="759">
        <v>10</v>
      </c>
      <c r="B131" s="779" t="s">
        <v>1700</v>
      </c>
      <c r="C131" s="759">
        <v>9219</v>
      </c>
      <c r="D131" s="759">
        <v>10</v>
      </c>
      <c r="E131" s="759" t="s">
        <v>282</v>
      </c>
      <c r="F131" s="759">
        <v>38834</v>
      </c>
      <c r="G131" s="759">
        <v>38654</v>
      </c>
      <c r="H131" s="759">
        <v>100</v>
      </c>
      <c r="I131" s="759">
        <v>29</v>
      </c>
      <c r="J131" s="759">
        <v>27</v>
      </c>
      <c r="K131" s="759" t="s">
        <v>1212</v>
      </c>
    </row>
    <row r="132" spans="1:11" hidden="1">
      <c r="A132" s="759">
        <v>11</v>
      </c>
      <c r="B132" s="779" t="s">
        <v>1701</v>
      </c>
      <c r="C132" s="759">
        <v>9224</v>
      </c>
      <c r="D132" s="759">
        <v>11</v>
      </c>
      <c r="E132" s="759" t="s">
        <v>282</v>
      </c>
      <c r="F132" s="759">
        <v>108481</v>
      </c>
      <c r="G132" s="759">
        <v>108221</v>
      </c>
      <c r="H132" s="759">
        <v>100</v>
      </c>
      <c r="I132" s="759">
        <v>40</v>
      </c>
      <c r="J132" s="759">
        <v>27</v>
      </c>
      <c r="K132" s="759" t="s">
        <v>1212</v>
      </c>
    </row>
    <row r="133" spans="1:11" hidden="1">
      <c r="A133" s="759">
        <v>12</v>
      </c>
      <c r="B133" s="779" t="s">
        <v>855</v>
      </c>
      <c r="C133" s="759">
        <v>9201</v>
      </c>
      <c r="D133" s="759">
        <v>12</v>
      </c>
      <c r="E133" s="759" t="s">
        <v>282</v>
      </c>
      <c r="F133" s="759">
        <v>7513</v>
      </c>
      <c r="G133" s="759">
        <v>6608</v>
      </c>
      <c r="H133" s="759">
        <v>88</v>
      </c>
      <c r="I133" s="759">
        <v>7</v>
      </c>
      <c r="J133" s="759">
        <v>27</v>
      </c>
      <c r="K133" s="759" t="s">
        <v>984</v>
      </c>
    </row>
    <row r="134" spans="1:11" hidden="1">
      <c r="A134" s="759"/>
      <c r="B134" s="777" t="s">
        <v>856</v>
      </c>
      <c r="C134" s="759"/>
      <c r="D134" s="759"/>
      <c r="E134" s="759"/>
      <c r="F134" s="759"/>
      <c r="G134" s="759"/>
      <c r="H134" s="759"/>
      <c r="I134" s="759"/>
      <c r="J134" s="759"/>
      <c r="K134" s="759"/>
    </row>
    <row r="135" spans="1:11" hidden="1">
      <c r="A135" s="759">
        <v>1</v>
      </c>
      <c r="B135" s="779" t="s">
        <v>1330</v>
      </c>
      <c r="C135" s="759" t="s">
        <v>1331</v>
      </c>
      <c r="D135" s="759">
        <v>1</v>
      </c>
      <c r="E135" s="759" t="s">
        <v>765</v>
      </c>
      <c r="F135" s="759"/>
      <c r="G135" s="759"/>
      <c r="H135" s="759"/>
      <c r="I135" s="759"/>
      <c r="J135" s="759"/>
      <c r="K135" s="759"/>
    </row>
    <row r="136" spans="1:11" hidden="1">
      <c r="A136" s="759">
        <v>2</v>
      </c>
      <c r="B136" s="779" t="s">
        <v>857</v>
      </c>
      <c r="C136" s="759">
        <v>8030</v>
      </c>
      <c r="D136" s="759">
        <v>2</v>
      </c>
      <c r="E136" s="759" t="s">
        <v>282</v>
      </c>
      <c r="F136" s="759">
        <v>5083</v>
      </c>
      <c r="G136" s="759">
        <v>5080</v>
      </c>
      <c r="H136" s="759">
        <v>100</v>
      </c>
      <c r="I136" s="759">
        <v>84</v>
      </c>
      <c r="J136" s="759">
        <v>29</v>
      </c>
      <c r="K136" s="759" t="s">
        <v>1212</v>
      </c>
    </row>
    <row r="137" spans="1:11" hidden="1">
      <c r="A137" s="759">
        <v>3</v>
      </c>
      <c r="B137" s="779" t="s">
        <v>858</v>
      </c>
      <c r="C137" s="759">
        <v>3139</v>
      </c>
      <c r="D137" s="759">
        <v>3</v>
      </c>
      <c r="E137" s="759" t="s">
        <v>282</v>
      </c>
      <c r="F137" s="759">
        <v>136130</v>
      </c>
      <c r="G137" s="759">
        <v>111742</v>
      </c>
      <c r="H137" s="759">
        <v>82</v>
      </c>
      <c r="I137" s="759">
        <v>3</v>
      </c>
      <c r="J137" s="759">
        <v>29</v>
      </c>
      <c r="K137" s="759" t="s">
        <v>984</v>
      </c>
    </row>
    <row r="138" spans="1:11" hidden="1">
      <c r="A138" s="759">
        <v>4</v>
      </c>
      <c r="B138" s="779" t="s">
        <v>869</v>
      </c>
      <c r="C138" s="759">
        <v>34</v>
      </c>
      <c r="D138" s="759">
        <v>4</v>
      </c>
      <c r="E138" s="759" t="s">
        <v>282</v>
      </c>
      <c r="F138" s="759">
        <v>244857</v>
      </c>
      <c r="G138" s="759">
        <v>207709</v>
      </c>
      <c r="H138" s="759">
        <v>85</v>
      </c>
      <c r="I138" s="759">
        <v>17</v>
      </c>
      <c r="J138" s="759">
        <v>29</v>
      </c>
      <c r="K138" s="759" t="s">
        <v>245</v>
      </c>
    </row>
    <row r="139" spans="1:11" hidden="1">
      <c r="A139" s="759">
        <v>5</v>
      </c>
      <c r="B139" s="779" t="s">
        <v>870</v>
      </c>
      <c r="C139" s="759">
        <v>35</v>
      </c>
      <c r="D139" s="759">
        <v>5</v>
      </c>
      <c r="E139" s="759" t="s">
        <v>286</v>
      </c>
      <c r="F139" s="759">
        <v>18005</v>
      </c>
      <c r="G139" s="759">
        <v>8692</v>
      </c>
      <c r="H139" s="759">
        <v>48</v>
      </c>
      <c r="I139" s="759">
        <v>0</v>
      </c>
      <c r="J139" s="759">
        <v>29</v>
      </c>
      <c r="K139" s="759" t="s">
        <v>522</v>
      </c>
    </row>
    <row r="140" spans="1:11" hidden="1">
      <c r="A140" s="759">
        <v>6</v>
      </c>
      <c r="B140" s="779" t="s">
        <v>871</v>
      </c>
      <c r="C140" s="759">
        <v>8013</v>
      </c>
      <c r="D140" s="759">
        <v>6</v>
      </c>
      <c r="E140" s="759" t="s">
        <v>284</v>
      </c>
      <c r="F140" s="759">
        <v>125367</v>
      </c>
      <c r="G140" s="759">
        <v>89727</v>
      </c>
      <c r="H140" s="759">
        <v>72</v>
      </c>
      <c r="I140" s="759">
        <v>0</v>
      </c>
      <c r="J140" s="759">
        <v>29</v>
      </c>
      <c r="K140" s="759" t="s">
        <v>522</v>
      </c>
    </row>
    <row r="141" spans="1:11" hidden="1">
      <c r="A141" s="759">
        <v>7</v>
      </c>
      <c r="B141" s="779" t="s">
        <v>872</v>
      </c>
      <c r="C141" s="759">
        <v>9288</v>
      </c>
      <c r="D141" s="759">
        <v>7</v>
      </c>
      <c r="E141" s="759" t="s">
        <v>282</v>
      </c>
      <c r="F141" s="759">
        <v>12569</v>
      </c>
      <c r="G141" s="759">
        <v>11858</v>
      </c>
      <c r="H141" s="759">
        <v>94</v>
      </c>
      <c r="I141" s="759">
        <v>0</v>
      </c>
      <c r="J141" s="759">
        <v>29</v>
      </c>
      <c r="K141" s="759" t="s">
        <v>522</v>
      </c>
    </row>
    <row r="142" spans="1:11" hidden="1">
      <c r="A142" s="759">
        <v>8</v>
      </c>
      <c r="B142" s="779" t="s">
        <v>360</v>
      </c>
      <c r="C142" s="759">
        <v>2327</v>
      </c>
      <c r="D142" s="759">
        <v>8</v>
      </c>
      <c r="E142" s="759" t="s">
        <v>286</v>
      </c>
      <c r="F142" s="759">
        <v>42800</v>
      </c>
      <c r="G142" s="759">
        <v>24167</v>
      </c>
      <c r="H142" s="759">
        <v>56</v>
      </c>
      <c r="I142" s="759">
        <v>0</v>
      </c>
      <c r="J142" s="759">
        <v>29</v>
      </c>
      <c r="K142" s="759" t="s">
        <v>522</v>
      </c>
    </row>
    <row r="143" spans="1:11" hidden="1">
      <c r="A143" s="759">
        <v>9</v>
      </c>
      <c r="B143" s="779" t="s">
        <v>1060</v>
      </c>
      <c r="C143" s="759">
        <v>87</v>
      </c>
      <c r="D143" s="759">
        <v>9</v>
      </c>
      <c r="E143" s="759" t="s">
        <v>286</v>
      </c>
      <c r="F143" s="759">
        <v>275539</v>
      </c>
      <c r="G143" s="759">
        <v>123336</v>
      </c>
      <c r="H143" s="759">
        <v>45</v>
      </c>
      <c r="I143" s="759">
        <v>0</v>
      </c>
      <c r="J143" s="759">
        <v>29</v>
      </c>
      <c r="K143" s="759" t="s">
        <v>987</v>
      </c>
    </row>
    <row r="144" spans="1:11" hidden="1">
      <c r="A144" s="759">
        <v>10</v>
      </c>
      <c r="B144" s="779" t="s">
        <v>632</v>
      </c>
      <c r="C144" s="759">
        <v>2869</v>
      </c>
      <c r="D144" s="759">
        <v>10</v>
      </c>
      <c r="E144" s="759" t="s">
        <v>282</v>
      </c>
      <c r="F144" s="759">
        <v>93938</v>
      </c>
      <c r="G144" s="759">
        <v>92078</v>
      </c>
      <c r="H144" s="759">
        <v>98</v>
      </c>
      <c r="I144" s="759">
        <v>1</v>
      </c>
      <c r="J144" s="759">
        <v>29</v>
      </c>
      <c r="K144" s="759" t="s">
        <v>987</v>
      </c>
    </row>
    <row r="145" spans="1:11" hidden="1">
      <c r="A145" s="759">
        <v>11</v>
      </c>
      <c r="B145" s="779" t="s">
        <v>633</v>
      </c>
      <c r="C145" s="759">
        <v>5555</v>
      </c>
      <c r="D145" s="759">
        <v>11</v>
      </c>
      <c r="E145" s="759" t="s">
        <v>282</v>
      </c>
      <c r="F145" s="759">
        <v>39414</v>
      </c>
      <c r="G145" s="759">
        <v>36866</v>
      </c>
      <c r="H145" s="759">
        <v>94</v>
      </c>
      <c r="I145" s="759">
        <v>33</v>
      </c>
      <c r="J145" s="759">
        <v>29</v>
      </c>
      <c r="K145" s="759" t="s">
        <v>1212</v>
      </c>
    </row>
    <row r="146" spans="1:11" hidden="1">
      <c r="A146" s="759">
        <v>12</v>
      </c>
      <c r="B146" s="779" t="s">
        <v>341</v>
      </c>
      <c r="C146" s="759">
        <v>9231</v>
      </c>
      <c r="D146" s="759">
        <v>12</v>
      </c>
      <c r="E146" s="759" t="s">
        <v>282</v>
      </c>
      <c r="F146" s="759">
        <v>26435</v>
      </c>
      <c r="G146" s="759">
        <v>25501</v>
      </c>
      <c r="H146" s="759">
        <v>96</v>
      </c>
      <c r="I146" s="759">
        <v>17</v>
      </c>
      <c r="J146" s="759">
        <v>29</v>
      </c>
      <c r="K146" s="759" t="s">
        <v>245</v>
      </c>
    </row>
    <row r="147" spans="1:11" hidden="1">
      <c r="A147" s="759">
        <v>13</v>
      </c>
      <c r="B147" s="779" t="s">
        <v>342</v>
      </c>
      <c r="C147" s="759">
        <v>1</v>
      </c>
      <c r="D147" s="759">
        <v>13</v>
      </c>
      <c r="E147" s="759" t="s">
        <v>282</v>
      </c>
      <c r="F147" s="759">
        <v>105854</v>
      </c>
      <c r="G147" s="759">
        <v>97588</v>
      </c>
      <c r="H147" s="759">
        <v>92</v>
      </c>
      <c r="I147" s="759">
        <v>23</v>
      </c>
      <c r="J147" s="759">
        <v>29</v>
      </c>
      <c r="K147" s="759" t="s">
        <v>245</v>
      </c>
    </row>
    <row r="148" spans="1:11" hidden="1">
      <c r="A148" s="759">
        <v>14</v>
      </c>
      <c r="B148" s="779" t="s">
        <v>343</v>
      </c>
      <c r="C148" s="759">
        <v>8024</v>
      </c>
      <c r="D148" s="759">
        <v>14</v>
      </c>
      <c r="E148" s="759" t="s">
        <v>282</v>
      </c>
      <c r="F148" s="759">
        <v>46035</v>
      </c>
      <c r="G148" s="759">
        <v>37936</v>
      </c>
      <c r="H148" s="759">
        <v>82</v>
      </c>
      <c r="I148" s="759">
        <v>0</v>
      </c>
      <c r="J148" s="759">
        <v>29</v>
      </c>
      <c r="K148" s="759" t="s">
        <v>522</v>
      </c>
    </row>
    <row r="149" spans="1:11" hidden="1">
      <c r="A149" s="759">
        <v>15</v>
      </c>
      <c r="B149" s="779" t="s">
        <v>344</v>
      </c>
      <c r="C149" s="759">
        <v>9220</v>
      </c>
      <c r="D149" s="759">
        <v>15</v>
      </c>
      <c r="E149" s="759" t="s">
        <v>282</v>
      </c>
      <c r="F149" s="759">
        <v>32071</v>
      </c>
      <c r="G149" s="759">
        <v>31905</v>
      </c>
      <c r="H149" s="759">
        <v>99</v>
      </c>
      <c r="I149" s="759">
        <v>16</v>
      </c>
      <c r="J149" s="759">
        <v>29</v>
      </c>
      <c r="K149" s="759" t="s">
        <v>245</v>
      </c>
    </row>
    <row r="150" spans="1:11" hidden="1">
      <c r="A150" s="759">
        <v>16</v>
      </c>
      <c r="B150" s="779" t="s">
        <v>345</v>
      </c>
      <c r="C150" s="759">
        <v>152</v>
      </c>
      <c r="D150" s="759">
        <v>16</v>
      </c>
      <c r="E150" s="759" t="s">
        <v>282</v>
      </c>
      <c r="F150" s="759">
        <v>164619</v>
      </c>
      <c r="G150" s="759">
        <v>162056</v>
      </c>
      <c r="H150" s="759">
        <v>98</v>
      </c>
      <c r="I150" s="759">
        <v>4</v>
      </c>
      <c r="J150" s="759">
        <v>29</v>
      </c>
      <c r="K150" s="759" t="s">
        <v>984</v>
      </c>
    </row>
    <row r="151" spans="1:11" hidden="1">
      <c r="A151" s="759">
        <v>17</v>
      </c>
      <c r="B151" s="779" t="s">
        <v>346</v>
      </c>
      <c r="C151" s="759">
        <v>5552</v>
      </c>
      <c r="D151" s="759">
        <v>17</v>
      </c>
      <c r="E151" s="759" t="s">
        <v>282</v>
      </c>
      <c r="F151" s="759">
        <v>119002</v>
      </c>
      <c r="G151" s="759">
        <v>112297</v>
      </c>
      <c r="H151" s="759">
        <v>94</v>
      </c>
      <c r="I151" s="759">
        <v>24</v>
      </c>
      <c r="J151" s="759">
        <v>29</v>
      </c>
      <c r="K151" s="759" t="s">
        <v>245</v>
      </c>
    </row>
    <row r="152" spans="1:11" hidden="1">
      <c r="A152" s="759"/>
      <c r="B152" s="777" t="s">
        <v>347</v>
      </c>
      <c r="C152" s="759"/>
      <c r="D152" s="759"/>
      <c r="E152" s="759"/>
      <c r="F152" s="759"/>
      <c r="G152" s="759"/>
      <c r="H152" s="759"/>
      <c r="I152" s="759"/>
      <c r="J152" s="759"/>
      <c r="K152" s="759"/>
    </row>
    <row r="153" spans="1:11" hidden="1">
      <c r="A153" s="759">
        <v>1</v>
      </c>
      <c r="B153" s="779" t="s">
        <v>1330</v>
      </c>
      <c r="C153" s="759" t="s">
        <v>1331</v>
      </c>
      <c r="D153" s="759">
        <v>1</v>
      </c>
      <c r="E153" s="759" t="s">
        <v>765</v>
      </c>
      <c r="F153" s="759"/>
      <c r="G153" s="759"/>
      <c r="H153" s="759"/>
      <c r="I153" s="759"/>
      <c r="J153" s="759"/>
      <c r="K153" s="759"/>
    </row>
    <row r="154" spans="1:11" hidden="1">
      <c r="A154" s="759">
        <v>2</v>
      </c>
      <c r="B154" s="779" t="s">
        <v>348</v>
      </c>
      <c r="C154" s="759">
        <v>6</v>
      </c>
      <c r="D154" s="759">
        <v>2</v>
      </c>
      <c r="E154" s="759" t="s">
        <v>282</v>
      </c>
      <c r="F154" s="759">
        <v>29450</v>
      </c>
      <c r="G154" s="759">
        <v>28014</v>
      </c>
      <c r="H154" s="759">
        <v>95</v>
      </c>
      <c r="I154" s="759">
        <v>8</v>
      </c>
      <c r="J154" s="759">
        <v>32</v>
      </c>
      <c r="K154" s="759" t="s">
        <v>984</v>
      </c>
    </row>
    <row r="155" spans="1:11" hidden="1">
      <c r="A155" s="759">
        <v>3</v>
      </c>
      <c r="B155" s="779" t="s">
        <v>349</v>
      </c>
      <c r="C155" s="759">
        <v>7</v>
      </c>
      <c r="D155" s="759">
        <v>3</v>
      </c>
      <c r="E155" s="759" t="s">
        <v>284</v>
      </c>
      <c r="F155" s="759">
        <v>23059</v>
      </c>
      <c r="G155" s="759">
        <v>16781</v>
      </c>
      <c r="H155" s="759">
        <v>73</v>
      </c>
      <c r="I155" s="759">
        <v>6</v>
      </c>
      <c r="J155" s="759">
        <v>32</v>
      </c>
      <c r="K155" s="759" t="s">
        <v>984</v>
      </c>
    </row>
    <row r="156" spans="1:11" hidden="1">
      <c r="A156" s="759">
        <v>4</v>
      </c>
      <c r="B156" s="779" t="s">
        <v>350</v>
      </c>
      <c r="C156" s="759">
        <v>10</v>
      </c>
      <c r="D156" s="759">
        <v>4</v>
      </c>
      <c r="E156" s="759" t="s">
        <v>284</v>
      </c>
      <c r="F156" s="759">
        <v>70932</v>
      </c>
      <c r="G156" s="759">
        <v>52326</v>
      </c>
      <c r="H156" s="759">
        <v>74</v>
      </c>
      <c r="I156" s="759">
        <v>5</v>
      </c>
      <c r="J156" s="759">
        <v>32</v>
      </c>
      <c r="K156" s="759" t="s">
        <v>984</v>
      </c>
    </row>
    <row r="157" spans="1:11" hidden="1">
      <c r="A157" s="759">
        <v>5</v>
      </c>
      <c r="B157" s="779" t="s">
        <v>351</v>
      </c>
      <c r="C157" s="759">
        <v>9249</v>
      </c>
      <c r="D157" s="759">
        <v>5</v>
      </c>
      <c r="E157" s="759" t="s">
        <v>282</v>
      </c>
      <c r="F157" s="759">
        <v>110464</v>
      </c>
      <c r="G157" s="759">
        <v>95867</v>
      </c>
      <c r="H157" s="759">
        <v>87</v>
      </c>
      <c r="I157" s="759">
        <v>0</v>
      </c>
      <c r="J157" s="759">
        <v>32</v>
      </c>
      <c r="K157" s="759" t="s">
        <v>987</v>
      </c>
    </row>
    <row r="158" spans="1:11" hidden="1">
      <c r="A158" s="759">
        <v>6</v>
      </c>
      <c r="B158" s="779" t="s">
        <v>352</v>
      </c>
      <c r="C158" s="759">
        <v>9250</v>
      </c>
      <c r="D158" s="759">
        <v>6</v>
      </c>
      <c r="E158" s="759" t="s">
        <v>282</v>
      </c>
      <c r="F158" s="759">
        <v>68654</v>
      </c>
      <c r="G158" s="759">
        <v>66955</v>
      </c>
      <c r="H158" s="759">
        <v>98</v>
      </c>
      <c r="I158" s="759">
        <v>26</v>
      </c>
      <c r="J158" s="759">
        <v>32</v>
      </c>
      <c r="K158" s="759" t="s">
        <v>245</v>
      </c>
    </row>
    <row r="159" spans="1:11" hidden="1">
      <c r="A159" s="759"/>
      <c r="B159" s="777" t="s">
        <v>353</v>
      </c>
      <c r="C159" s="759"/>
      <c r="D159" s="759"/>
      <c r="E159" s="759"/>
      <c r="F159" s="759"/>
      <c r="G159" s="759"/>
      <c r="H159" s="759"/>
      <c r="I159" s="759"/>
      <c r="J159" s="759"/>
      <c r="K159" s="759"/>
    </row>
    <row r="160" spans="1:11" hidden="1">
      <c r="A160" s="759">
        <v>1</v>
      </c>
      <c r="B160" s="779" t="s">
        <v>1330</v>
      </c>
      <c r="C160" s="759" t="s">
        <v>1331</v>
      </c>
      <c r="D160" s="759">
        <v>1</v>
      </c>
      <c r="E160" s="759" t="s">
        <v>765</v>
      </c>
      <c r="F160" s="759"/>
      <c r="G160" s="759"/>
      <c r="H160" s="759"/>
      <c r="I160" s="759"/>
      <c r="J160" s="759"/>
      <c r="K160" s="759"/>
    </row>
    <row r="161" spans="1:11" hidden="1">
      <c r="A161" s="759">
        <v>2</v>
      </c>
      <c r="B161" s="779" t="s">
        <v>354</v>
      </c>
      <c r="C161" s="759">
        <v>9211</v>
      </c>
      <c r="D161" s="759">
        <v>2</v>
      </c>
      <c r="E161" s="759" t="s">
        <v>286</v>
      </c>
      <c r="F161" s="759">
        <v>34097</v>
      </c>
      <c r="G161" s="759">
        <v>16199</v>
      </c>
      <c r="H161" s="759">
        <v>48</v>
      </c>
      <c r="I161" s="759">
        <v>2</v>
      </c>
      <c r="J161" s="759">
        <v>23</v>
      </c>
      <c r="K161" s="759" t="s">
        <v>984</v>
      </c>
    </row>
    <row r="162" spans="1:11" hidden="1">
      <c r="A162" s="759">
        <v>3</v>
      </c>
      <c r="B162" s="779" t="s">
        <v>355</v>
      </c>
      <c r="C162" s="759">
        <v>8016</v>
      </c>
      <c r="D162" s="759">
        <v>3</v>
      </c>
      <c r="E162" s="759" t="s">
        <v>286</v>
      </c>
      <c r="F162" s="759">
        <v>43178</v>
      </c>
      <c r="G162" s="759">
        <v>12552</v>
      </c>
      <c r="H162" s="759">
        <v>29</v>
      </c>
      <c r="I162" s="759">
        <v>0</v>
      </c>
      <c r="J162" s="759">
        <v>23</v>
      </c>
      <c r="K162" s="759" t="s">
        <v>987</v>
      </c>
    </row>
    <row r="163" spans="1:11" hidden="1">
      <c r="A163" s="759">
        <v>4</v>
      </c>
      <c r="B163" s="779" t="s">
        <v>356</v>
      </c>
      <c r="C163" s="759">
        <v>8017</v>
      </c>
      <c r="D163" s="759">
        <v>4</v>
      </c>
      <c r="E163" s="759" t="s">
        <v>286</v>
      </c>
      <c r="F163" s="759">
        <v>56852</v>
      </c>
      <c r="G163" s="759">
        <v>25290</v>
      </c>
      <c r="H163" s="759">
        <v>44</v>
      </c>
      <c r="I163" s="759">
        <v>1</v>
      </c>
      <c r="J163" s="759">
        <v>23</v>
      </c>
      <c r="K163" s="759" t="s">
        <v>987</v>
      </c>
    </row>
    <row r="164" spans="1:11" hidden="1">
      <c r="A164" s="759">
        <v>5</v>
      </c>
      <c r="B164" s="779" t="s">
        <v>357</v>
      </c>
      <c r="C164" s="759">
        <v>8014</v>
      </c>
      <c r="D164" s="759">
        <v>5</v>
      </c>
      <c r="E164" s="759" t="s">
        <v>282</v>
      </c>
      <c r="F164" s="759">
        <v>56478</v>
      </c>
      <c r="G164" s="759">
        <v>56426</v>
      </c>
      <c r="H164" s="759">
        <v>100</v>
      </c>
      <c r="I164" s="759">
        <v>0</v>
      </c>
      <c r="J164" s="759">
        <v>23</v>
      </c>
      <c r="K164" s="759" t="s">
        <v>522</v>
      </c>
    </row>
    <row r="165" spans="1:11" hidden="1">
      <c r="A165" s="759">
        <v>6</v>
      </c>
      <c r="B165" s="779" t="s">
        <v>358</v>
      </c>
      <c r="C165" s="759">
        <v>72</v>
      </c>
      <c r="D165" s="759">
        <v>6</v>
      </c>
      <c r="E165" s="759" t="s">
        <v>286</v>
      </c>
      <c r="F165" s="759">
        <v>15370</v>
      </c>
      <c r="G165" s="759">
        <v>4561</v>
      </c>
      <c r="H165" s="759">
        <v>30</v>
      </c>
      <c r="I165" s="759">
        <v>0</v>
      </c>
      <c r="J165" s="759">
        <v>23</v>
      </c>
      <c r="K165" s="759" t="s">
        <v>987</v>
      </c>
    </row>
    <row r="166" spans="1:11" hidden="1">
      <c r="A166" s="759">
        <v>7</v>
      </c>
      <c r="B166" s="779" t="s">
        <v>359</v>
      </c>
      <c r="C166" s="759">
        <v>878</v>
      </c>
      <c r="D166" s="759">
        <v>7</v>
      </c>
      <c r="E166" s="759" t="s">
        <v>282</v>
      </c>
      <c r="F166" s="759">
        <v>240260</v>
      </c>
      <c r="G166" s="759">
        <v>221444</v>
      </c>
      <c r="H166" s="759">
        <v>92</v>
      </c>
      <c r="I166" s="759">
        <v>34</v>
      </c>
      <c r="J166" s="759">
        <v>23</v>
      </c>
      <c r="K166" s="759" t="s">
        <v>1212</v>
      </c>
    </row>
    <row r="167" spans="1:11" hidden="1">
      <c r="A167" s="759">
        <v>8</v>
      </c>
      <c r="B167" s="779" t="s">
        <v>1224</v>
      </c>
      <c r="C167" s="759">
        <v>9264</v>
      </c>
      <c r="D167" s="759">
        <v>8</v>
      </c>
      <c r="E167" s="759" t="s">
        <v>282</v>
      </c>
      <c r="F167" s="759">
        <v>413666</v>
      </c>
      <c r="G167" s="759">
        <v>375050</v>
      </c>
      <c r="H167" s="759">
        <v>91</v>
      </c>
      <c r="I167" s="759">
        <v>16</v>
      </c>
      <c r="J167" s="759">
        <v>23</v>
      </c>
      <c r="K167" s="759" t="s">
        <v>245</v>
      </c>
    </row>
    <row r="168" spans="1:11" hidden="1">
      <c r="A168" s="759">
        <v>9</v>
      </c>
      <c r="B168" s="779" t="s">
        <v>1225</v>
      </c>
      <c r="C168" s="759">
        <v>9210</v>
      </c>
      <c r="D168" s="759">
        <v>9</v>
      </c>
      <c r="E168" s="759" t="s">
        <v>282</v>
      </c>
      <c r="F168" s="759">
        <v>21866</v>
      </c>
      <c r="G168" s="759">
        <v>19811</v>
      </c>
      <c r="H168" s="759">
        <v>91</v>
      </c>
      <c r="I168" s="759">
        <v>12</v>
      </c>
      <c r="J168" s="759">
        <v>23</v>
      </c>
      <c r="K168" s="759" t="s">
        <v>245</v>
      </c>
    </row>
    <row r="169" spans="1:11" hidden="1">
      <c r="A169" s="759">
        <v>10</v>
      </c>
      <c r="B169" s="779" t="s">
        <v>1226</v>
      </c>
      <c r="C169" s="759">
        <v>9226</v>
      </c>
      <c r="D169" s="759">
        <v>10</v>
      </c>
      <c r="E169" s="759" t="s">
        <v>282</v>
      </c>
      <c r="F169" s="759">
        <v>87881</v>
      </c>
      <c r="G169" s="759">
        <v>75567</v>
      </c>
      <c r="H169" s="759">
        <v>86</v>
      </c>
      <c r="I169" s="759">
        <v>8</v>
      </c>
      <c r="J169" s="759">
        <v>23</v>
      </c>
      <c r="K169" s="759" t="s">
        <v>984</v>
      </c>
    </row>
    <row r="170" spans="1:11" hidden="1">
      <c r="A170" s="759">
        <v>11</v>
      </c>
      <c r="B170" s="779" t="s">
        <v>1227</v>
      </c>
      <c r="C170" s="759">
        <v>8023</v>
      </c>
      <c r="D170" s="759">
        <v>11</v>
      </c>
      <c r="E170" s="759" t="s">
        <v>284</v>
      </c>
      <c r="F170" s="759">
        <v>157412</v>
      </c>
      <c r="G170" s="759">
        <v>113671</v>
      </c>
      <c r="H170" s="759">
        <v>72</v>
      </c>
      <c r="I170" s="759">
        <v>17</v>
      </c>
      <c r="J170" s="759">
        <v>23</v>
      </c>
      <c r="K170" s="759" t="s">
        <v>245</v>
      </c>
    </row>
    <row r="171" spans="1:11" hidden="1">
      <c r="A171" s="759">
        <v>12</v>
      </c>
      <c r="B171" s="779" t="s">
        <v>882</v>
      </c>
      <c r="C171" s="759">
        <v>9207</v>
      </c>
      <c r="D171" s="759">
        <v>12</v>
      </c>
      <c r="E171" s="759" t="s">
        <v>282</v>
      </c>
      <c r="F171" s="759">
        <v>88543</v>
      </c>
      <c r="G171" s="759">
        <v>87300</v>
      </c>
      <c r="H171" s="759">
        <v>99</v>
      </c>
      <c r="I171" s="759">
        <v>19</v>
      </c>
      <c r="J171" s="759">
        <v>23</v>
      </c>
      <c r="K171" s="759" t="s">
        <v>245</v>
      </c>
    </row>
    <row r="172" spans="1:11" hidden="1">
      <c r="A172" s="759">
        <v>13</v>
      </c>
      <c r="B172" s="779" t="s">
        <v>883</v>
      </c>
      <c r="C172" s="759">
        <v>9208</v>
      </c>
      <c r="D172" s="759">
        <v>13</v>
      </c>
      <c r="E172" s="759" t="s">
        <v>282</v>
      </c>
      <c r="F172" s="759">
        <v>51501</v>
      </c>
      <c r="G172" s="759">
        <v>50745</v>
      </c>
      <c r="H172" s="759">
        <v>99</v>
      </c>
      <c r="I172" s="759">
        <v>59</v>
      </c>
      <c r="J172" s="759">
        <v>23</v>
      </c>
      <c r="K172" s="759" t="s">
        <v>1212</v>
      </c>
    </row>
    <row r="173" spans="1:11" hidden="1">
      <c r="A173" s="759">
        <v>14</v>
      </c>
      <c r="B173" s="779" t="s">
        <v>884</v>
      </c>
      <c r="C173" s="759">
        <v>9204</v>
      </c>
      <c r="D173" s="759">
        <v>14</v>
      </c>
      <c r="E173" s="759" t="s">
        <v>284</v>
      </c>
      <c r="F173" s="759">
        <v>227916</v>
      </c>
      <c r="G173" s="759">
        <v>151434</v>
      </c>
      <c r="H173" s="759">
        <v>66</v>
      </c>
      <c r="I173" s="759">
        <v>3</v>
      </c>
      <c r="J173" s="759">
        <v>23</v>
      </c>
      <c r="K173" s="759" t="s">
        <v>984</v>
      </c>
    </row>
    <row r="174" spans="1:11" hidden="1">
      <c r="A174" s="759"/>
      <c r="B174" s="777" t="s">
        <v>885</v>
      </c>
      <c r="C174" s="759"/>
      <c r="D174" s="759"/>
      <c r="E174" s="759"/>
      <c r="F174" s="759"/>
      <c r="G174" s="759"/>
      <c r="H174" s="759"/>
      <c r="I174" s="759"/>
      <c r="J174" s="759"/>
      <c r="K174" s="759"/>
    </row>
    <row r="175" spans="1:11" hidden="1">
      <c r="A175" s="759">
        <v>1</v>
      </c>
      <c r="B175" s="779" t="s">
        <v>1330</v>
      </c>
      <c r="C175" s="759" t="s">
        <v>1331</v>
      </c>
      <c r="D175" s="759">
        <v>1</v>
      </c>
      <c r="E175" s="759" t="s">
        <v>765</v>
      </c>
      <c r="F175" s="759"/>
      <c r="G175" s="759"/>
      <c r="H175" s="759"/>
      <c r="I175" s="759"/>
      <c r="J175" s="759"/>
      <c r="K175" s="759"/>
    </row>
    <row r="176" spans="1:11" hidden="1">
      <c r="A176" s="759">
        <v>2</v>
      </c>
      <c r="B176" s="779" t="s">
        <v>1105</v>
      </c>
      <c r="C176" s="759">
        <v>8027</v>
      </c>
      <c r="D176" s="759">
        <v>2</v>
      </c>
      <c r="E176" s="759" t="s">
        <v>282</v>
      </c>
      <c r="F176" s="759">
        <v>51324</v>
      </c>
      <c r="G176" s="759">
        <v>50320</v>
      </c>
      <c r="H176" s="759">
        <v>98</v>
      </c>
      <c r="I176" s="759">
        <v>21</v>
      </c>
      <c r="J176" s="759">
        <v>30</v>
      </c>
      <c r="K176" s="759" t="s">
        <v>245</v>
      </c>
    </row>
    <row r="177" spans="1:11" hidden="1">
      <c r="A177" s="759">
        <v>3</v>
      </c>
      <c r="B177" s="779" t="s">
        <v>1106</v>
      </c>
      <c r="C177" s="759">
        <v>8006</v>
      </c>
      <c r="D177" s="759">
        <v>3</v>
      </c>
      <c r="E177" s="759" t="s">
        <v>282</v>
      </c>
      <c r="F177" s="759">
        <v>116947</v>
      </c>
      <c r="G177" s="759">
        <v>109406</v>
      </c>
      <c r="H177" s="759">
        <v>94</v>
      </c>
      <c r="I177" s="759">
        <v>6</v>
      </c>
      <c r="J177" s="759">
        <v>30</v>
      </c>
      <c r="K177" s="759" t="s">
        <v>984</v>
      </c>
    </row>
    <row r="178" spans="1:11" hidden="1">
      <c r="A178" s="759">
        <v>4</v>
      </c>
      <c r="B178" s="779" t="s">
        <v>620</v>
      </c>
      <c r="C178" s="759">
        <v>30</v>
      </c>
      <c r="D178" s="759">
        <v>4</v>
      </c>
      <c r="E178" s="759" t="s">
        <v>286</v>
      </c>
      <c r="F178" s="759">
        <v>8986</v>
      </c>
      <c r="G178" s="759">
        <v>4052</v>
      </c>
      <c r="H178" s="759">
        <v>45</v>
      </c>
      <c r="I178" s="759">
        <v>33</v>
      </c>
      <c r="J178" s="759">
        <v>30</v>
      </c>
      <c r="K178" s="759" t="s">
        <v>1212</v>
      </c>
    </row>
    <row r="179" spans="1:11" hidden="1">
      <c r="A179" s="759">
        <v>5</v>
      </c>
      <c r="B179" s="779" t="s">
        <v>621</v>
      </c>
      <c r="C179" s="759">
        <v>114</v>
      </c>
      <c r="D179" s="759">
        <v>5</v>
      </c>
      <c r="E179" s="759" t="s">
        <v>282</v>
      </c>
      <c r="F179" s="759">
        <v>23235</v>
      </c>
      <c r="G179" s="759">
        <v>21592</v>
      </c>
      <c r="H179" s="759">
        <v>93</v>
      </c>
      <c r="I179" s="759">
        <v>100</v>
      </c>
      <c r="J179" s="759">
        <v>30</v>
      </c>
      <c r="K179" s="759" t="s">
        <v>1212</v>
      </c>
    </row>
    <row r="180" spans="1:11" hidden="1">
      <c r="A180" s="759">
        <v>6</v>
      </c>
      <c r="B180" s="779" t="s">
        <v>622</v>
      </c>
      <c r="C180" s="759">
        <v>9217</v>
      </c>
      <c r="D180" s="759">
        <v>6</v>
      </c>
      <c r="E180" s="759" t="s">
        <v>286</v>
      </c>
      <c r="F180" s="759">
        <v>4049</v>
      </c>
      <c r="G180" s="759">
        <v>2443</v>
      </c>
      <c r="H180" s="759">
        <v>60</v>
      </c>
      <c r="I180" s="759">
        <v>5</v>
      </c>
      <c r="J180" s="759">
        <v>30</v>
      </c>
      <c r="K180" s="759" t="s">
        <v>984</v>
      </c>
    </row>
    <row r="181" spans="1:11" hidden="1">
      <c r="A181" s="759">
        <v>7</v>
      </c>
      <c r="B181" s="779" t="s">
        <v>623</v>
      </c>
      <c r="C181" s="759">
        <v>9230</v>
      </c>
      <c r="D181" s="759">
        <v>7</v>
      </c>
      <c r="E181" s="759" t="s">
        <v>282</v>
      </c>
      <c r="F181" s="759">
        <v>10736</v>
      </c>
      <c r="G181" s="759">
        <v>10207</v>
      </c>
      <c r="H181" s="759">
        <v>95</v>
      </c>
      <c r="I181" s="759">
        <v>46</v>
      </c>
      <c r="J181" s="759">
        <v>30</v>
      </c>
      <c r="K181" s="759" t="s">
        <v>1212</v>
      </c>
    </row>
    <row r="182" spans="1:11" hidden="1">
      <c r="A182" s="759">
        <v>8</v>
      </c>
      <c r="B182" s="779" t="s">
        <v>624</v>
      </c>
      <c r="C182" s="759">
        <v>5563</v>
      </c>
      <c r="D182" s="759">
        <v>8</v>
      </c>
      <c r="E182" s="759" t="s">
        <v>282</v>
      </c>
      <c r="F182" s="759">
        <v>1700</v>
      </c>
      <c r="G182" s="759">
        <v>1504</v>
      </c>
      <c r="H182" s="759">
        <v>88</v>
      </c>
      <c r="I182" s="759">
        <v>2</v>
      </c>
      <c r="J182" s="759">
        <v>30</v>
      </c>
      <c r="K182" s="759" t="s">
        <v>984</v>
      </c>
    </row>
    <row r="183" spans="1:11" hidden="1">
      <c r="A183" s="759">
        <v>9</v>
      </c>
      <c r="B183" s="779" t="s">
        <v>625</v>
      </c>
      <c r="C183" s="759">
        <v>9221</v>
      </c>
      <c r="D183" s="759">
        <v>9</v>
      </c>
      <c r="E183" s="759" t="s">
        <v>282</v>
      </c>
      <c r="F183" s="759">
        <v>122365</v>
      </c>
      <c r="G183" s="759">
        <v>119125</v>
      </c>
      <c r="H183" s="759">
        <v>97</v>
      </c>
      <c r="I183" s="759">
        <v>21</v>
      </c>
      <c r="J183" s="759">
        <v>30</v>
      </c>
      <c r="K183" s="759" t="s">
        <v>245</v>
      </c>
    </row>
    <row r="184" spans="1:11" hidden="1">
      <c r="A184" s="759">
        <v>10</v>
      </c>
      <c r="B184" s="779" t="s">
        <v>626</v>
      </c>
      <c r="C184" s="759">
        <v>9223</v>
      </c>
      <c r="D184" s="759">
        <v>10</v>
      </c>
      <c r="E184" s="759" t="s">
        <v>282</v>
      </c>
      <c r="F184" s="759">
        <v>38080</v>
      </c>
      <c r="G184" s="759">
        <v>35510</v>
      </c>
      <c r="H184" s="759">
        <v>93</v>
      </c>
      <c r="I184" s="759">
        <v>39</v>
      </c>
      <c r="J184" s="759">
        <v>30</v>
      </c>
      <c r="K184" s="759" t="s">
        <v>1212</v>
      </c>
    </row>
    <row r="185" spans="1:11" hidden="1">
      <c r="A185" s="759">
        <v>11</v>
      </c>
      <c r="B185" s="779" t="s">
        <v>627</v>
      </c>
      <c r="C185" s="759">
        <v>140</v>
      </c>
      <c r="D185" s="759">
        <v>11</v>
      </c>
      <c r="E185" s="759" t="s">
        <v>795</v>
      </c>
      <c r="F185" s="759">
        <v>46985</v>
      </c>
      <c r="G185" s="759">
        <v>11806</v>
      </c>
      <c r="H185" s="759">
        <v>25</v>
      </c>
      <c r="I185" s="759">
        <v>2</v>
      </c>
      <c r="J185" s="759">
        <v>30</v>
      </c>
      <c r="K185" s="759" t="s">
        <v>984</v>
      </c>
    </row>
    <row r="186" spans="1:11" hidden="1">
      <c r="A186" s="759">
        <v>12</v>
      </c>
      <c r="B186" s="779" t="s">
        <v>628</v>
      </c>
      <c r="C186" s="759">
        <v>153</v>
      </c>
      <c r="D186" s="759">
        <v>12</v>
      </c>
      <c r="E186" s="759" t="s">
        <v>286</v>
      </c>
      <c r="F186" s="759">
        <v>86850</v>
      </c>
      <c r="G186" s="759">
        <v>49925</v>
      </c>
      <c r="H186" s="759">
        <v>57</v>
      </c>
      <c r="I186" s="759">
        <v>4</v>
      </c>
      <c r="J186" s="759">
        <v>30</v>
      </c>
      <c r="K186" s="759" t="s">
        <v>984</v>
      </c>
    </row>
    <row r="187" spans="1:11" hidden="1">
      <c r="A187" s="759">
        <v>13</v>
      </c>
      <c r="B187" s="779" t="s">
        <v>280</v>
      </c>
      <c r="C187" s="759">
        <v>9232</v>
      </c>
      <c r="D187" s="759">
        <v>13</v>
      </c>
      <c r="E187" s="759" t="s">
        <v>282</v>
      </c>
      <c r="F187" s="759">
        <v>13467</v>
      </c>
      <c r="G187" s="759">
        <v>12634</v>
      </c>
      <c r="H187" s="759">
        <v>94</v>
      </c>
      <c r="I187" s="759">
        <v>48</v>
      </c>
      <c r="J187" s="759">
        <v>30</v>
      </c>
      <c r="K187" s="759" t="s">
        <v>1212</v>
      </c>
    </row>
    <row r="188" spans="1:11" hidden="1">
      <c r="A188" s="759"/>
      <c r="B188" s="777" t="s">
        <v>886</v>
      </c>
      <c r="C188" s="759"/>
      <c r="D188" s="759"/>
      <c r="E188" s="759"/>
      <c r="F188" s="759"/>
      <c r="G188" s="759"/>
      <c r="H188" s="759"/>
      <c r="I188" s="759"/>
      <c r="J188" s="759"/>
      <c r="K188" s="759"/>
    </row>
    <row r="189" spans="1:11" hidden="1">
      <c r="A189" s="759">
        <v>1</v>
      </c>
      <c r="B189" s="779" t="s">
        <v>1330</v>
      </c>
      <c r="C189" s="759" t="s">
        <v>1331</v>
      </c>
      <c r="D189" s="759">
        <v>1</v>
      </c>
      <c r="E189" s="759" t="s">
        <v>765</v>
      </c>
      <c r="F189" s="759"/>
      <c r="G189" s="759"/>
      <c r="H189" s="759"/>
      <c r="I189" s="759"/>
      <c r="J189" s="759"/>
      <c r="K189" s="759"/>
    </row>
    <row r="190" spans="1:11" hidden="1">
      <c r="A190" s="759">
        <v>2</v>
      </c>
      <c r="B190" s="779" t="s">
        <v>887</v>
      </c>
      <c r="C190" s="759">
        <v>9206</v>
      </c>
      <c r="D190" s="759">
        <v>2</v>
      </c>
      <c r="E190" s="759" t="s">
        <v>282</v>
      </c>
      <c r="F190" s="759">
        <v>11878</v>
      </c>
      <c r="G190" s="759">
        <v>11875</v>
      </c>
      <c r="H190" s="759">
        <v>100</v>
      </c>
      <c r="I190" s="759">
        <v>22</v>
      </c>
      <c r="J190" s="759">
        <v>29</v>
      </c>
      <c r="K190" s="759" t="s">
        <v>245</v>
      </c>
    </row>
    <row r="191" spans="1:11" hidden="1">
      <c r="A191" s="759">
        <v>3</v>
      </c>
      <c r="B191" s="779" t="s">
        <v>272</v>
      </c>
      <c r="C191" s="759">
        <v>185</v>
      </c>
      <c r="D191" s="759">
        <v>3</v>
      </c>
      <c r="E191" s="759" t="s">
        <v>286</v>
      </c>
      <c r="F191" s="759">
        <v>36662</v>
      </c>
      <c r="G191" s="759">
        <v>13537</v>
      </c>
      <c r="H191" s="759">
        <v>37</v>
      </c>
      <c r="I191" s="759">
        <v>0</v>
      </c>
      <c r="J191" s="759">
        <v>29</v>
      </c>
      <c r="K191" s="759" t="s">
        <v>987</v>
      </c>
    </row>
    <row r="192" spans="1:11" hidden="1">
      <c r="A192" s="759">
        <v>4</v>
      </c>
      <c r="B192" s="779" t="s">
        <v>273</v>
      </c>
      <c r="C192" s="759">
        <v>5580</v>
      </c>
      <c r="D192" s="759">
        <v>4</v>
      </c>
      <c r="E192" s="759" t="s">
        <v>282</v>
      </c>
      <c r="F192" s="759">
        <v>50202</v>
      </c>
      <c r="G192" s="759">
        <v>43133</v>
      </c>
      <c r="H192" s="759">
        <v>86</v>
      </c>
      <c r="I192" s="759">
        <v>2</v>
      </c>
      <c r="J192" s="759">
        <v>29</v>
      </c>
      <c r="K192" s="759" t="s">
        <v>984</v>
      </c>
    </row>
    <row r="193" spans="1:11" hidden="1">
      <c r="A193" s="759">
        <v>5</v>
      </c>
      <c r="B193" s="779" t="s">
        <v>274</v>
      </c>
      <c r="C193" s="759">
        <v>86</v>
      </c>
      <c r="D193" s="759">
        <v>5</v>
      </c>
      <c r="E193" s="759" t="s">
        <v>286</v>
      </c>
      <c r="F193" s="759">
        <v>20708</v>
      </c>
      <c r="G193" s="759">
        <v>7700</v>
      </c>
      <c r="H193" s="759">
        <v>37</v>
      </c>
      <c r="I193" s="759">
        <v>0</v>
      </c>
      <c r="J193" s="759">
        <v>29</v>
      </c>
      <c r="K193" s="759" t="s">
        <v>522</v>
      </c>
    </row>
    <row r="194" spans="1:11" hidden="1">
      <c r="A194" s="759">
        <v>6</v>
      </c>
      <c r="B194" s="779" t="s">
        <v>742</v>
      </c>
      <c r="C194" s="759">
        <v>138</v>
      </c>
      <c r="D194" s="759">
        <v>6</v>
      </c>
      <c r="E194" s="759" t="s">
        <v>282</v>
      </c>
      <c r="F194" s="759">
        <v>27639</v>
      </c>
      <c r="G194" s="759">
        <v>26877</v>
      </c>
      <c r="H194" s="759">
        <v>97</v>
      </c>
      <c r="I194" s="759">
        <v>7</v>
      </c>
      <c r="J194" s="759">
        <v>29</v>
      </c>
      <c r="K194" s="759" t="s">
        <v>984</v>
      </c>
    </row>
    <row r="195" spans="1:11" hidden="1">
      <c r="A195" s="759">
        <v>7</v>
      </c>
      <c r="B195" s="779" t="s">
        <v>743</v>
      </c>
      <c r="C195" s="759">
        <v>8003</v>
      </c>
      <c r="D195" s="759">
        <v>7</v>
      </c>
      <c r="E195" s="759" t="s">
        <v>282</v>
      </c>
      <c r="F195" s="759">
        <v>134091</v>
      </c>
      <c r="G195" s="759">
        <v>113648</v>
      </c>
      <c r="H195" s="759">
        <v>85</v>
      </c>
      <c r="I195" s="759">
        <v>0</v>
      </c>
      <c r="J195" s="759">
        <v>29</v>
      </c>
      <c r="K195" s="759" t="s">
        <v>987</v>
      </c>
    </row>
    <row r="196" spans="1:11" hidden="1">
      <c r="A196" s="759"/>
      <c r="B196" s="777" t="s">
        <v>744</v>
      </c>
      <c r="C196" s="759"/>
      <c r="D196" s="759"/>
      <c r="E196" s="759"/>
      <c r="F196" s="759"/>
      <c r="G196" s="759"/>
      <c r="H196" s="759"/>
      <c r="I196" s="759"/>
      <c r="J196" s="759"/>
      <c r="K196" s="759"/>
    </row>
    <row r="197" spans="1:11" hidden="1">
      <c r="A197" s="759">
        <v>1</v>
      </c>
      <c r="B197" s="779" t="s">
        <v>1330</v>
      </c>
      <c r="C197" s="759" t="s">
        <v>1331</v>
      </c>
      <c r="D197" s="759">
        <v>1</v>
      </c>
      <c r="E197" s="759" t="s">
        <v>765</v>
      </c>
      <c r="F197" s="759"/>
      <c r="G197" s="759"/>
      <c r="H197" s="759"/>
      <c r="I197" s="759"/>
      <c r="J197" s="759"/>
      <c r="K197" s="759"/>
    </row>
    <row r="198" spans="1:11" hidden="1">
      <c r="A198" s="759">
        <v>2</v>
      </c>
      <c r="B198" s="779" t="s">
        <v>745</v>
      </c>
      <c r="C198" s="759">
        <v>266</v>
      </c>
      <c r="D198" s="759">
        <v>2</v>
      </c>
      <c r="E198" s="759" t="s">
        <v>282</v>
      </c>
      <c r="F198" s="759">
        <v>123651</v>
      </c>
      <c r="G198" s="759">
        <v>122433</v>
      </c>
      <c r="H198" s="759">
        <v>99</v>
      </c>
      <c r="I198" s="759">
        <v>0</v>
      </c>
      <c r="J198" s="759">
        <v>27</v>
      </c>
      <c r="K198" s="759" t="s">
        <v>522</v>
      </c>
    </row>
    <row r="199" spans="1:11" hidden="1">
      <c r="A199" s="759">
        <v>3</v>
      </c>
      <c r="B199" s="779" t="s">
        <v>1681</v>
      </c>
      <c r="C199" s="759">
        <v>273</v>
      </c>
      <c r="D199" s="759">
        <v>3</v>
      </c>
      <c r="E199" s="759" t="s">
        <v>282</v>
      </c>
      <c r="F199" s="759">
        <v>78670</v>
      </c>
      <c r="G199" s="759">
        <v>78251</v>
      </c>
      <c r="H199" s="759">
        <v>99</v>
      </c>
      <c r="I199" s="759">
        <v>1</v>
      </c>
      <c r="J199" s="759">
        <v>27</v>
      </c>
      <c r="K199" s="759" t="s">
        <v>987</v>
      </c>
    </row>
    <row r="200" spans="1:11" hidden="1">
      <c r="A200" s="759">
        <v>4</v>
      </c>
      <c r="B200" s="779" t="s">
        <v>1682</v>
      </c>
      <c r="C200" s="759">
        <v>2874</v>
      </c>
      <c r="D200" s="759">
        <v>4</v>
      </c>
      <c r="E200" s="759" t="s">
        <v>282</v>
      </c>
      <c r="F200" s="759">
        <v>70612</v>
      </c>
      <c r="G200" s="759">
        <v>66766</v>
      </c>
      <c r="H200" s="759">
        <v>95</v>
      </c>
      <c r="I200" s="759">
        <v>0</v>
      </c>
      <c r="J200" s="759">
        <v>27</v>
      </c>
      <c r="K200" s="759" t="s">
        <v>522</v>
      </c>
    </row>
    <row r="201" spans="1:11" hidden="1">
      <c r="A201" s="759">
        <v>5</v>
      </c>
      <c r="B201" s="779" t="s">
        <v>1683</v>
      </c>
      <c r="C201" s="759">
        <v>290</v>
      </c>
      <c r="D201" s="759">
        <v>5</v>
      </c>
      <c r="E201" s="759" t="s">
        <v>282</v>
      </c>
      <c r="F201" s="759">
        <v>291690</v>
      </c>
      <c r="G201" s="759">
        <v>288563</v>
      </c>
      <c r="H201" s="759">
        <v>99</v>
      </c>
      <c r="I201" s="759">
        <v>0</v>
      </c>
      <c r="J201" s="759">
        <v>27</v>
      </c>
      <c r="K201" s="759" t="s">
        <v>522</v>
      </c>
    </row>
    <row r="202" spans="1:11" hidden="1">
      <c r="A202" s="759"/>
      <c r="B202" s="777" t="s">
        <v>1684</v>
      </c>
      <c r="C202" s="759"/>
      <c r="D202" s="759"/>
      <c r="E202" s="759"/>
      <c r="F202" s="759"/>
      <c r="G202" s="759"/>
      <c r="H202" s="759"/>
      <c r="I202" s="759"/>
      <c r="J202" s="759"/>
      <c r="K202" s="759"/>
    </row>
    <row r="203" spans="1:11" hidden="1">
      <c r="A203" s="759">
        <v>1</v>
      </c>
      <c r="B203" s="779" t="s">
        <v>1330</v>
      </c>
      <c r="C203" s="759" t="s">
        <v>1331</v>
      </c>
      <c r="D203" s="759">
        <v>1</v>
      </c>
      <c r="E203" s="759" t="s">
        <v>765</v>
      </c>
      <c r="F203" s="759"/>
      <c r="G203" s="759"/>
      <c r="H203" s="759"/>
      <c r="I203" s="759"/>
      <c r="J203" s="759"/>
      <c r="K203" s="759"/>
    </row>
    <row r="204" spans="1:11" hidden="1">
      <c r="A204" s="759">
        <v>2</v>
      </c>
      <c r="B204" s="779" t="s">
        <v>1685</v>
      </c>
      <c r="C204" s="759">
        <v>8012</v>
      </c>
      <c r="D204" s="759">
        <v>2</v>
      </c>
      <c r="E204" s="759" t="s">
        <v>284</v>
      </c>
      <c r="F204" s="759">
        <v>49176</v>
      </c>
      <c r="G204" s="759">
        <v>30341</v>
      </c>
      <c r="H204" s="759">
        <v>62</v>
      </c>
      <c r="I204" s="759">
        <v>0</v>
      </c>
      <c r="J204" s="759">
        <v>27</v>
      </c>
      <c r="K204" s="759" t="s">
        <v>987</v>
      </c>
    </row>
    <row r="205" spans="1:11" hidden="1">
      <c r="A205" s="759">
        <v>3</v>
      </c>
      <c r="B205" s="779" t="s">
        <v>1686</v>
      </c>
      <c r="C205" s="759">
        <v>5556</v>
      </c>
      <c r="D205" s="759">
        <v>3</v>
      </c>
      <c r="E205" s="759" t="s">
        <v>282</v>
      </c>
      <c r="F205" s="759">
        <v>212596</v>
      </c>
      <c r="G205" s="759">
        <v>192956</v>
      </c>
      <c r="H205" s="759">
        <v>91</v>
      </c>
      <c r="I205" s="759">
        <v>4</v>
      </c>
      <c r="J205" s="759">
        <v>27</v>
      </c>
      <c r="K205" s="759" t="s">
        <v>984</v>
      </c>
    </row>
    <row r="206" spans="1:11" hidden="1">
      <c r="A206" s="759">
        <v>4</v>
      </c>
      <c r="B206" s="779" t="s">
        <v>1687</v>
      </c>
      <c r="C206" s="759">
        <v>102</v>
      </c>
      <c r="D206" s="759">
        <v>4</v>
      </c>
      <c r="E206" s="759" t="s">
        <v>282</v>
      </c>
      <c r="F206" s="759">
        <v>163775</v>
      </c>
      <c r="G206" s="759">
        <v>138141</v>
      </c>
      <c r="H206" s="759">
        <v>84</v>
      </c>
      <c r="I206" s="759">
        <v>2</v>
      </c>
      <c r="J206" s="759">
        <v>27</v>
      </c>
      <c r="K206" s="759" t="s">
        <v>984</v>
      </c>
    </row>
    <row r="207" spans="1:11" hidden="1">
      <c r="A207" s="759">
        <v>5</v>
      </c>
      <c r="B207" s="779" t="s">
        <v>832</v>
      </c>
      <c r="C207" s="759">
        <v>158</v>
      </c>
      <c r="D207" s="759">
        <v>5</v>
      </c>
      <c r="E207" s="759" t="s">
        <v>286</v>
      </c>
      <c r="F207" s="759">
        <v>15923</v>
      </c>
      <c r="G207" s="759">
        <v>8169</v>
      </c>
      <c r="H207" s="759">
        <v>51</v>
      </c>
      <c r="I207" s="759">
        <v>0</v>
      </c>
      <c r="J207" s="759">
        <v>27</v>
      </c>
      <c r="K207" s="759" t="s">
        <v>522</v>
      </c>
    </row>
    <row r="208" spans="1:11" hidden="1">
      <c r="A208" s="759">
        <v>6</v>
      </c>
      <c r="B208" s="779" t="s">
        <v>833</v>
      </c>
      <c r="C208" s="759">
        <v>315</v>
      </c>
      <c r="D208" s="759">
        <v>6</v>
      </c>
      <c r="E208" s="759" t="s">
        <v>282</v>
      </c>
      <c r="F208" s="759">
        <v>22077</v>
      </c>
      <c r="G208" s="759">
        <v>21269</v>
      </c>
      <c r="H208" s="759">
        <v>96</v>
      </c>
      <c r="I208" s="759">
        <v>0</v>
      </c>
      <c r="J208" s="759">
        <v>27</v>
      </c>
      <c r="K208" s="759" t="s">
        <v>522</v>
      </c>
    </row>
    <row r="209" spans="1:11" hidden="1">
      <c r="A209" s="759">
        <v>7</v>
      </c>
      <c r="B209" s="779" t="s">
        <v>834</v>
      </c>
      <c r="C209" s="759">
        <v>5564</v>
      </c>
      <c r="D209" s="759">
        <v>7</v>
      </c>
      <c r="E209" s="759" t="s">
        <v>282</v>
      </c>
      <c r="F209" s="759">
        <v>1923</v>
      </c>
      <c r="G209" s="759">
        <v>1917</v>
      </c>
      <c r="H209" s="759">
        <v>100</v>
      </c>
      <c r="I209" s="759">
        <v>0</v>
      </c>
      <c r="J209" s="759">
        <v>27</v>
      </c>
      <c r="K209" s="759" t="s">
        <v>522</v>
      </c>
    </row>
    <row r="210" spans="1:11" hidden="1">
      <c r="A210" s="759">
        <v>8</v>
      </c>
      <c r="B210" s="779" t="s">
        <v>835</v>
      </c>
      <c r="C210" s="759">
        <v>9242</v>
      </c>
      <c r="D210" s="759">
        <v>8</v>
      </c>
      <c r="E210" s="759" t="s">
        <v>282</v>
      </c>
      <c r="F210" s="759">
        <v>23978</v>
      </c>
      <c r="G210" s="759">
        <v>23466</v>
      </c>
      <c r="H210" s="759">
        <v>98</v>
      </c>
      <c r="I210" s="759">
        <v>4</v>
      </c>
      <c r="J210" s="759">
        <v>27</v>
      </c>
      <c r="K210" s="759" t="s">
        <v>984</v>
      </c>
    </row>
    <row r="211" spans="1:11" hidden="1">
      <c r="A211" s="759"/>
      <c r="B211" s="777" t="s">
        <v>906</v>
      </c>
      <c r="C211" s="759"/>
      <c r="D211" s="759"/>
      <c r="E211" s="759"/>
      <c r="F211" s="759"/>
      <c r="G211" s="759"/>
      <c r="H211" s="759"/>
      <c r="I211" s="759"/>
      <c r="J211" s="759"/>
      <c r="K211" s="759"/>
    </row>
    <row r="212" spans="1:11" hidden="1">
      <c r="A212" s="759">
        <v>1</v>
      </c>
      <c r="B212" s="779" t="s">
        <v>1330</v>
      </c>
      <c r="C212" s="759" t="s">
        <v>1331</v>
      </c>
      <c r="D212" s="759">
        <v>1</v>
      </c>
      <c r="E212" s="759" t="s">
        <v>765</v>
      </c>
      <c r="F212" s="759"/>
      <c r="G212" s="759"/>
      <c r="H212" s="759"/>
      <c r="I212" s="759"/>
      <c r="J212" s="759"/>
      <c r="K212" s="759"/>
    </row>
    <row r="213" spans="1:11" hidden="1">
      <c r="A213" s="759">
        <v>2</v>
      </c>
      <c r="B213" s="779" t="s">
        <v>907</v>
      </c>
      <c r="C213" s="759">
        <v>23</v>
      </c>
      <c r="D213" s="759">
        <v>2</v>
      </c>
      <c r="E213" s="759" t="s">
        <v>286</v>
      </c>
      <c r="F213" s="759">
        <v>49834</v>
      </c>
      <c r="G213" s="759">
        <v>20482</v>
      </c>
      <c r="H213" s="759">
        <v>41</v>
      </c>
      <c r="I213" s="759">
        <v>0</v>
      </c>
      <c r="J213" s="759">
        <v>27</v>
      </c>
      <c r="K213" s="759" t="s">
        <v>987</v>
      </c>
    </row>
    <row r="214" spans="1:11" hidden="1">
      <c r="A214" s="759">
        <v>3</v>
      </c>
      <c r="B214" s="779" t="s">
        <v>1229</v>
      </c>
      <c r="C214" s="759">
        <v>25</v>
      </c>
      <c r="D214" s="759">
        <v>3</v>
      </c>
      <c r="E214" s="759" t="s">
        <v>284</v>
      </c>
      <c r="F214" s="759">
        <v>104636</v>
      </c>
      <c r="G214" s="759">
        <v>71998</v>
      </c>
      <c r="H214" s="759">
        <v>69</v>
      </c>
      <c r="I214" s="759">
        <v>2</v>
      </c>
      <c r="J214" s="759">
        <v>27</v>
      </c>
      <c r="K214" s="759" t="s">
        <v>984</v>
      </c>
    </row>
    <row r="215" spans="1:11" hidden="1">
      <c r="A215" s="759">
        <v>4</v>
      </c>
      <c r="B215" s="779" t="s">
        <v>1230</v>
      </c>
      <c r="C215" s="759">
        <v>9229</v>
      </c>
      <c r="D215" s="759">
        <v>4</v>
      </c>
      <c r="E215" s="759" t="s">
        <v>795</v>
      </c>
      <c r="F215" s="759">
        <v>201178</v>
      </c>
      <c r="G215" s="759">
        <v>26881</v>
      </c>
      <c r="H215" s="759">
        <v>13</v>
      </c>
      <c r="I215" s="759">
        <v>0</v>
      </c>
      <c r="J215" s="759">
        <v>27</v>
      </c>
      <c r="K215" s="759" t="s">
        <v>987</v>
      </c>
    </row>
    <row r="216" spans="1:11" hidden="1">
      <c r="A216" s="759">
        <v>5</v>
      </c>
      <c r="B216" s="779" t="s">
        <v>1231</v>
      </c>
      <c r="C216" s="759">
        <v>9228</v>
      </c>
      <c r="D216" s="759">
        <v>5</v>
      </c>
      <c r="E216" s="759" t="s">
        <v>286</v>
      </c>
      <c r="F216" s="759">
        <v>7816</v>
      </c>
      <c r="G216" s="759">
        <v>2640</v>
      </c>
      <c r="H216" s="759">
        <v>34</v>
      </c>
      <c r="I216" s="759">
        <v>2</v>
      </c>
      <c r="J216" s="759">
        <v>27</v>
      </c>
      <c r="K216" s="759" t="s">
        <v>984</v>
      </c>
    </row>
    <row r="217" spans="1:11" hidden="1">
      <c r="A217" s="759">
        <v>6</v>
      </c>
      <c r="B217" s="779" t="s">
        <v>1231</v>
      </c>
      <c r="C217" s="759">
        <v>9228</v>
      </c>
      <c r="D217" s="759">
        <v>6</v>
      </c>
      <c r="E217" s="759" t="s">
        <v>795</v>
      </c>
      <c r="F217" s="759">
        <v>277112</v>
      </c>
      <c r="G217" s="759">
        <v>53229</v>
      </c>
      <c r="H217" s="759">
        <v>19</v>
      </c>
      <c r="I217" s="759">
        <v>0</v>
      </c>
      <c r="J217" s="759">
        <v>27</v>
      </c>
      <c r="K217" s="759" t="s">
        <v>987</v>
      </c>
    </row>
    <row r="218" spans="1:11" hidden="1">
      <c r="A218" s="759">
        <v>7</v>
      </c>
      <c r="B218" s="779" t="s">
        <v>1232</v>
      </c>
      <c r="C218" s="759">
        <v>103</v>
      </c>
      <c r="D218" s="759">
        <v>7</v>
      </c>
      <c r="E218" s="759" t="s">
        <v>286</v>
      </c>
      <c r="F218" s="759">
        <v>79645</v>
      </c>
      <c r="G218" s="759">
        <v>33146</v>
      </c>
      <c r="H218" s="759">
        <v>42</v>
      </c>
      <c r="I218" s="759">
        <v>0</v>
      </c>
      <c r="J218" s="759">
        <v>27</v>
      </c>
      <c r="K218" s="759" t="s">
        <v>987</v>
      </c>
    </row>
    <row r="219" spans="1:11" hidden="1">
      <c r="A219" s="759">
        <v>8</v>
      </c>
      <c r="B219" s="779" t="s">
        <v>1233</v>
      </c>
      <c r="C219" s="759">
        <v>5558</v>
      </c>
      <c r="D219" s="759">
        <v>8</v>
      </c>
      <c r="E219" s="759" t="s">
        <v>795</v>
      </c>
      <c r="F219" s="759">
        <v>20986</v>
      </c>
      <c r="G219" s="759">
        <v>4624</v>
      </c>
      <c r="H219" s="759">
        <v>22</v>
      </c>
      <c r="I219" s="759">
        <v>0</v>
      </c>
      <c r="J219" s="759">
        <v>27</v>
      </c>
      <c r="K219" s="759" t="s">
        <v>987</v>
      </c>
    </row>
    <row r="220" spans="1:11" hidden="1">
      <c r="A220" s="759">
        <v>9</v>
      </c>
      <c r="B220" s="779" t="s">
        <v>1234</v>
      </c>
      <c r="C220" s="759">
        <v>8025</v>
      </c>
      <c r="D220" s="759">
        <v>9</v>
      </c>
      <c r="E220" s="759" t="s">
        <v>795</v>
      </c>
      <c r="F220" s="759">
        <v>119034</v>
      </c>
      <c r="G220" s="759">
        <v>16150</v>
      </c>
      <c r="H220" s="759">
        <v>14</v>
      </c>
      <c r="I220" s="759">
        <v>0</v>
      </c>
      <c r="J220" s="759">
        <v>27</v>
      </c>
      <c r="K220" s="759" t="s">
        <v>987</v>
      </c>
    </row>
    <row r="221" spans="1:11" hidden="1">
      <c r="A221" s="759"/>
      <c r="B221" s="777" t="s">
        <v>1235</v>
      </c>
      <c r="C221" s="759"/>
      <c r="D221" s="759"/>
      <c r="E221" s="759"/>
      <c r="F221" s="759"/>
      <c r="G221" s="759"/>
      <c r="H221" s="759"/>
      <c r="I221" s="759"/>
      <c r="J221" s="759"/>
      <c r="K221" s="759"/>
    </row>
    <row r="222" spans="1:11" hidden="1">
      <c r="A222" s="759">
        <v>1</v>
      </c>
      <c r="B222" s="779" t="s">
        <v>1330</v>
      </c>
      <c r="C222" s="759" t="s">
        <v>1331</v>
      </c>
      <c r="D222" s="759">
        <v>1</v>
      </c>
      <c r="E222" s="759" t="s">
        <v>765</v>
      </c>
      <c r="F222" s="759"/>
      <c r="G222" s="759"/>
      <c r="H222" s="759"/>
      <c r="I222" s="759"/>
      <c r="J222" s="759"/>
      <c r="K222" s="759"/>
    </row>
    <row r="223" spans="1:11" hidden="1">
      <c r="A223" s="759">
        <v>2</v>
      </c>
      <c r="B223" s="779" t="s">
        <v>1236</v>
      </c>
      <c r="C223" s="759">
        <v>32</v>
      </c>
      <c r="D223" s="759">
        <v>2</v>
      </c>
      <c r="E223" s="759" t="s">
        <v>795</v>
      </c>
      <c r="F223" s="759">
        <v>2970</v>
      </c>
      <c r="G223" s="759">
        <v>691</v>
      </c>
      <c r="H223" s="759">
        <v>23</v>
      </c>
      <c r="I223" s="759">
        <v>19</v>
      </c>
      <c r="J223" s="759">
        <v>26</v>
      </c>
      <c r="K223" s="759" t="s">
        <v>245</v>
      </c>
    </row>
    <row r="224" spans="1:11" hidden="1">
      <c r="A224" s="759">
        <v>3</v>
      </c>
      <c r="B224" s="779" t="s">
        <v>1237</v>
      </c>
      <c r="C224" s="759">
        <v>9289</v>
      </c>
      <c r="D224" s="759">
        <v>3</v>
      </c>
      <c r="E224" s="759" t="s">
        <v>795</v>
      </c>
      <c r="F224" s="759">
        <v>240</v>
      </c>
      <c r="G224" s="759">
        <v>0</v>
      </c>
      <c r="H224" s="759" t="s">
        <v>1238</v>
      </c>
      <c r="I224" s="759">
        <v>0</v>
      </c>
      <c r="J224" s="759">
        <v>26</v>
      </c>
      <c r="K224" s="759" t="s">
        <v>522</v>
      </c>
    </row>
    <row r="225" spans="1:11" hidden="1">
      <c r="A225" s="759">
        <v>4</v>
      </c>
      <c r="B225" s="779" t="s">
        <v>1239</v>
      </c>
      <c r="C225" s="759">
        <v>142</v>
      </c>
      <c r="D225" s="759">
        <v>4</v>
      </c>
      <c r="E225" s="759" t="s">
        <v>286</v>
      </c>
      <c r="F225" s="759">
        <v>6250</v>
      </c>
      <c r="G225" s="759">
        <v>3771</v>
      </c>
      <c r="H225" s="759">
        <v>60</v>
      </c>
      <c r="I225" s="759">
        <v>0</v>
      </c>
      <c r="J225" s="759">
        <v>26</v>
      </c>
      <c r="K225" s="759" t="s">
        <v>522</v>
      </c>
    </row>
    <row r="226" spans="1:11" hidden="1">
      <c r="A226" s="759">
        <v>5</v>
      </c>
      <c r="B226" s="779" t="s">
        <v>41</v>
      </c>
      <c r="C226" s="759">
        <v>2328</v>
      </c>
      <c r="D226" s="759">
        <v>5</v>
      </c>
      <c r="E226" s="759" t="s">
        <v>795</v>
      </c>
      <c r="F226" s="759">
        <v>94745</v>
      </c>
      <c r="G226" s="759">
        <v>19400</v>
      </c>
      <c r="H226" s="759">
        <v>20</v>
      </c>
      <c r="I226" s="759">
        <v>1</v>
      </c>
      <c r="J226" s="759">
        <v>26</v>
      </c>
      <c r="K226" s="759" t="s">
        <v>987</v>
      </c>
    </row>
    <row r="227" spans="1:11" hidden="1">
      <c r="A227" s="759">
        <v>6</v>
      </c>
      <c r="B227" s="779" t="s">
        <v>42</v>
      </c>
      <c r="C227" s="759">
        <v>8009</v>
      </c>
      <c r="D227" s="759">
        <v>6</v>
      </c>
      <c r="E227" s="759" t="s">
        <v>795</v>
      </c>
      <c r="F227" s="759">
        <v>494577</v>
      </c>
      <c r="G227" s="759">
        <v>45587</v>
      </c>
      <c r="H227" s="759">
        <v>9</v>
      </c>
      <c r="I227" s="759">
        <v>0</v>
      </c>
      <c r="J227" s="759">
        <v>26</v>
      </c>
      <c r="K227" s="759" t="s">
        <v>987</v>
      </c>
    </row>
    <row r="228" spans="1:11" hidden="1">
      <c r="A228" s="759">
        <v>7</v>
      </c>
      <c r="B228" s="779" t="s">
        <v>1305</v>
      </c>
      <c r="C228" s="759">
        <v>9233</v>
      </c>
      <c r="D228" s="759">
        <v>7</v>
      </c>
      <c r="E228" s="759" t="s">
        <v>795</v>
      </c>
      <c r="F228" s="759">
        <v>9985</v>
      </c>
      <c r="G228" s="759">
        <v>984</v>
      </c>
      <c r="H228" s="759">
        <v>10</v>
      </c>
      <c r="I228" s="759">
        <v>1</v>
      </c>
      <c r="J228" s="759">
        <v>26</v>
      </c>
      <c r="K228" s="759" t="s">
        <v>987</v>
      </c>
    </row>
    <row r="229" spans="1:11" hidden="1">
      <c r="A229" s="759"/>
      <c r="B229" s="777" t="s">
        <v>1306</v>
      </c>
      <c r="C229" s="759"/>
      <c r="D229" s="759"/>
      <c r="E229" s="759"/>
      <c r="F229" s="759"/>
      <c r="G229" s="759"/>
      <c r="H229" s="759"/>
      <c r="I229" s="759"/>
      <c r="J229" s="759"/>
      <c r="K229" s="759"/>
    </row>
    <row r="230" spans="1:11" hidden="1">
      <c r="A230" s="759">
        <v>1</v>
      </c>
      <c r="B230" s="779" t="s">
        <v>1330</v>
      </c>
      <c r="C230" s="759" t="s">
        <v>1331</v>
      </c>
      <c r="D230" s="759">
        <v>1</v>
      </c>
      <c r="E230" s="759" t="s">
        <v>765</v>
      </c>
      <c r="F230" s="759"/>
      <c r="G230" s="759"/>
      <c r="H230" s="759"/>
      <c r="I230" s="759"/>
      <c r="J230" s="759"/>
      <c r="K230" s="759"/>
    </row>
    <row r="231" spans="1:11" hidden="1">
      <c r="A231" s="759">
        <v>2</v>
      </c>
      <c r="B231" s="779" t="s">
        <v>1307</v>
      </c>
      <c r="C231" s="759">
        <v>18</v>
      </c>
      <c r="D231" s="759">
        <v>2</v>
      </c>
      <c r="E231" s="759" t="s">
        <v>282</v>
      </c>
      <c r="F231" s="759">
        <v>5901</v>
      </c>
      <c r="G231" s="759">
        <v>5864</v>
      </c>
      <c r="H231" s="759">
        <v>99</v>
      </c>
      <c r="I231" s="759">
        <v>24</v>
      </c>
      <c r="J231" s="759">
        <v>36</v>
      </c>
      <c r="K231" s="759" t="s">
        <v>245</v>
      </c>
    </row>
    <row r="232" spans="1:11" hidden="1">
      <c r="A232" s="759">
        <v>3</v>
      </c>
      <c r="B232" s="779" t="s">
        <v>1308</v>
      </c>
      <c r="C232" s="759">
        <v>2334</v>
      </c>
      <c r="D232" s="759">
        <v>3</v>
      </c>
      <c r="E232" s="759" t="s">
        <v>286</v>
      </c>
      <c r="F232" s="759">
        <v>26342</v>
      </c>
      <c r="G232" s="759">
        <v>12976</v>
      </c>
      <c r="H232" s="759">
        <v>49</v>
      </c>
      <c r="I232" s="759">
        <v>0</v>
      </c>
      <c r="J232" s="759">
        <v>36</v>
      </c>
      <c r="K232" s="759" t="s">
        <v>522</v>
      </c>
    </row>
    <row r="233" spans="1:11" hidden="1">
      <c r="A233" s="759">
        <v>4</v>
      </c>
      <c r="B233" s="779" t="s">
        <v>1309</v>
      </c>
      <c r="C233" s="759">
        <v>8</v>
      </c>
      <c r="D233" s="759">
        <v>4</v>
      </c>
      <c r="E233" s="759" t="s">
        <v>282</v>
      </c>
      <c r="F233" s="759">
        <v>39393</v>
      </c>
      <c r="G233" s="759">
        <v>37257</v>
      </c>
      <c r="H233" s="759">
        <v>95</v>
      </c>
      <c r="I233" s="759">
        <v>36</v>
      </c>
      <c r="J233" s="759">
        <v>36</v>
      </c>
      <c r="K233" s="759" t="s">
        <v>1212</v>
      </c>
    </row>
    <row r="234" spans="1:11" hidden="1">
      <c r="A234" s="759">
        <v>5</v>
      </c>
      <c r="B234" s="779" t="s">
        <v>1310</v>
      </c>
      <c r="C234" s="759">
        <v>845</v>
      </c>
      <c r="D234" s="759">
        <v>5</v>
      </c>
      <c r="E234" s="759" t="s">
        <v>282</v>
      </c>
      <c r="F234" s="759">
        <v>18627</v>
      </c>
      <c r="G234" s="759">
        <v>15033</v>
      </c>
      <c r="H234" s="759">
        <v>81</v>
      </c>
      <c r="I234" s="759">
        <v>15</v>
      </c>
      <c r="J234" s="759">
        <v>36</v>
      </c>
      <c r="K234" s="759" t="s">
        <v>984</v>
      </c>
    </row>
    <row r="235" spans="1:11" hidden="1">
      <c r="A235" s="759"/>
      <c r="B235" s="777" t="s">
        <v>1096</v>
      </c>
      <c r="C235" s="759"/>
      <c r="D235" s="759"/>
      <c r="E235" s="759"/>
      <c r="F235" s="759"/>
      <c r="G235" s="759"/>
      <c r="H235" s="759"/>
      <c r="I235" s="759"/>
      <c r="J235" s="759"/>
      <c r="K235" s="759"/>
    </row>
    <row r="236" spans="1:11" hidden="1">
      <c r="A236" s="759">
        <v>1</v>
      </c>
      <c r="B236" s="779" t="s">
        <v>1330</v>
      </c>
      <c r="C236" s="759" t="s">
        <v>1331</v>
      </c>
      <c r="D236" s="759">
        <v>1</v>
      </c>
      <c r="E236" s="759" t="s">
        <v>765</v>
      </c>
      <c r="F236" s="759"/>
      <c r="G236" s="759"/>
      <c r="H236" s="759"/>
      <c r="I236" s="759"/>
      <c r="J236" s="759"/>
      <c r="K236" s="759"/>
    </row>
    <row r="237" spans="1:11" hidden="1">
      <c r="A237" s="759">
        <v>2</v>
      </c>
      <c r="B237" s="779" t="s">
        <v>1311</v>
      </c>
      <c r="C237" s="759">
        <v>9238</v>
      </c>
      <c r="D237" s="759">
        <v>2</v>
      </c>
      <c r="E237" s="759" t="s">
        <v>282</v>
      </c>
      <c r="F237" s="759">
        <v>22719</v>
      </c>
      <c r="G237" s="759">
        <v>22292</v>
      </c>
      <c r="H237" s="759">
        <v>98</v>
      </c>
      <c r="I237" s="759">
        <v>96</v>
      </c>
      <c r="J237" s="759">
        <v>20</v>
      </c>
      <c r="K237" s="759" t="s">
        <v>1212</v>
      </c>
    </row>
    <row r="238" spans="1:11" hidden="1">
      <c r="A238" s="759"/>
      <c r="B238" s="777" t="s">
        <v>1312</v>
      </c>
      <c r="C238" s="759"/>
      <c r="D238" s="759"/>
      <c r="E238" s="759"/>
      <c r="F238" s="759"/>
      <c r="G238" s="759"/>
      <c r="H238" s="759"/>
      <c r="I238" s="759"/>
      <c r="J238" s="759"/>
      <c r="K238" s="759"/>
    </row>
    <row r="239" spans="1:11" hidden="1">
      <c r="A239" s="759">
        <v>1</v>
      </c>
      <c r="B239" s="779" t="s">
        <v>1330</v>
      </c>
      <c r="C239" s="759" t="s">
        <v>1331</v>
      </c>
      <c r="D239" s="759">
        <v>1</v>
      </c>
      <c r="E239" s="759" t="s">
        <v>765</v>
      </c>
      <c r="F239" s="759"/>
      <c r="G239" s="759"/>
      <c r="H239" s="759"/>
      <c r="I239" s="759"/>
      <c r="J239" s="759"/>
      <c r="K239" s="759"/>
    </row>
    <row r="240" spans="1:11" hidden="1">
      <c r="A240" s="759">
        <v>2</v>
      </c>
      <c r="B240" s="779" t="s">
        <v>1313</v>
      </c>
      <c r="C240" s="759">
        <v>27</v>
      </c>
      <c r="D240" s="759">
        <v>2</v>
      </c>
      <c r="E240" s="759" t="s">
        <v>286</v>
      </c>
      <c r="F240" s="759">
        <v>42419</v>
      </c>
      <c r="G240" s="759">
        <v>25460</v>
      </c>
      <c r="H240" s="759">
        <v>60</v>
      </c>
      <c r="I240" s="759">
        <v>5</v>
      </c>
      <c r="J240" s="759">
        <v>24</v>
      </c>
      <c r="K240" s="759" t="s">
        <v>984</v>
      </c>
    </row>
    <row r="241" spans="1:11" hidden="1">
      <c r="A241" s="759">
        <v>3</v>
      </c>
      <c r="B241" s="779" t="s">
        <v>924</v>
      </c>
      <c r="C241" s="759">
        <v>77</v>
      </c>
      <c r="D241" s="759">
        <v>3</v>
      </c>
      <c r="E241" s="759" t="s">
        <v>284</v>
      </c>
      <c r="F241" s="759">
        <v>45124</v>
      </c>
      <c r="G241" s="759">
        <v>34094</v>
      </c>
      <c r="H241" s="759">
        <v>76</v>
      </c>
      <c r="I241" s="759">
        <v>1</v>
      </c>
      <c r="J241" s="759">
        <v>24</v>
      </c>
      <c r="K241" s="759" t="s">
        <v>984</v>
      </c>
    </row>
    <row r="242" spans="1:11" hidden="1">
      <c r="A242" s="759">
        <v>4</v>
      </c>
      <c r="B242" s="779" t="s">
        <v>1594</v>
      </c>
      <c r="C242" s="759">
        <v>78</v>
      </c>
      <c r="D242" s="759">
        <v>4</v>
      </c>
      <c r="E242" s="759" t="s">
        <v>284</v>
      </c>
      <c r="F242" s="759">
        <v>43768</v>
      </c>
      <c r="G242" s="759">
        <v>28607</v>
      </c>
      <c r="H242" s="759">
        <v>65</v>
      </c>
      <c r="I242" s="759">
        <v>27</v>
      </c>
      <c r="J242" s="759">
        <v>24</v>
      </c>
      <c r="K242" s="759" t="s">
        <v>1212</v>
      </c>
    </row>
    <row r="243" spans="1:11" hidden="1">
      <c r="A243" s="759">
        <v>5</v>
      </c>
      <c r="B243" s="779" t="s">
        <v>1524</v>
      </c>
      <c r="C243" s="759">
        <v>128</v>
      </c>
      <c r="D243" s="759">
        <v>5</v>
      </c>
      <c r="E243" s="759" t="s">
        <v>286</v>
      </c>
      <c r="F243" s="759">
        <v>76023</v>
      </c>
      <c r="G243" s="759">
        <v>34311</v>
      </c>
      <c r="H243" s="759">
        <v>45</v>
      </c>
      <c r="I243" s="759">
        <v>10</v>
      </c>
      <c r="J243" s="759">
        <v>24</v>
      </c>
      <c r="K243" s="759" t="s">
        <v>984</v>
      </c>
    </row>
    <row r="244" spans="1:11" hidden="1">
      <c r="A244" s="759">
        <v>6</v>
      </c>
      <c r="B244" s="779" t="s">
        <v>1525</v>
      </c>
      <c r="C244" s="759">
        <v>2326</v>
      </c>
      <c r="D244" s="759">
        <v>6</v>
      </c>
      <c r="E244" s="759" t="s">
        <v>286</v>
      </c>
      <c r="F244" s="759">
        <v>23476</v>
      </c>
      <c r="G244" s="759">
        <v>7210</v>
      </c>
      <c r="H244" s="759">
        <v>31</v>
      </c>
      <c r="I244" s="759">
        <v>7</v>
      </c>
      <c r="J244" s="759">
        <v>24</v>
      </c>
      <c r="K244" s="759" t="s">
        <v>984</v>
      </c>
    </row>
    <row r="245" spans="1:11" hidden="1">
      <c r="A245" s="759">
        <v>7</v>
      </c>
      <c r="B245" s="779" t="s">
        <v>1526</v>
      </c>
      <c r="C245" s="759">
        <v>130</v>
      </c>
      <c r="D245" s="759">
        <v>7</v>
      </c>
      <c r="E245" s="759" t="s">
        <v>286</v>
      </c>
      <c r="F245" s="759">
        <v>3565</v>
      </c>
      <c r="G245" s="759">
        <v>2104</v>
      </c>
      <c r="H245" s="759">
        <v>59</v>
      </c>
      <c r="I245" s="759">
        <v>0</v>
      </c>
      <c r="J245" s="759">
        <v>24</v>
      </c>
      <c r="K245" s="759" t="s">
        <v>522</v>
      </c>
    </row>
    <row r="246" spans="1:11" hidden="1">
      <c r="A246" s="759"/>
      <c r="B246" s="777" t="s">
        <v>1098</v>
      </c>
      <c r="C246" s="759"/>
      <c r="D246" s="759"/>
      <c r="E246" s="759"/>
      <c r="F246" s="759"/>
      <c r="G246" s="759"/>
      <c r="H246" s="759"/>
      <c r="I246" s="759"/>
      <c r="J246" s="759"/>
      <c r="K246" s="759"/>
    </row>
    <row r="247" spans="1:11" hidden="1">
      <c r="A247" s="759">
        <v>1</v>
      </c>
      <c r="B247" s="779" t="s">
        <v>1330</v>
      </c>
      <c r="C247" s="759" t="s">
        <v>1331</v>
      </c>
      <c r="D247" s="759">
        <v>1</v>
      </c>
      <c r="E247" s="759" t="s">
        <v>765</v>
      </c>
      <c r="F247" s="759"/>
      <c r="G247" s="759"/>
      <c r="H247" s="759"/>
      <c r="I247" s="759"/>
      <c r="J247" s="759"/>
      <c r="K247" s="759"/>
    </row>
    <row r="248" spans="1:11" hidden="1">
      <c r="A248" s="759">
        <v>2</v>
      </c>
      <c r="B248" s="779" t="s">
        <v>1527</v>
      </c>
      <c r="C248" s="759">
        <v>849</v>
      </c>
      <c r="D248" s="759">
        <v>2</v>
      </c>
      <c r="E248" s="759" t="s">
        <v>284</v>
      </c>
      <c r="F248" s="759">
        <v>465685</v>
      </c>
      <c r="G248" s="759">
        <v>364723</v>
      </c>
      <c r="H248" s="759">
        <v>78</v>
      </c>
      <c r="I248" s="759">
        <v>7</v>
      </c>
      <c r="J248" s="759">
        <v>31</v>
      </c>
      <c r="K248" s="759" t="s">
        <v>984</v>
      </c>
    </row>
    <row r="249" spans="1:11" hidden="1">
      <c r="A249" s="759"/>
      <c r="B249" s="777" t="s">
        <v>237</v>
      </c>
      <c r="C249" s="759"/>
      <c r="D249" s="759"/>
      <c r="E249" s="759"/>
      <c r="F249" s="759"/>
      <c r="G249" s="759"/>
      <c r="H249" s="759"/>
      <c r="I249" s="759"/>
      <c r="J249" s="759"/>
      <c r="K249" s="759"/>
    </row>
    <row r="250" spans="1:11" hidden="1">
      <c r="A250" s="759">
        <v>1</v>
      </c>
      <c r="B250" s="779" t="s">
        <v>1330</v>
      </c>
      <c r="C250" s="759" t="s">
        <v>1331</v>
      </c>
      <c r="D250" s="759">
        <v>1</v>
      </c>
      <c r="E250" s="759" t="s">
        <v>765</v>
      </c>
      <c r="F250" s="759"/>
      <c r="G250" s="759"/>
      <c r="H250" s="759"/>
      <c r="I250" s="759"/>
      <c r="J250" s="759"/>
      <c r="K250" s="759"/>
    </row>
    <row r="251" spans="1:11" hidden="1">
      <c r="A251" s="759">
        <v>2</v>
      </c>
      <c r="B251" s="779" t="s">
        <v>1528</v>
      </c>
      <c r="C251" s="759">
        <v>227</v>
      </c>
      <c r="D251" s="759">
        <v>2</v>
      </c>
      <c r="E251" s="759" t="s">
        <v>286</v>
      </c>
      <c r="F251" s="759">
        <v>632201</v>
      </c>
      <c r="G251" s="759">
        <v>313313</v>
      </c>
      <c r="H251" s="759">
        <v>50</v>
      </c>
      <c r="I251" s="759">
        <v>1</v>
      </c>
      <c r="J251" s="759">
        <v>25</v>
      </c>
      <c r="K251" s="759" t="s">
        <v>987</v>
      </c>
    </row>
    <row r="252" spans="1:11" hidden="1">
      <c r="A252" s="759">
        <v>3</v>
      </c>
      <c r="B252" s="779" t="s">
        <v>1529</v>
      </c>
      <c r="C252" s="759">
        <v>952</v>
      </c>
      <c r="D252" s="759">
        <v>3</v>
      </c>
      <c r="E252" s="759" t="s">
        <v>284</v>
      </c>
      <c r="F252" s="759">
        <v>402486</v>
      </c>
      <c r="G252" s="759">
        <v>276812</v>
      </c>
      <c r="H252" s="759">
        <v>69</v>
      </c>
      <c r="I252" s="759">
        <v>11</v>
      </c>
      <c r="J252" s="759">
        <v>25</v>
      </c>
      <c r="K252" s="759" t="s">
        <v>984</v>
      </c>
    </row>
    <row r="253" spans="1:11" hidden="1">
      <c r="A253" s="759">
        <v>4</v>
      </c>
      <c r="B253" s="779" t="s">
        <v>1530</v>
      </c>
      <c r="C253" s="759">
        <v>9212</v>
      </c>
      <c r="D253" s="759">
        <v>4</v>
      </c>
      <c r="E253" s="759" t="s">
        <v>286</v>
      </c>
      <c r="F253" s="759">
        <v>99118</v>
      </c>
      <c r="G253" s="759">
        <v>53784</v>
      </c>
      <c r="H253" s="759">
        <v>54</v>
      </c>
      <c r="I253" s="759">
        <v>12</v>
      </c>
      <c r="J253" s="759">
        <v>25</v>
      </c>
      <c r="K253" s="759" t="s">
        <v>984</v>
      </c>
    </row>
    <row r="254" spans="1:11" hidden="1">
      <c r="A254" s="759">
        <v>5</v>
      </c>
      <c r="B254" s="779" t="s">
        <v>1531</v>
      </c>
      <c r="C254" s="759">
        <v>204</v>
      </c>
      <c r="D254" s="759">
        <v>5</v>
      </c>
      <c r="E254" s="759" t="s">
        <v>284</v>
      </c>
      <c r="F254" s="759">
        <v>130819</v>
      </c>
      <c r="G254" s="759">
        <v>92523</v>
      </c>
      <c r="H254" s="759">
        <v>71</v>
      </c>
      <c r="I254" s="759">
        <v>6</v>
      </c>
      <c r="J254" s="759">
        <v>25</v>
      </c>
      <c r="K254" s="759" t="s">
        <v>984</v>
      </c>
    </row>
    <row r="255" spans="1:11" hidden="1">
      <c r="A255" s="759">
        <v>6</v>
      </c>
      <c r="B255" s="779" t="s">
        <v>1532</v>
      </c>
      <c r="C255" s="759">
        <v>587</v>
      </c>
      <c r="D255" s="759">
        <v>6</v>
      </c>
      <c r="E255" s="759" t="s">
        <v>284</v>
      </c>
      <c r="F255" s="759">
        <v>163625</v>
      </c>
      <c r="G255" s="759">
        <v>130713</v>
      </c>
      <c r="H255" s="759">
        <v>80</v>
      </c>
      <c r="I255" s="759">
        <v>1</v>
      </c>
      <c r="J255" s="759">
        <v>25</v>
      </c>
      <c r="K255" s="759" t="s">
        <v>987</v>
      </c>
    </row>
    <row r="256" spans="1:11" hidden="1">
      <c r="A256" s="759"/>
      <c r="B256" s="777" t="s">
        <v>241</v>
      </c>
      <c r="C256" s="759"/>
      <c r="D256" s="759"/>
      <c r="E256" s="759"/>
      <c r="F256" s="759"/>
      <c r="G256" s="759"/>
      <c r="H256" s="759"/>
      <c r="I256" s="759"/>
      <c r="J256" s="759"/>
      <c r="K256" s="759"/>
    </row>
    <row r="257" spans="1:11" hidden="1">
      <c r="A257" s="759">
        <v>1</v>
      </c>
      <c r="B257" s="779" t="s">
        <v>1330</v>
      </c>
      <c r="C257" s="759" t="s">
        <v>1331</v>
      </c>
      <c r="D257" s="759">
        <v>1</v>
      </c>
      <c r="E257" s="759" t="s">
        <v>765</v>
      </c>
      <c r="F257" s="759"/>
      <c r="G257" s="759"/>
      <c r="H257" s="759"/>
      <c r="I257" s="759"/>
      <c r="J257" s="759"/>
      <c r="K257" s="759"/>
    </row>
    <row r="258" spans="1:11" hidden="1">
      <c r="A258" s="759">
        <v>2</v>
      </c>
      <c r="B258" s="779" t="s">
        <v>1533</v>
      </c>
      <c r="C258" s="759">
        <v>9234</v>
      </c>
      <c r="D258" s="759">
        <v>2</v>
      </c>
      <c r="E258" s="759" t="s">
        <v>282</v>
      </c>
      <c r="F258" s="759">
        <v>15827</v>
      </c>
      <c r="G258" s="759">
        <v>15380</v>
      </c>
      <c r="H258" s="759">
        <v>97</v>
      </c>
      <c r="I258" s="759">
        <v>0</v>
      </c>
      <c r="J258" s="759">
        <v>27</v>
      </c>
      <c r="K258" s="759" t="s">
        <v>522</v>
      </c>
    </row>
    <row r="259" spans="1:11" hidden="1">
      <c r="A259" s="759">
        <v>3</v>
      </c>
      <c r="B259" s="779" t="s">
        <v>1534</v>
      </c>
      <c r="C259" s="759">
        <v>826</v>
      </c>
      <c r="D259" s="759">
        <v>3</v>
      </c>
      <c r="E259" s="759" t="s">
        <v>282</v>
      </c>
      <c r="F259" s="759">
        <v>441955</v>
      </c>
      <c r="G259" s="759">
        <v>393160</v>
      </c>
      <c r="H259" s="759">
        <v>89</v>
      </c>
      <c r="I259" s="759">
        <v>2</v>
      </c>
      <c r="J259" s="759">
        <v>27</v>
      </c>
      <c r="K259" s="759" t="s">
        <v>984</v>
      </c>
    </row>
    <row r="260" spans="1:11" hidden="1">
      <c r="A260" s="759">
        <v>4</v>
      </c>
      <c r="B260" s="779" t="s">
        <v>1535</v>
      </c>
      <c r="C260" s="759">
        <v>8094</v>
      </c>
      <c r="D260" s="759">
        <v>4</v>
      </c>
      <c r="E260" s="759" t="s">
        <v>284</v>
      </c>
      <c r="F260" s="759">
        <v>131522</v>
      </c>
      <c r="G260" s="759">
        <v>81686</v>
      </c>
      <c r="H260" s="759">
        <v>62</v>
      </c>
      <c r="I260" s="759">
        <v>26</v>
      </c>
      <c r="J260" s="759">
        <v>27</v>
      </c>
      <c r="K260" s="759" t="s">
        <v>245</v>
      </c>
    </row>
    <row r="261" spans="1:11" hidden="1">
      <c r="A261" s="759">
        <v>5</v>
      </c>
      <c r="B261" s="779" t="s">
        <v>1536</v>
      </c>
      <c r="C261" s="759">
        <v>2829</v>
      </c>
      <c r="D261" s="759">
        <v>5</v>
      </c>
      <c r="E261" s="759" t="s">
        <v>282</v>
      </c>
      <c r="F261" s="759">
        <v>281166</v>
      </c>
      <c r="G261" s="759">
        <v>280502</v>
      </c>
      <c r="H261" s="759">
        <v>100</v>
      </c>
      <c r="I261" s="759">
        <v>2</v>
      </c>
      <c r="J261" s="759">
        <v>27</v>
      </c>
      <c r="K261" s="759" t="s">
        <v>984</v>
      </c>
    </row>
    <row r="262" spans="1:11" hidden="1">
      <c r="A262" s="759">
        <v>6</v>
      </c>
      <c r="B262" s="779" t="s">
        <v>1537</v>
      </c>
      <c r="C262" s="759">
        <v>8077</v>
      </c>
      <c r="D262" s="759">
        <v>6</v>
      </c>
      <c r="E262" s="759" t="s">
        <v>282</v>
      </c>
      <c r="F262" s="759">
        <v>2391</v>
      </c>
      <c r="G262" s="759">
        <v>2387</v>
      </c>
      <c r="H262" s="759">
        <v>100</v>
      </c>
      <c r="I262" s="759">
        <v>53</v>
      </c>
      <c r="J262" s="759">
        <v>27</v>
      </c>
      <c r="K262" s="759" t="s">
        <v>1212</v>
      </c>
    </row>
    <row r="263" spans="1:11" hidden="1">
      <c r="A263" s="759">
        <v>7</v>
      </c>
      <c r="B263" s="779" t="s">
        <v>1187</v>
      </c>
      <c r="C263" s="759">
        <v>9247</v>
      </c>
      <c r="D263" s="759">
        <v>7</v>
      </c>
      <c r="E263" s="759" t="s">
        <v>282</v>
      </c>
      <c r="F263" s="759">
        <v>169464</v>
      </c>
      <c r="G263" s="759">
        <v>150594</v>
      </c>
      <c r="H263" s="759">
        <v>89</v>
      </c>
      <c r="I263" s="759">
        <v>10</v>
      </c>
      <c r="J263" s="759">
        <v>27</v>
      </c>
      <c r="K263" s="759" t="s">
        <v>984</v>
      </c>
    </row>
    <row r="264" spans="1:11" hidden="1">
      <c r="A264" s="759">
        <v>8</v>
      </c>
      <c r="B264" s="779" t="s">
        <v>1188</v>
      </c>
      <c r="C264" s="759">
        <v>184</v>
      </c>
      <c r="D264" s="759">
        <v>8</v>
      </c>
      <c r="E264" s="759" t="s">
        <v>282</v>
      </c>
      <c r="F264" s="759">
        <v>2015483</v>
      </c>
      <c r="G264" s="759">
        <v>1859495</v>
      </c>
      <c r="H264" s="759">
        <v>92</v>
      </c>
      <c r="I264" s="759">
        <v>1</v>
      </c>
      <c r="J264" s="759">
        <v>27</v>
      </c>
      <c r="K264" s="759" t="s">
        <v>987</v>
      </c>
    </row>
    <row r="265" spans="1:11" hidden="1">
      <c r="A265" s="759">
        <v>9</v>
      </c>
      <c r="B265" s="779" t="s">
        <v>1189</v>
      </c>
      <c r="C265" s="759">
        <v>903</v>
      </c>
      <c r="D265" s="759">
        <v>9</v>
      </c>
      <c r="E265" s="759" t="s">
        <v>282</v>
      </c>
      <c r="F265" s="759">
        <v>120881</v>
      </c>
      <c r="G265" s="759">
        <v>112763</v>
      </c>
      <c r="H265" s="759">
        <v>93</v>
      </c>
      <c r="I265" s="759">
        <v>38</v>
      </c>
      <c r="J265" s="759">
        <v>27</v>
      </c>
      <c r="K265" s="759" t="s">
        <v>1212</v>
      </c>
    </row>
    <row r="266" spans="1:11" hidden="1">
      <c r="A266" s="759">
        <v>10</v>
      </c>
      <c r="B266" s="779" t="s">
        <v>1190</v>
      </c>
      <c r="C266" s="759">
        <v>8097</v>
      </c>
      <c r="D266" s="759">
        <v>10</v>
      </c>
      <c r="E266" s="759" t="s">
        <v>282</v>
      </c>
      <c r="F266" s="759">
        <v>987</v>
      </c>
      <c r="G266" s="759">
        <v>980</v>
      </c>
      <c r="H266" s="759">
        <v>99</v>
      </c>
      <c r="I266" s="759">
        <v>56</v>
      </c>
      <c r="J266" s="759">
        <v>27</v>
      </c>
      <c r="K266" s="759" t="s">
        <v>1212</v>
      </c>
    </row>
    <row r="267" spans="1:11" hidden="1">
      <c r="A267" s="759">
        <v>11</v>
      </c>
      <c r="B267" s="779" t="s">
        <v>1191</v>
      </c>
      <c r="C267" s="759">
        <v>8096</v>
      </c>
      <c r="D267" s="759">
        <v>11</v>
      </c>
      <c r="E267" s="759" t="s">
        <v>286</v>
      </c>
      <c r="F267" s="759">
        <v>93876</v>
      </c>
      <c r="G267" s="759">
        <v>44823</v>
      </c>
      <c r="H267" s="759">
        <v>48</v>
      </c>
      <c r="I267" s="759">
        <v>2</v>
      </c>
      <c r="J267" s="759">
        <v>27</v>
      </c>
      <c r="K267" s="759" t="s">
        <v>984</v>
      </c>
    </row>
    <row r="268" spans="1:11" hidden="1">
      <c r="A268" s="759">
        <v>12</v>
      </c>
      <c r="B268" s="779" t="s">
        <v>1192</v>
      </c>
      <c r="C268" s="759">
        <v>856</v>
      </c>
      <c r="D268" s="759">
        <v>12</v>
      </c>
      <c r="E268" s="759" t="s">
        <v>284</v>
      </c>
      <c r="F268" s="759">
        <v>136528</v>
      </c>
      <c r="G268" s="759">
        <v>84096</v>
      </c>
      <c r="H268" s="759">
        <v>62</v>
      </c>
      <c r="I268" s="759">
        <v>15</v>
      </c>
      <c r="J268" s="759">
        <v>27</v>
      </c>
      <c r="K268" s="759" t="s">
        <v>245</v>
      </c>
    </row>
    <row r="269" spans="1:11" hidden="1">
      <c r="A269" s="759">
        <v>13</v>
      </c>
      <c r="B269" s="779" t="s">
        <v>1193</v>
      </c>
      <c r="C269" s="759">
        <v>929</v>
      </c>
      <c r="D269" s="759">
        <v>13</v>
      </c>
      <c r="E269" s="759" t="s">
        <v>282</v>
      </c>
      <c r="F269" s="759">
        <v>647766</v>
      </c>
      <c r="G269" s="759">
        <v>614319</v>
      </c>
      <c r="H269" s="759">
        <v>95</v>
      </c>
      <c r="I269" s="759">
        <v>8</v>
      </c>
      <c r="J269" s="759">
        <v>27</v>
      </c>
      <c r="K269" s="759" t="s">
        <v>984</v>
      </c>
    </row>
    <row r="270" spans="1:11" hidden="1">
      <c r="A270" s="759">
        <v>14</v>
      </c>
      <c r="B270" s="779" t="s">
        <v>1194</v>
      </c>
      <c r="C270" s="759">
        <v>208</v>
      </c>
      <c r="D270" s="759">
        <v>14</v>
      </c>
      <c r="E270" s="759" t="s">
        <v>282</v>
      </c>
      <c r="F270" s="759">
        <v>296434</v>
      </c>
      <c r="G270" s="759">
        <v>270119</v>
      </c>
      <c r="H270" s="759">
        <v>91</v>
      </c>
      <c r="I270" s="759">
        <v>0</v>
      </c>
      <c r="J270" s="759">
        <v>27</v>
      </c>
      <c r="K270" s="759" t="s">
        <v>522</v>
      </c>
    </row>
    <row r="271" spans="1:11" hidden="1">
      <c r="A271" s="759">
        <v>15</v>
      </c>
      <c r="B271" s="779" t="s">
        <v>1195</v>
      </c>
      <c r="C271" s="759">
        <v>928</v>
      </c>
      <c r="D271" s="759">
        <v>15</v>
      </c>
      <c r="E271" s="759" t="s">
        <v>282</v>
      </c>
      <c r="F271" s="759">
        <v>150327</v>
      </c>
      <c r="G271" s="759">
        <v>150156</v>
      </c>
      <c r="H271" s="759">
        <v>100</v>
      </c>
      <c r="I271" s="759">
        <v>76</v>
      </c>
      <c r="J271" s="759">
        <v>27</v>
      </c>
      <c r="K271" s="759" t="s">
        <v>1212</v>
      </c>
    </row>
    <row r="272" spans="1:11" hidden="1">
      <c r="A272" s="759">
        <v>16</v>
      </c>
      <c r="B272" s="779" t="s">
        <v>1196</v>
      </c>
      <c r="C272" s="759">
        <v>9281</v>
      </c>
      <c r="D272" s="759">
        <v>16</v>
      </c>
      <c r="E272" s="759" t="s">
        <v>282</v>
      </c>
      <c r="F272" s="759">
        <v>26084</v>
      </c>
      <c r="G272" s="759">
        <v>25235</v>
      </c>
      <c r="H272" s="759">
        <v>97</v>
      </c>
      <c r="I272" s="759">
        <v>48</v>
      </c>
      <c r="J272" s="759">
        <v>27</v>
      </c>
      <c r="K272" s="759" t="s">
        <v>1212</v>
      </c>
    </row>
    <row r="273" spans="1:11" hidden="1">
      <c r="A273" s="759">
        <v>17</v>
      </c>
      <c r="B273" s="779" t="s">
        <v>845</v>
      </c>
      <c r="C273" s="759">
        <v>9282</v>
      </c>
      <c r="D273" s="759">
        <v>17</v>
      </c>
      <c r="E273" s="759" t="s">
        <v>795</v>
      </c>
      <c r="F273" s="759">
        <v>33986</v>
      </c>
      <c r="G273" s="759">
        <v>8991</v>
      </c>
      <c r="H273" s="759">
        <v>26</v>
      </c>
      <c r="I273" s="759">
        <v>0</v>
      </c>
      <c r="J273" s="759">
        <v>27</v>
      </c>
      <c r="K273" s="759" t="s">
        <v>522</v>
      </c>
    </row>
    <row r="274" spans="1:11" hidden="1">
      <c r="A274" s="759"/>
      <c r="B274" s="777" t="s">
        <v>335</v>
      </c>
      <c r="C274" s="759"/>
      <c r="D274" s="759"/>
      <c r="E274" s="759"/>
      <c r="F274" s="759"/>
      <c r="G274" s="759"/>
      <c r="H274" s="759"/>
      <c r="I274" s="759"/>
      <c r="J274" s="759"/>
      <c r="K274" s="759"/>
    </row>
    <row r="275" spans="1:11" hidden="1">
      <c r="A275" s="759">
        <v>1</v>
      </c>
      <c r="B275" s="779" t="s">
        <v>1330</v>
      </c>
      <c r="C275" s="759" t="s">
        <v>1331</v>
      </c>
      <c r="D275" s="759">
        <v>1</v>
      </c>
      <c r="E275" s="759" t="s">
        <v>765</v>
      </c>
      <c r="F275" s="759"/>
      <c r="G275" s="759"/>
      <c r="H275" s="759"/>
      <c r="I275" s="759"/>
      <c r="J275" s="759"/>
      <c r="K275" s="759"/>
    </row>
    <row r="276" spans="1:11" hidden="1">
      <c r="A276" s="759">
        <v>2</v>
      </c>
      <c r="B276" s="779" t="s">
        <v>846</v>
      </c>
      <c r="C276" s="759">
        <v>830</v>
      </c>
      <c r="D276" s="759">
        <v>2</v>
      </c>
      <c r="E276" s="759" t="s">
        <v>282</v>
      </c>
      <c r="F276" s="759">
        <v>967773</v>
      </c>
      <c r="G276" s="759">
        <v>940254</v>
      </c>
      <c r="H276" s="759">
        <v>97</v>
      </c>
      <c r="I276" s="759">
        <v>4</v>
      </c>
      <c r="J276" s="759">
        <v>28</v>
      </c>
      <c r="K276" s="759" t="s">
        <v>984</v>
      </c>
    </row>
    <row r="277" spans="1:11" hidden="1">
      <c r="A277" s="759">
        <v>3</v>
      </c>
      <c r="B277" s="779" t="s">
        <v>847</v>
      </c>
      <c r="C277" s="759">
        <v>9267</v>
      </c>
      <c r="D277" s="759">
        <v>3</v>
      </c>
      <c r="E277" s="759" t="s">
        <v>282</v>
      </c>
      <c r="F277" s="759">
        <v>9452</v>
      </c>
      <c r="G277" s="759">
        <v>8561</v>
      </c>
      <c r="H277" s="759">
        <v>91</v>
      </c>
      <c r="I277" s="759">
        <v>0</v>
      </c>
      <c r="J277" s="759">
        <v>28</v>
      </c>
      <c r="K277" s="759" t="s">
        <v>987</v>
      </c>
    </row>
    <row r="278" spans="1:11" hidden="1">
      <c r="A278" s="759">
        <v>4</v>
      </c>
      <c r="B278" s="779" t="s">
        <v>848</v>
      </c>
      <c r="C278" s="759">
        <v>896</v>
      </c>
      <c r="D278" s="759">
        <v>4</v>
      </c>
      <c r="E278" s="759" t="s">
        <v>284</v>
      </c>
      <c r="F278" s="759">
        <v>348329</v>
      </c>
      <c r="G278" s="759">
        <v>236352</v>
      </c>
      <c r="H278" s="759">
        <v>68</v>
      </c>
      <c r="I278" s="759">
        <v>2</v>
      </c>
      <c r="J278" s="759">
        <v>28</v>
      </c>
      <c r="K278" s="759" t="s">
        <v>984</v>
      </c>
    </row>
    <row r="279" spans="1:11" hidden="1">
      <c r="A279" s="759">
        <v>5</v>
      </c>
      <c r="B279" s="779" t="s">
        <v>849</v>
      </c>
      <c r="C279" s="759">
        <v>9268</v>
      </c>
      <c r="D279" s="759">
        <v>5</v>
      </c>
      <c r="E279" s="759" t="s">
        <v>282</v>
      </c>
      <c r="F279" s="759">
        <v>3003</v>
      </c>
      <c r="G279" s="759">
        <v>2828</v>
      </c>
      <c r="H279" s="759">
        <v>94</v>
      </c>
      <c r="I279" s="759">
        <v>0</v>
      </c>
      <c r="J279" s="759">
        <v>28</v>
      </c>
      <c r="K279" s="759" t="s">
        <v>522</v>
      </c>
    </row>
    <row r="280" spans="1:11" hidden="1">
      <c r="A280" s="759">
        <v>6</v>
      </c>
      <c r="B280" s="779" t="s">
        <v>671</v>
      </c>
      <c r="C280" s="759">
        <v>9266</v>
      </c>
      <c r="D280" s="759">
        <v>6</v>
      </c>
      <c r="E280" s="759" t="s">
        <v>282</v>
      </c>
      <c r="F280" s="759">
        <v>373687</v>
      </c>
      <c r="G280" s="759">
        <v>321154</v>
      </c>
      <c r="H280" s="759">
        <v>86</v>
      </c>
      <c r="I280" s="759">
        <v>0</v>
      </c>
      <c r="J280" s="759">
        <v>28</v>
      </c>
      <c r="K280" s="759" t="s">
        <v>522</v>
      </c>
    </row>
    <row r="281" spans="1:11" hidden="1">
      <c r="A281" s="759">
        <v>7</v>
      </c>
      <c r="B281" s="779" t="s">
        <v>672</v>
      </c>
      <c r="C281" s="759">
        <v>943</v>
      </c>
      <c r="D281" s="759">
        <v>7</v>
      </c>
      <c r="E281" s="759" t="s">
        <v>282</v>
      </c>
      <c r="F281" s="759">
        <v>423967</v>
      </c>
      <c r="G281" s="759">
        <v>416959</v>
      </c>
      <c r="H281" s="759">
        <v>98</v>
      </c>
      <c r="I281" s="759">
        <v>1</v>
      </c>
      <c r="J281" s="759">
        <v>28</v>
      </c>
      <c r="K281" s="759" t="s">
        <v>987</v>
      </c>
    </row>
    <row r="282" spans="1:11" hidden="1">
      <c r="A282" s="759">
        <v>8</v>
      </c>
      <c r="B282" s="779" t="s">
        <v>673</v>
      </c>
      <c r="C282" s="759">
        <v>3149</v>
      </c>
      <c r="D282" s="759">
        <v>8</v>
      </c>
      <c r="E282" s="759" t="s">
        <v>282</v>
      </c>
      <c r="F282" s="759">
        <v>220832</v>
      </c>
      <c r="G282" s="759">
        <v>185961</v>
      </c>
      <c r="H282" s="759">
        <v>84</v>
      </c>
      <c r="I282" s="759">
        <v>0</v>
      </c>
      <c r="J282" s="759">
        <v>28</v>
      </c>
      <c r="K282" s="759" t="s">
        <v>522</v>
      </c>
    </row>
    <row r="283" spans="1:11" hidden="1">
      <c r="A283" s="759">
        <v>9</v>
      </c>
      <c r="B283" s="779" t="s">
        <v>674</v>
      </c>
      <c r="C283" s="759">
        <v>916</v>
      </c>
      <c r="D283" s="759">
        <v>9</v>
      </c>
      <c r="E283" s="759" t="s">
        <v>282</v>
      </c>
      <c r="F283" s="759">
        <v>157198</v>
      </c>
      <c r="G283" s="759">
        <v>139520</v>
      </c>
      <c r="H283" s="759">
        <v>89</v>
      </c>
      <c r="I283" s="759">
        <v>1</v>
      </c>
      <c r="J283" s="759">
        <v>28</v>
      </c>
      <c r="K283" s="759" t="s">
        <v>987</v>
      </c>
    </row>
    <row r="284" spans="1:11" hidden="1">
      <c r="A284" s="759"/>
      <c r="B284" s="777" t="s">
        <v>337</v>
      </c>
      <c r="C284" s="759"/>
      <c r="D284" s="759"/>
      <c r="E284" s="759"/>
      <c r="F284" s="759"/>
      <c r="G284" s="759"/>
      <c r="H284" s="759"/>
      <c r="I284" s="759"/>
      <c r="J284" s="759"/>
      <c r="K284" s="759"/>
    </row>
    <row r="285" spans="1:11" hidden="1">
      <c r="A285" s="759">
        <v>1</v>
      </c>
      <c r="B285" s="779" t="s">
        <v>1330</v>
      </c>
      <c r="C285" s="759" t="s">
        <v>1331</v>
      </c>
      <c r="D285" s="759">
        <v>1</v>
      </c>
      <c r="E285" s="759" t="s">
        <v>765</v>
      </c>
      <c r="F285" s="759"/>
      <c r="G285" s="759"/>
      <c r="H285" s="759"/>
      <c r="I285" s="759"/>
      <c r="J285" s="759"/>
      <c r="K285" s="759"/>
    </row>
    <row r="286" spans="1:11" hidden="1">
      <c r="A286" s="759">
        <v>2</v>
      </c>
      <c r="B286" s="779" t="s">
        <v>281</v>
      </c>
      <c r="C286" s="759">
        <v>842</v>
      </c>
      <c r="D286" s="759">
        <v>2</v>
      </c>
      <c r="E286" s="759" t="s">
        <v>282</v>
      </c>
      <c r="F286" s="759">
        <v>716207</v>
      </c>
      <c r="G286" s="759">
        <v>630636</v>
      </c>
      <c r="H286" s="759">
        <v>88</v>
      </c>
      <c r="I286" s="759">
        <v>0</v>
      </c>
      <c r="J286" s="759">
        <v>24</v>
      </c>
      <c r="K286" s="759" t="s">
        <v>987</v>
      </c>
    </row>
    <row r="287" spans="1:11" hidden="1">
      <c r="A287" s="759">
        <v>3</v>
      </c>
      <c r="B287" s="779" t="s">
        <v>283</v>
      </c>
      <c r="C287" s="759">
        <v>947</v>
      </c>
      <c r="D287" s="759">
        <v>3</v>
      </c>
      <c r="E287" s="759" t="s">
        <v>284</v>
      </c>
      <c r="F287" s="759">
        <v>389655</v>
      </c>
      <c r="G287" s="759">
        <v>293637</v>
      </c>
      <c r="H287" s="759">
        <v>75</v>
      </c>
      <c r="I287" s="759">
        <v>0</v>
      </c>
      <c r="J287" s="759">
        <v>24</v>
      </c>
      <c r="K287" s="759" t="s">
        <v>522</v>
      </c>
    </row>
    <row r="288" spans="1:11" hidden="1">
      <c r="A288" s="759">
        <v>4</v>
      </c>
      <c r="B288" s="779" t="s">
        <v>285</v>
      </c>
      <c r="C288" s="759">
        <v>951</v>
      </c>
      <c r="D288" s="759">
        <v>4</v>
      </c>
      <c r="E288" s="759" t="s">
        <v>286</v>
      </c>
      <c r="F288" s="759">
        <v>491705</v>
      </c>
      <c r="G288" s="759">
        <v>290459</v>
      </c>
      <c r="H288" s="759">
        <v>59</v>
      </c>
      <c r="I288" s="759">
        <v>0</v>
      </c>
      <c r="J288" s="759">
        <v>24</v>
      </c>
      <c r="K288" s="759" t="s">
        <v>987</v>
      </c>
    </row>
    <row r="289" spans="1:11" hidden="1">
      <c r="A289" s="759">
        <v>5</v>
      </c>
      <c r="B289" s="779" t="s">
        <v>287</v>
      </c>
      <c r="C289" s="759">
        <v>839</v>
      </c>
      <c r="D289" s="759">
        <v>5</v>
      </c>
      <c r="E289" s="759" t="s">
        <v>284</v>
      </c>
      <c r="F289" s="759">
        <v>911780</v>
      </c>
      <c r="G289" s="759">
        <v>693463</v>
      </c>
      <c r="H289" s="759">
        <v>76</v>
      </c>
      <c r="I289" s="759">
        <v>2</v>
      </c>
      <c r="J289" s="759">
        <v>24</v>
      </c>
      <c r="K289" s="759" t="s">
        <v>984</v>
      </c>
    </row>
    <row r="290" spans="1:11" hidden="1">
      <c r="A290" s="759">
        <v>6</v>
      </c>
      <c r="B290" s="779" t="s">
        <v>288</v>
      </c>
      <c r="C290" s="759">
        <v>2329</v>
      </c>
      <c r="D290" s="759">
        <v>6</v>
      </c>
      <c r="E290" s="759" t="s">
        <v>284</v>
      </c>
      <c r="F290" s="759">
        <v>1598226</v>
      </c>
      <c r="G290" s="759">
        <v>1219588</v>
      </c>
      <c r="H290" s="759">
        <v>76</v>
      </c>
      <c r="I290" s="759">
        <v>1</v>
      </c>
      <c r="J290" s="759">
        <v>24</v>
      </c>
      <c r="K290" s="759" t="s">
        <v>987</v>
      </c>
    </row>
    <row r="291" spans="1:11" hidden="1">
      <c r="A291" s="759">
        <v>7</v>
      </c>
      <c r="B291" s="779" t="s">
        <v>289</v>
      </c>
      <c r="C291" s="759">
        <v>9265</v>
      </c>
      <c r="D291" s="759">
        <v>7</v>
      </c>
      <c r="E291" s="759" t="s">
        <v>286</v>
      </c>
      <c r="F291" s="759">
        <v>1504352</v>
      </c>
      <c r="G291" s="759">
        <v>665391</v>
      </c>
      <c r="H291" s="759">
        <v>44</v>
      </c>
      <c r="I291" s="759">
        <v>0</v>
      </c>
      <c r="J291" s="759">
        <v>24</v>
      </c>
      <c r="K291" s="759" t="s">
        <v>987</v>
      </c>
    </row>
    <row r="292" spans="1:11" hidden="1">
      <c r="A292" s="759">
        <v>8</v>
      </c>
      <c r="B292" s="779" t="s">
        <v>290</v>
      </c>
      <c r="C292" s="759">
        <v>861</v>
      </c>
      <c r="D292" s="759">
        <v>8</v>
      </c>
      <c r="E292" s="759" t="s">
        <v>286</v>
      </c>
      <c r="F292" s="759">
        <v>1423816</v>
      </c>
      <c r="G292" s="759">
        <v>786216</v>
      </c>
      <c r="H292" s="759">
        <v>55</v>
      </c>
      <c r="I292" s="759">
        <v>1</v>
      </c>
      <c r="J292" s="759">
        <v>24</v>
      </c>
      <c r="K292" s="759" t="s">
        <v>984</v>
      </c>
    </row>
    <row r="293" spans="1:11" hidden="1">
      <c r="A293" s="759">
        <v>9</v>
      </c>
      <c r="B293" s="779" t="s">
        <v>291</v>
      </c>
      <c r="C293" s="759">
        <v>949</v>
      </c>
      <c r="D293" s="759">
        <v>9</v>
      </c>
      <c r="E293" s="759" t="s">
        <v>286</v>
      </c>
      <c r="F293" s="759">
        <v>1266904</v>
      </c>
      <c r="G293" s="759">
        <v>702248</v>
      </c>
      <c r="H293" s="759">
        <v>55</v>
      </c>
      <c r="I293" s="759">
        <v>0</v>
      </c>
      <c r="J293" s="759">
        <v>24</v>
      </c>
      <c r="K293" s="759" t="s">
        <v>987</v>
      </c>
    </row>
    <row r="294" spans="1:11" hidden="1">
      <c r="A294" s="759">
        <v>10</v>
      </c>
      <c r="B294" s="779" t="s">
        <v>292</v>
      </c>
      <c r="C294" s="759">
        <v>873</v>
      </c>
      <c r="D294" s="759">
        <v>10</v>
      </c>
      <c r="E294" s="759" t="s">
        <v>286</v>
      </c>
      <c r="F294" s="759">
        <v>109319</v>
      </c>
      <c r="G294" s="759">
        <v>34523</v>
      </c>
      <c r="H294" s="759">
        <v>32</v>
      </c>
      <c r="I294" s="759">
        <v>1</v>
      </c>
      <c r="J294" s="759">
        <v>24</v>
      </c>
      <c r="K294" s="759" t="s">
        <v>987</v>
      </c>
    </row>
    <row r="295" spans="1:11" hidden="1">
      <c r="A295" s="759">
        <v>11</v>
      </c>
      <c r="B295" s="779" t="s">
        <v>293</v>
      </c>
      <c r="C295" s="759">
        <v>893</v>
      </c>
      <c r="D295" s="759">
        <v>11</v>
      </c>
      <c r="E295" s="759" t="s">
        <v>284</v>
      </c>
      <c r="F295" s="759">
        <v>987636</v>
      </c>
      <c r="G295" s="759">
        <v>655750</v>
      </c>
      <c r="H295" s="759">
        <v>66</v>
      </c>
      <c r="I295" s="759">
        <v>0</v>
      </c>
      <c r="J295" s="759">
        <v>24</v>
      </c>
      <c r="K295" s="759" t="s">
        <v>987</v>
      </c>
    </row>
    <row r="296" spans="1:11" hidden="1">
      <c r="A296" s="759">
        <v>12</v>
      </c>
      <c r="B296" s="779" t="s">
        <v>294</v>
      </c>
      <c r="C296" s="759">
        <v>924</v>
      </c>
      <c r="D296" s="759">
        <v>12</v>
      </c>
      <c r="E296" s="759" t="s">
        <v>284</v>
      </c>
      <c r="F296" s="759">
        <v>965488</v>
      </c>
      <c r="G296" s="759">
        <v>609090</v>
      </c>
      <c r="H296" s="759">
        <v>63</v>
      </c>
      <c r="I296" s="759">
        <v>0</v>
      </c>
      <c r="J296" s="759">
        <v>24</v>
      </c>
      <c r="K296" s="759" t="s">
        <v>987</v>
      </c>
    </row>
    <row r="297" spans="1:11" hidden="1">
      <c r="A297" s="759">
        <v>13</v>
      </c>
      <c r="B297" s="779" t="s">
        <v>558</v>
      </c>
      <c r="C297" s="759">
        <v>888</v>
      </c>
      <c r="D297" s="759">
        <v>13</v>
      </c>
      <c r="E297" s="759" t="s">
        <v>282</v>
      </c>
      <c r="F297" s="759">
        <v>837830</v>
      </c>
      <c r="G297" s="759">
        <v>827863</v>
      </c>
      <c r="H297" s="759">
        <v>99</v>
      </c>
      <c r="I297" s="759">
        <v>3</v>
      </c>
      <c r="J297" s="759">
        <v>24</v>
      </c>
      <c r="K297" s="759" t="s">
        <v>984</v>
      </c>
    </row>
    <row r="298" spans="1:11" hidden="1">
      <c r="A298" s="759">
        <v>14</v>
      </c>
      <c r="B298" s="779" t="s">
        <v>559</v>
      </c>
      <c r="C298" s="759">
        <v>818</v>
      </c>
      <c r="D298" s="759">
        <v>14</v>
      </c>
      <c r="E298" s="759" t="s">
        <v>284</v>
      </c>
      <c r="F298" s="759">
        <v>392811</v>
      </c>
      <c r="G298" s="759">
        <v>277913</v>
      </c>
      <c r="H298" s="759">
        <v>71</v>
      </c>
      <c r="I298" s="759">
        <v>1</v>
      </c>
      <c r="J298" s="759">
        <v>24</v>
      </c>
      <c r="K298" s="759" t="s">
        <v>984</v>
      </c>
    </row>
    <row r="299" spans="1:11" hidden="1">
      <c r="A299" s="759">
        <v>15</v>
      </c>
      <c r="B299" s="779" t="s">
        <v>599</v>
      </c>
      <c r="C299" s="759">
        <v>220</v>
      </c>
      <c r="D299" s="759">
        <v>15</v>
      </c>
      <c r="E299" s="759" t="s">
        <v>286</v>
      </c>
      <c r="F299" s="759">
        <v>13570</v>
      </c>
      <c r="G299" s="759">
        <v>7798</v>
      </c>
      <c r="H299" s="759">
        <v>57</v>
      </c>
      <c r="I299" s="759">
        <v>3</v>
      </c>
      <c r="J299" s="759">
        <v>24</v>
      </c>
      <c r="K299" s="759" t="s">
        <v>984</v>
      </c>
    </row>
    <row r="300" spans="1:11" hidden="1">
      <c r="A300" s="759">
        <v>16</v>
      </c>
      <c r="B300" s="779" t="s">
        <v>600</v>
      </c>
      <c r="C300" s="759">
        <v>883</v>
      </c>
      <c r="D300" s="759">
        <v>16</v>
      </c>
      <c r="E300" s="759" t="s">
        <v>284</v>
      </c>
      <c r="F300" s="759">
        <v>2034</v>
      </c>
      <c r="G300" s="759">
        <v>1333</v>
      </c>
      <c r="H300" s="759">
        <v>66</v>
      </c>
      <c r="I300" s="759">
        <v>0</v>
      </c>
      <c r="J300" s="759">
        <v>24</v>
      </c>
      <c r="K300" s="759" t="s">
        <v>522</v>
      </c>
    </row>
    <row r="301" spans="1:11" hidden="1">
      <c r="A301" s="759">
        <v>17</v>
      </c>
      <c r="B301" s="779" t="s">
        <v>601</v>
      </c>
      <c r="C301" s="759">
        <v>901</v>
      </c>
      <c r="D301" s="759">
        <v>17</v>
      </c>
      <c r="E301" s="759" t="s">
        <v>284</v>
      </c>
      <c r="F301" s="759">
        <v>492128</v>
      </c>
      <c r="G301" s="759">
        <v>381544</v>
      </c>
      <c r="H301" s="759">
        <v>78</v>
      </c>
      <c r="I301" s="759">
        <v>2</v>
      </c>
      <c r="J301" s="759">
        <v>24</v>
      </c>
      <c r="K301" s="759" t="s">
        <v>984</v>
      </c>
    </row>
    <row r="302" spans="1:11" hidden="1">
      <c r="A302" s="759">
        <v>18</v>
      </c>
      <c r="B302" s="779" t="s">
        <v>602</v>
      </c>
      <c r="C302" s="759">
        <v>911</v>
      </c>
      <c r="D302" s="759">
        <v>18</v>
      </c>
      <c r="E302" s="759" t="s">
        <v>284</v>
      </c>
      <c r="F302" s="759">
        <v>155192</v>
      </c>
      <c r="G302" s="759">
        <v>121683</v>
      </c>
      <c r="H302" s="759">
        <v>78</v>
      </c>
      <c r="I302" s="759">
        <v>2</v>
      </c>
      <c r="J302" s="759">
        <v>24</v>
      </c>
      <c r="K302" s="759" t="s">
        <v>984</v>
      </c>
    </row>
    <row r="303" spans="1:11" hidden="1">
      <c r="A303" s="759">
        <v>19</v>
      </c>
      <c r="B303" s="779" t="s">
        <v>603</v>
      </c>
      <c r="C303" s="759">
        <v>906</v>
      </c>
      <c r="D303" s="759">
        <v>19</v>
      </c>
      <c r="E303" s="759" t="s">
        <v>284</v>
      </c>
      <c r="F303" s="759">
        <v>596337</v>
      </c>
      <c r="G303" s="759">
        <v>436797</v>
      </c>
      <c r="H303" s="759">
        <v>73</v>
      </c>
      <c r="I303" s="759">
        <v>1</v>
      </c>
      <c r="J303" s="759">
        <v>24</v>
      </c>
      <c r="K303" s="759" t="s">
        <v>987</v>
      </c>
    </row>
    <row r="304" spans="1:11" hidden="1">
      <c r="A304" s="759">
        <v>20</v>
      </c>
      <c r="B304" s="779" t="s">
        <v>604</v>
      </c>
      <c r="C304" s="759">
        <v>9214</v>
      </c>
      <c r="D304" s="759">
        <v>20</v>
      </c>
      <c r="E304" s="759" t="s">
        <v>284</v>
      </c>
      <c r="F304" s="759">
        <v>332989</v>
      </c>
      <c r="G304" s="759">
        <v>222800</v>
      </c>
      <c r="H304" s="759">
        <v>67</v>
      </c>
      <c r="I304" s="759">
        <v>0</v>
      </c>
      <c r="J304" s="759">
        <v>24</v>
      </c>
      <c r="K304" s="759" t="s">
        <v>987</v>
      </c>
    </row>
    <row r="305" spans="1:11" hidden="1">
      <c r="A305" s="759">
        <v>21</v>
      </c>
      <c r="B305" s="779" t="s">
        <v>605</v>
      </c>
      <c r="C305" s="759">
        <v>827</v>
      </c>
      <c r="D305" s="759">
        <v>21</v>
      </c>
      <c r="E305" s="759" t="s">
        <v>286</v>
      </c>
      <c r="F305" s="759">
        <v>1026129</v>
      </c>
      <c r="G305" s="759">
        <v>599136</v>
      </c>
      <c r="H305" s="759">
        <v>58</v>
      </c>
      <c r="I305" s="759">
        <v>1</v>
      </c>
      <c r="J305" s="759">
        <v>24</v>
      </c>
      <c r="K305" s="759" t="s">
        <v>987</v>
      </c>
    </row>
    <row r="306" spans="1:11" hidden="1">
      <c r="A306" s="759">
        <v>22</v>
      </c>
      <c r="B306" s="779" t="s">
        <v>606</v>
      </c>
      <c r="C306" s="759">
        <v>919</v>
      </c>
      <c r="D306" s="759">
        <v>22</v>
      </c>
      <c r="E306" s="759" t="s">
        <v>284</v>
      </c>
      <c r="F306" s="759">
        <v>138119</v>
      </c>
      <c r="G306" s="759">
        <v>99218</v>
      </c>
      <c r="H306" s="759">
        <v>72</v>
      </c>
      <c r="I306" s="759">
        <v>0</v>
      </c>
      <c r="J306" s="759">
        <v>24</v>
      </c>
      <c r="K306" s="759" t="s">
        <v>522</v>
      </c>
    </row>
    <row r="307" spans="1:11" hidden="1">
      <c r="A307" s="759">
        <v>23</v>
      </c>
      <c r="B307" s="779" t="s">
        <v>607</v>
      </c>
      <c r="C307" s="759">
        <v>8032</v>
      </c>
      <c r="D307" s="759">
        <v>23</v>
      </c>
      <c r="E307" s="759" t="s">
        <v>282</v>
      </c>
      <c r="F307" s="759">
        <v>8620</v>
      </c>
      <c r="G307" s="759">
        <v>8510</v>
      </c>
      <c r="H307" s="759">
        <v>99</v>
      </c>
      <c r="I307" s="759">
        <v>17</v>
      </c>
      <c r="J307" s="759">
        <v>24</v>
      </c>
      <c r="K307" s="759" t="s">
        <v>245</v>
      </c>
    </row>
    <row r="308" spans="1:11" hidden="1">
      <c r="A308" s="759">
        <v>24</v>
      </c>
      <c r="B308" s="779" t="s">
        <v>608</v>
      </c>
      <c r="C308" s="759">
        <v>973</v>
      </c>
      <c r="D308" s="759">
        <v>24</v>
      </c>
      <c r="E308" s="759" t="s">
        <v>286</v>
      </c>
      <c r="F308" s="759">
        <v>1451033</v>
      </c>
      <c r="G308" s="759">
        <v>761968</v>
      </c>
      <c r="H308" s="759">
        <v>53</v>
      </c>
      <c r="I308" s="759">
        <v>0</v>
      </c>
      <c r="J308" s="759">
        <v>24</v>
      </c>
      <c r="K308" s="759" t="s">
        <v>987</v>
      </c>
    </row>
    <row r="309" spans="1:11" hidden="1">
      <c r="A309" s="759">
        <v>25</v>
      </c>
      <c r="B309" s="779" t="s">
        <v>609</v>
      </c>
      <c r="C309" s="759">
        <v>8037</v>
      </c>
      <c r="D309" s="759">
        <v>25</v>
      </c>
      <c r="E309" s="759" t="s">
        <v>282</v>
      </c>
      <c r="F309" s="759">
        <v>26808</v>
      </c>
      <c r="G309" s="759">
        <v>26660</v>
      </c>
      <c r="H309" s="759">
        <v>99</v>
      </c>
      <c r="I309" s="759">
        <v>17</v>
      </c>
      <c r="J309" s="759">
        <v>24</v>
      </c>
      <c r="K309" s="759" t="s">
        <v>245</v>
      </c>
    </row>
    <row r="310" spans="1:11" hidden="1">
      <c r="A310" s="759">
        <v>26</v>
      </c>
      <c r="B310" s="779" t="s">
        <v>544</v>
      </c>
      <c r="C310" s="759">
        <v>9280</v>
      </c>
      <c r="D310" s="759">
        <v>26</v>
      </c>
      <c r="E310" s="759" t="s">
        <v>286</v>
      </c>
      <c r="F310" s="759">
        <v>128381</v>
      </c>
      <c r="G310" s="759">
        <v>71429</v>
      </c>
      <c r="H310" s="759">
        <v>56</v>
      </c>
      <c r="I310" s="759">
        <v>1</v>
      </c>
      <c r="J310" s="759">
        <v>24</v>
      </c>
      <c r="K310" s="759" t="s">
        <v>987</v>
      </c>
    </row>
    <row r="311" spans="1:11" hidden="1">
      <c r="A311" s="759">
        <v>27</v>
      </c>
      <c r="B311" s="779" t="s">
        <v>545</v>
      </c>
      <c r="C311" s="759">
        <v>9283</v>
      </c>
      <c r="D311" s="759">
        <v>27</v>
      </c>
      <c r="E311" s="759" t="s">
        <v>284</v>
      </c>
      <c r="F311" s="759">
        <v>34694</v>
      </c>
      <c r="G311" s="759">
        <v>26651</v>
      </c>
      <c r="H311" s="759">
        <v>77</v>
      </c>
      <c r="I311" s="759">
        <v>0</v>
      </c>
      <c r="J311" s="759">
        <v>24</v>
      </c>
      <c r="K311" s="759" t="s">
        <v>522</v>
      </c>
    </row>
    <row r="312" spans="1:11" hidden="1">
      <c r="A312" s="759">
        <v>28</v>
      </c>
      <c r="B312" s="779" t="s">
        <v>546</v>
      </c>
      <c r="C312" s="759">
        <v>844</v>
      </c>
      <c r="D312" s="759">
        <v>28</v>
      </c>
      <c r="E312" s="759" t="s">
        <v>286</v>
      </c>
      <c r="F312" s="759">
        <v>2274316</v>
      </c>
      <c r="G312" s="759">
        <v>833982</v>
      </c>
      <c r="H312" s="759">
        <v>37</v>
      </c>
      <c r="I312" s="759">
        <v>0</v>
      </c>
      <c r="J312" s="759">
        <v>24</v>
      </c>
      <c r="K312" s="759" t="s">
        <v>987</v>
      </c>
    </row>
    <row r="313" spans="1:11" hidden="1">
      <c r="A313" s="759">
        <v>29</v>
      </c>
      <c r="B313" s="779" t="s">
        <v>547</v>
      </c>
      <c r="C313" s="759">
        <v>857</v>
      </c>
      <c r="D313" s="759">
        <v>29</v>
      </c>
      <c r="E313" s="759" t="s">
        <v>286</v>
      </c>
      <c r="F313" s="759">
        <v>92158</v>
      </c>
      <c r="G313" s="759">
        <v>54741</v>
      </c>
      <c r="H313" s="759">
        <v>59</v>
      </c>
      <c r="I313" s="759">
        <v>0</v>
      </c>
      <c r="J313" s="759">
        <v>24</v>
      </c>
      <c r="K313" s="759" t="s">
        <v>522</v>
      </c>
    </row>
    <row r="314" spans="1:11" hidden="1">
      <c r="A314" s="759">
        <v>30</v>
      </c>
      <c r="B314" s="779" t="s">
        <v>564</v>
      </c>
      <c r="C314" s="759">
        <v>9255</v>
      </c>
      <c r="D314" s="759">
        <v>30</v>
      </c>
      <c r="E314" s="759" t="s">
        <v>282</v>
      </c>
      <c r="F314" s="759">
        <v>385309</v>
      </c>
      <c r="G314" s="759">
        <v>358731</v>
      </c>
      <c r="H314" s="759">
        <v>93</v>
      </c>
      <c r="I314" s="759">
        <v>0</v>
      </c>
      <c r="J314" s="759">
        <v>24</v>
      </c>
      <c r="K314" s="759" t="s">
        <v>987</v>
      </c>
    </row>
    <row r="315" spans="1:11" hidden="1">
      <c r="A315" s="759">
        <v>31</v>
      </c>
      <c r="B315" s="779" t="s">
        <v>565</v>
      </c>
      <c r="C315" s="759">
        <v>8033</v>
      </c>
      <c r="D315" s="759">
        <v>31</v>
      </c>
      <c r="E315" s="759" t="s">
        <v>282</v>
      </c>
      <c r="F315" s="759">
        <v>52586</v>
      </c>
      <c r="G315" s="759">
        <v>52420</v>
      </c>
      <c r="H315" s="759">
        <v>100</v>
      </c>
      <c r="I315" s="759">
        <v>26</v>
      </c>
      <c r="J315" s="759">
        <v>24</v>
      </c>
      <c r="K315" s="759" t="s">
        <v>1212</v>
      </c>
    </row>
    <row r="316" spans="1:11" hidden="1">
      <c r="A316" s="759">
        <v>32</v>
      </c>
      <c r="B316" s="779" t="s">
        <v>570</v>
      </c>
      <c r="C316" s="759">
        <v>8088</v>
      </c>
      <c r="D316" s="759">
        <v>32</v>
      </c>
      <c r="E316" s="759" t="s">
        <v>282</v>
      </c>
      <c r="F316" s="759">
        <v>667057</v>
      </c>
      <c r="G316" s="759">
        <v>539073</v>
      </c>
      <c r="H316" s="759">
        <v>81</v>
      </c>
      <c r="I316" s="759">
        <v>0</v>
      </c>
      <c r="J316" s="759">
        <v>24</v>
      </c>
      <c r="K316" s="759" t="s">
        <v>522</v>
      </c>
    </row>
    <row r="317" spans="1:11" hidden="1">
      <c r="A317" s="759">
        <v>33</v>
      </c>
      <c r="B317" s="779" t="s">
        <v>571</v>
      </c>
      <c r="C317" s="759">
        <v>950</v>
      </c>
      <c r="D317" s="759">
        <v>33</v>
      </c>
      <c r="E317" s="759" t="s">
        <v>286</v>
      </c>
      <c r="F317" s="759">
        <v>858127</v>
      </c>
      <c r="G317" s="759">
        <v>335613</v>
      </c>
      <c r="H317" s="759">
        <v>39</v>
      </c>
      <c r="I317" s="759">
        <v>0</v>
      </c>
      <c r="J317" s="759">
        <v>24</v>
      </c>
      <c r="K317" s="759" t="s">
        <v>987</v>
      </c>
    </row>
    <row r="318" spans="1:11" hidden="1">
      <c r="A318" s="759">
        <v>34</v>
      </c>
      <c r="B318" s="779" t="s">
        <v>572</v>
      </c>
      <c r="C318" s="759">
        <v>860</v>
      </c>
      <c r="D318" s="759">
        <v>34</v>
      </c>
      <c r="E318" s="759" t="s">
        <v>282</v>
      </c>
      <c r="F318" s="759">
        <v>1339190</v>
      </c>
      <c r="G318" s="759">
        <v>1286681</v>
      </c>
      <c r="H318" s="759">
        <v>96</v>
      </c>
      <c r="I318" s="759">
        <v>1</v>
      </c>
      <c r="J318" s="759">
        <v>24</v>
      </c>
      <c r="K318" s="759" t="s">
        <v>984</v>
      </c>
    </row>
    <row r="319" spans="1:11" hidden="1">
      <c r="A319" s="759">
        <v>35</v>
      </c>
      <c r="B319" s="779" t="s">
        <v>573</v>
      </c>
      <c r="C319" s="759">
        <v>892</v>
      </c>
      <c r="D319" s="759">
        <v>35</v>
      </c>
      <c r="E319" s="759" t="s">
        <v>284</v>
      </c>
      <c r="F319" s="759">
        <v>426814</v>
      </c>
      <c r="G319" s="759">
        <v>292023</v>
      </c>
      <c r="H319" s="759">
        <v>68</v>
      </c>
      <c r="I319" s="759">
        <v>0</v>
      </c>
      <c r="J319" s="759">
        <v>24</v>
      </c>
      <c r="K319" s="759" t="s">
        <v>522</v>
      </c>
    </row>
    <row r="320" spans="1:11" hidden="1">
      <c r="A320" s="759"/>
      <c r="B320" s="777" t="s">
        <v>790</v>
      </c>
      <c r="C320" s="759"/>
      <c r="D320" s="759"/>
      <c r="E320" s="759"/>
      <c r="F320" s="759"/>
      <c r="G320" s="759"/>
      <c r="H320" s="759"/>
      <c r="I320" s="759"/>
      <c r="J320" s="759"/>
      <c r="K320" s="759"/>
    </row>
    <row r="321" spans="1:11" hidden="1">
      <c r="A321" s="759">
        <v>1</v>
      </c>
      <c r="B321" s="779" t="s">
        <v>1330</v>
      </c>
      <c r="C321" s="759" t="s">
        <v>1331</v>
      </c>
      <c r="D321" s="759">
        <v>1</v>
      </c>
      <c r="E321" s="759" t="s">
        <v>765</v>
      </c>
      <c r="F321" s="759"/>
      <c r="G321" s="759"/>
      <c r="H321" s="759"/>
      <c r="I321" s="759"/>
      <c r="J321" s="759"/>
      <c r="K321" s="759"/>
    </row>
    <row r="322" spans="1:11" hidden="1">
      <c r="A322" s="759">
        <v>2</v>
      </c>
      <c r="B322" s="779" t="s">
        <v>675</v>
      </c>
      <c r="C322" s="759">
        <v>8089</v>
      </c>
      <c r="D322" s="759">
        <v>2</v>
      </c>
      <c r="E322" s="759" t="s">
        <v>282</v>
      </c>
      <c r="F322" s="759">
        <v>205087</v>
      </c>
      <c r="G322" s="759">
        <v>198417</v>
      </c>
      <c r="H322" s="759">
        <v>97</v>
      </c>
      <c r="I322" s="759">
        <v>0</v>
      </c>
      <c r="J322" s="759">
        <v>23</v>
      </c>
      <c r="K322" s="759" t="s">
        <v>522</v>
      </c>
    </row>
    <row r="323" spans="1:11" hidden="1">
      <c r="A323" s="759">
        <v>3</v>
      </c>
      <c r="B323" s="779" t="s">
        <v>505</v>
      </c>
      <c r="C323" s="759">
        <v>243</v>
      </c>
      <c r="D323" s="759">
        <v>3</v>
      </c>
      <c r="E323" s="759" t="s">
        <v>282</v>
      </c>
      <c r="F323" s="759">
        <v>1289199</v>
      </c>
      <c r="G323" s="759">
        <v>1054791</v>
      </c>
      <c r="H323" s="759">
        <v>82</v>
      </c>
      <c r="I323" s="759">
        <v>3</v>
      </c>
      <c r="J323" s="759">
        <v>23</v>
      </c>
      <c r="K323" s="759" t="s">
        <v>984</v>
      </c>
    </row>
    <row r="324" spans="1:11" hidden="1">
      <c r="A324" s="759">
        <v>4</v>
      </c>
      <c r="B324" s="779" t="s">
        <v>506</v>
      </c>
      <c r="C324" s="759">
        <v>217</v>
      </c>
      <c r="D324" s="759">
        <v>4</v>
      </c>
      <c r="E324" s="759" t="s">
        <v>284</v>
      </c>
      <c r="F324" s="759">
        <v>866746</v>
      </c>
      <c r="G324" s="759">
        <v>643745</v>
      </c>
      <c r="H324" s="759">
        <v>74</v>
      </c>
      <c r="I324" s="759">
        <v>0</v>
      </c>
      <c r="J324" s="759">
        <v>23</v>
      </c>
      <c r="K324" s="759" t="s">
        <v>987</v>
      </c>
    </row>
    <row r="325" spans="1:11" hidden="1">
      <c r="A325" s="759">
        <v>5</v>
      </c>
      <c r="B325" s="779" t="s">
        <v>507</v>
      </c>
      <c r="C325" s="759">
        <v>307</v>
      </c>
      <c r="D325" s="759">
        <v>5</v>
      </c>
      <c r="E325" s="759" t="s">
        <v>284</v>
      </c>
      <c r="F325" s="759">
        <v>47706</v>
      </c>
      <c r="G325" s="759">
        <v>37263</v>
      </c>
      <c r="H325" s="759">
        <v>78</v>
      </c>
      <c r="I325" s="759">
        <v>0</v>
      </c>
      <c r="J325" s="759">
        <v>23</v>
      </c>
      <c r="K325" s="759" t="s">
        <v>987</v>
      </c>
    </row>
    <row r="326" spans="1:11" hidden="1">
      <c r="A326" s="759">
        <v>6</v>
      </c>
      <c r="B326" s="779" t="s">
        <v>508</v>
      </c>
      <c r="C326" s="759">
        <v>313</v>
      </c>
      <c r="D326" s="759">
        <v>6</v>
      </c>
      <c r="E326" s="759" t="s">
        <v>284</v>
      </c>
      <c r="F326" s="759">
        <v>604106</v>
      </c>
      <c r="G326" s="759">
        <v>439731</v>
      </c>
      <c r="H326" s="759">
        <v>73</v>
      </c>
      <c r="I326" s="759">
        <v>0</v>
      </c>
      <c r="J326" s="759">
        <v>23</v>
      </c>
      <c r="K326" s="759" t="s">
        <v>987</v>
      </c>
    </row>
    <row r="327" spans="1:11" hidden="1">
      <c r="A327" s="759">
        <v>7</v>
      </c>
      <c r="B327" s="779" t="s">
        <v>509</v>
      </c>
      <c r="C327" s="759">
        <v>229</v>
      </c>
      <c r="D327" s="759">
        <v>7</v>
      </c>
      <c r="E327" s="759" t="s">
        <v>282</v>
      </c>
      <c r="F327" s="759">
        <v>516966</v>
      </c>
      <c r="G327" s="759">
        <v>432847</v>
      </c>
      <c r="H327" s="759">
        <v>84</v>
      </c>
      <c r="I327" s="759">
        <v>1</v>
      </c>
      <c r="J327" s="759">
        <v>23</v>
      </c>
      <c r="K327" s="759" t="s">
        <v>984</v>
      </c>
    </row>
    <row r="328" spans="1:11" hidden="1">
      <c r="A328" s="759">
        <v>8</v>
      </c>
      <c r="B328" s="779" t="s">
        <v>510</v>
      </c>
      <c r="C328" s="759">
        <v>9290</v>
      </c>
      <c r="D328" s="759">
        <v>8</v>
      </c>
      <c r="E328" s="759" t="s">
        <v>286</v>
      </c>
      <c r="F328" s="759">
        <v>31891</v>
      </c>
      <c r="G328" s="759">
        <v>7983</v>
      </c>
      <c r="H328" s="759">
        <v>25</v>
      </c>
      <c r="I328" s="759">
        <v>0</v>
      </c>
      <c r="J328" s="759">
        <v>23</v>
      </c>
      <c r="K328" s="759" t="s">
        <v>987</v>
      </c>
    </row>
    <row r="329" spans="1:11" hidden="1">
      <c r="A329" s="759">
        <v>9</v>
      </c>
      <c r="B329" s="779" t="s">
        <v>446</v>
      </c>
      <c r="C329" s="759">
        <v>9213</v>
      </c>
      <c r="D329" s="759">
        <v>9</v>
      </c>
      <c r="E329" s="759" t="s">
        <v>282</v>
      </c>
      <c r="F329" s="759">
        <v>178304</v>
      </c>
      <c r="G329" s="759">
        <v>168106</v>
      </c>
      <c r="H329" s="759">
        <v>94</v>
      </c>
      <c r="I329" s="759">
        <v>1</v>
      </c>
      <c r="J329" s="759">
        <v>23</v>
      </c>
      <c r="K329" s="759" t="s">
        <v>984</v>
      </c>
    </row>
    <row r="330" spans="1:11" hidden="1">
      <c r="A330" s="759">
        <v>10</v>
      </c>
      <c r="B330" s="779" t="s">
        <v>447</v>
      </c>
      <c r="C330" s="759">
        <v>894</v>
      </c>
      <c r="D330" s="759">
        <v>10</v>
      </c>
      <c r="E330" s="759" t="s">
        <v>286</v>
      </c>
      <c r="F330" s="759">
        <v>657658</v>
      </c>
      <c r="G330" s="759">
        <v>310203</v>
      </c>
      <c r="H330" s="759">
        <v>47</v>
      </c>
      <c r="I330" s="759">
        <v>0</v>
      </c>
      <c r="J330" s="759">
        <v>23</v>
      </c>
      <c r="K330" s="759" t="s">
        <v>987</v>
      </c>
    </row>
    <row r="331" spans="1:11" hidden="1">
      <c r="A331" s="759">
        <v>11</v>
      </c>
      <c r="B331" s="779" t="s">
        <v>448</v>
      </c>
      <c r="C331" s="759">
        <v>230</v>
      </c>
      <c r="D331" s="759">
        <v>11</v>
      </c>
      <c r="E331" s="759" t="s">
        <v>284</v>
      </c>
      <c r="F331" s="759">
        <v>100403</v>
      </c>
      <c r="G331" s="759">
        <v>76006</v>
      </c>
      <c r="H331" s="759">
        <v>76</v>
      </c>
      <c r="I331" s="759">
        <v>0</v>
      </c>
      <c r="J331" s="759">
        <v>23</v>
      </c>
      <c r="K331" s="759" t="s">
        <v>987</v>
      </c>
    </row>
    <row r="332" spans="1:11" hidden="1">
      <c r="A332" s="759">
        <v>12</v>
      </c>
      <c r="B332" s="779" t="s">
        <v>1702</v>
      </c>
      <c r="C332" s="759">
        <v>9272</v>
      </c>
      <c r="D332" s="759">
        <v>12</v>
      </c>
      <c r="E332" s="759" t="s">
        <v>282</v>
      </c>
      <c r="F332" s="759">
        <v>29207</v>
      </c>
      <c r="G332" s="759">
        <v>28124</v>
      </c>
      <c r="H332" s="759">
        <v>96</v>
      </c>
      <c r="I332" s="759">
        <v>1</v>
      </c>
      <c r="J332" s="759">
        <v>23</v>
      </c>
      <c r="K332" s="759" t="s">
        <v>987</v>
      </c>
    </row>
    <row r="333" spans="1:11" hidden="1">
      <c r="A333" s="759">
        <v>13</v>
      </c>
      <c r="B333" s="779" t="s">
        <v>1703</v>
      </c>
      <c r="C333" s="759">
        <v>907</v>
      </c>
      <c r="D333" s="759">
        <v>13</v>
      </c>
      <c r="E333" s="759" t="s">
        <v>284</v>
      </c>
      <c r="F333" s="759">
        <v>80773</v>
      </c>
      <c r="G333" s="759">
        <v>61762</v>
      </c>
      <c r="H333" s="759">
        <v>76</v>
      </c>
      <c r="I333" s="759">
        <v>3</v>
      </c>
      <c r="J333" s="759">
        <v>23</v>
      </c>
      <c r="K333" s="759" t="s">
        <v>984</v>
      </c>
    </row>
    <row r="334" spans="1:11" hidden="1">
      <c r="A334" s="759">
        <v>14</v>
      </c>
      <c r="B334" s="779" t="s">
        <v>1704</v>
      </c>
      <c r="C334" s="759">
        <v>8050</v>
      </c>
      <c r="D334" s="759">
        <v>14</v>
      </c>
      <c r="E334" s="759" t="s">
        <v>282</v>
      </c>
      <c r="F334" s="759">
        <v>360630</v>
      </c>
      <c r="G334" s="759">
        <v>323440</v>
      </c>
      <c r="H334" s="759">
        <v>90</v>
      </c>
      <c r="I334" s="759">
        <v>1</v>
      </c>
      <c r="J334" s="759">
        <v>23</v>
      </c>
      <c r="K334" s="759" t="s">
        <v>987</v>
      </c>
    </row>
    <row r="335" spans="1:11" hidden="1">
      <c r="A335" s="759">
        <v>15</v>
      </c>
      <c r="B335" s="779" t="s">
        <v>810</v>
      </c>
      <c r="C335" s="759">
        <v>244</v>
      </c>
      <c r="D335" s="759">
        <v>15</v>
      </c>
      <c r="E335" s="759" t="s">
        <v>284</v>
      </c>
      <c r="F335" s="759">
        <v>227662</v>
      </c>
      <c r="G335" s="759">
        <v>151209</v>
      </c>
      <c r="H335" s="759">
        <v>66</v>
      </c>
      <c r="I335" s="759">
        <v>4</v>
      </c>
      <c r="J335" s="759">
        <v>23</v>
      </c>
      <c r="K335" s="759" t="s">
        <v>984</v>
      </c>
    </row>
    <row r="336" spans="1:11" hidden="1">
      <c r="A336" s="759">
        <v>16</v>
      </c>
      <c r="B336" s="779" t="s">
        <v>811</v>
      </c>
      <c r="C336" s="759">
        <v>890</v>
      </c>
      <c r="D336" s="759">
        <v>16</v>
      </c>
      <c r="E336" s="759" t="s">
        <v>284</v>
      </c>
      <c r="F336" s="759">
        <v>613687</v>
      </c>
      <c r="G336" s="759">
        <v>447947</v>
      </c>
      <c r="H336" s="759">
        <v>73</v>
      </c>
      <c r="I336" s="759">
        <v>0</v>
      </c>
      <c r="J336" s="759">
        <v>23</v>
      </c>
      <c r="K336" s="759" t="s">
        <v>522</v>
      </c>
    </row>
    <row r="337" spans="1:11" hidden="1">
      <c r="A337" s="759">
        <v>17</v>
      </c>
      <c r="B337" s="779" t="s">
        <v>812</v>
      </c>
      <c r="C337" s="759">
        <v>891</v>
      </c>
      <c r="D337" s="759">
        <v>17</v>
      </c>
      <c r="E337" s="759" t="s">
        <v>286</v>
      </c>
      <c r="F337" s="759">
        <v>528250</v>
      </c>
      <c r="G337" s="759">
        <v>313779</v>
      </c>
      <c r="H337" s="759">
        <v>59</v>
      </c>
      <c r="I337" s="759">
        <v>0</v>
      </c>
      <c r="J337" s="759">
        <v>23</v>
      </c>
      <c r="K337" s="759" t="s">
        <v>987</v>
      </c>
    </row>
    <row r="338" spans="1:11" hidden="1">
      <c r="A338" s="759"/>
      <c r="B338" s="777" t="s">
        <v>619</v>
      </c>
      <c r="C338" s="759"/>
      <c r="D338" s="759"/>
      <c r="E338" s="759"/>
      <c r="F338" s="759"/>
      <c r="G338" s="759"/>
      <c r="H338" s="759"/>
      <c r="I338" s="759"/>
      <c r="J338" s="759"/>
      <c r="K338" s="759"/>
    </row>
    <row r="339" spans="1:11" hidden="1">
      <c r="A339" s="759">
        <v>1</v>
      </c>
      <c r="B339" s="779" t="s">
        <v>1330</v>
      </c>
      <c r="C339" s="759" t="s">
        <v>1331</v>
      </c>
      <c r="D339" s="759">
        <v>1</v>
      </c>
      <c r="E339" s="759" t="s">
        <v>765</v>
      </c>
      <c r="F339" s="759"/>
      <c r="G339" s="759"/>
      <c r="H339" s="759"/>
      <c r="I339" s="759"/>
      <c r="J339" s="759"/>
      <c r="K339" s="759"/>
    </row>
    <row r="340" spans="1:11" hidden="1">
      <c r="A340" s="759">
        <v>2</v>
      </c>
      <c r="B340" s="779" t="s">
        <v>449</v>
      </c>
      <c r="C340" s="759">
        <v>909</v>
      </c>
      <c r="D340" s="759">
        <v>2</v>
      </c>
      <c r="E340" s="759" t="s">
        <v>690</v>
      </c>
      <c r="F340" s="759">
        <v>178529</v>
      </c>
      <c r="G340" s="759">
        <v>131606</v>
      </c>
      <c r="H340" s="759">
        <v>74</v>
      </c>
      <c r="I340" s="759">
        <v>3</v>
      </c>
      <c r="J340" s="759">
        <v>31</v>
      </c>
      <c r="K340" s="759" t="s">
        <v>450</v>
      </c>
    </row>
    <row r="341" spans="1:11" hidden="1">
      <c r="A341" s="759"/>
      <c r="B341" s="777" t="s">
        <v>990</v>
      </c>
      <c r="C341" s="759"/>
      <c r="D341" s="759"/>
      <c r="E341" s="759"/>
      <c r="F341" s="759"/>
      <c r="G341" s="759"/>
      <c r="H341" s="759"/>
      <c r="I341" s="759"/>
      <c r="J341" s="759"/>
      <c r="K341" s="759"/>
    </row>
    <row r="342" spans="1:11" hidden="1">
      <c r="A342" s="759">
        <v>1</v>
      </c>
      <c r="B342" s="779" t="s">
        <v>1330</v>
      </c>
      <c r="C342" s="759" t="s">
        <v>1331</v>
      </c>
      <c r="D342" s="759">
        <v>1</v>
      </c>
      <c r="E342" s="759" t="s">
        <v>765</v>
      </c>
      <c r="F342" s="759"/>
      <c r="G342" s="759"/>
      <c r="H342" s="759"/>
      <c r="I342" s="759"/>
      <c r="J342" s="759"/>
      <c r="K342" s="759"/>
    </row>
    <row r="343" spans="1:11" hidden="1">
      <c r="A343" s="759">
        <v>2</v>
      </c>
      <c r="B343" s="779" t="s">
        <v>451</v>
      </c>
      <c r="C343" s="759">
        <v>9286</v>
      </c>
      <c r="D343" s="759">
        <v>2</v>
      </c>
      <c r="E343" s="759" t="s">
        <v>688</v>
      </c>
      <c r="F343" s="759">
        <v>60762</v>
      </c>
      <c r="G343" s="759">
        <v>60568</v>
      </c>
      <c r="H343" s="759">
        <v>100</v>
      </c>
      <c r="I343" s="759">
        <v>23</v>
      </c>
      <c r="J343" s="759">
        <v>21</v>
      </c>
      <c r="K343" s="759" t="s">
        <v>452</v>
      </c>
    </row>
    <row r="344" spans="1:11" hidden="1">
      <c r="A344" s="759">
        <v>3</v>
      </c>
      <c r="B344" s="779" t="s">
        <v>453</v>
      </c>
      <c r="C344" s="759">
        <v>260</v>
      </c>
      <c r="D344" s="759">
        <v>3</v>
      </c>
      <c r="E344" s="759" t="s">
        <v>688</v>
      </c>
      <c r="F344" s="759">
        <v>4547895</v>
      </c>
      <c r="G344" s="759">
        <v>4521743</v>
      </c>
      <c r="H344" s="759">
        <v>99</v>
      </c>
      <c r="I344" s="759">
        <v>0</v>
      </c>
      <c r="J344" s="759">
        <v>21</v>
      </c>
      <c r="K344" s="759" t="s">
        <v>454</v>
      </c>
    </row>
    <row r="345" spans="1:11" hidden="1">
      <c r="A345" s="759">
        <v>4</v>
      </c>
      <c r="B345" s="779" t="s">
        <v>455</v>
      </c>
      <c r="C345" s="759">
        <v>261</v>
      </c>
      <c r="D345" s="759">
        <v>4</v>
      </c>
      <c r="E345" s="759" t="s">
        <v>688</v>
      </c>
      <c r="F345" s="759">
        <v>3469068</v>
      </c>
      <c r="G345" s="759">
        <v>3447899</v>
      </c>
      <c r="H345" s="759">
        <v>99</v>
      </c>
      <c r="I345" s="759">
        <v>0</v>
      </c>
      <c r="J345" s="759">
        <v>21</v>
      </c>
      <c r="K345" s="759" t="s">
        <v>456</v>
      </c>
    </row>
    <row r="346" spans="1:11" hidden="1">
      <c r="A346" s="759">
        <v>5</v>
      </c>
      <c r="B346" s="779" t="s">
        <v>457</v>
      </c>
      <c r="C346" s="759">
        <v>274</v>
      </c>
      <c r="D346" s="759">
        <v>5</v>
      </c>
      <c r="E346" s="759" t="s">
        <v>688</v>
      </c>
      <c r="F346" s="759">
        <v>228299</v>
      </c>
      <c r="G346" s="759">
        <v>227208</v>
      </c>
      <c r="H346" s="759">
        <v>100</v>
      </c>
      <c r="I346" s="759">
        <v>0</v>
      </c>
      <c r="J346" s="759">
        <v>21</v>
      </c>
      <c r="K346" s="759" t="s">
        <v>456</v>
      </c>
    </row>
    <row r="347" spans="1:11" hidden="1">
      <c r="A347" s="759">
        <v>6</v>
      </c>
      <c r="B347" s="779" t="s">
        <v>458</v>
      </c>
      <c r="C347" s="759">
        <v>309</v>
      </c>
      <c r="D347" s="759">
        <v>6</v>
      </c>
      <c r="E347" s="759" t="s">
        <v>688</v>
      </c>
      <c r="F347" s="759">
        <v>828389</v>
      </c>
      <c r="G347" s="759">
        <v>821569</v>
      </c>
      <c r="H347" s="759">
        <v>99</v>
      </c>
      <c r="I347" s="759">
        <v>0</v>
      </c>
      <c r="J347" s="759">
        <v>21</v>
      </c>
      <c r="K347" s="759" t="s">
        <v>454</v>
      </c>
    </row>
    <row r="348" spans="1:11" hidden="1">
      <c r="A348" s="759">
        <v>7</v>
      </c>
      <c r="B348" s="779" t="s">
        <v>459</v>
      </c>
      <c r="C348" s="759">
        <v>277</v>
      </c>
      <c r="D348" s="759">
        <v>7</v>
      </c>
      <c r="E348" s="759" t="s">
        <v>688</v>
      </c>
      <c r="F348" s="759">
        <v>453817</v>
      </c>
      <c r="G348" s="759">
        <v>449675</v>
      </c>
      <c r="H348" s="759">
        <v>99</v>
      </c>
      <c r="I348" s="759">
        <v>3</v>
      </c>
      <c r="J348" s="759">
        <v>21</v>
      </c>
      <c r="K348" s="759" t="s">
        <v>450</v>
      </c>
    </row>
    <row r="349" spans="1:11" hidden="1">
      <c r="A349" s="759"/>
      <c r="B349" s="777" t="s">
        <v>525</v>
      </c>
      <c r="C349" s="759"/>
      <c r="D349" s="759"/>
      <c r="E349" s="759"/>
      <c r="F349" s="759"/>
      <c r="G349" s="759"/>
      <c r="H349" s="759"/>
      <c r="I349" s="759"/>
      <c r="J349" s="759"/>
      <c r="K349" s="759"/>
    </row>
    <row r="350" spans="1:11" hidden="1">
      <c r="A350" s="759">
        <v>1</v>
      </c>
      <c r="B350" s="779" t="s">
        <v>1330</v>
      </c>
      <c r="C350" s="759" t="s">
        <v>1331</v>
      </c>
      <c r="D350" s="759">
        <v>1</v>
      </c>
      <c r="E350" s="759" t="s">
        <v>765</v>
      </c>
      <c r="F350" s="759"/>
      <c r="G350" s="759"/>
      <c r="H350" s="759"/>
      <c r="I350" s="759"/>
      <c r="J350" s="759"/>
      <c r="K350" s="759"/>
    </row>
    <row r="351" spans="1:11" hidden="1">
      <c r="A351" s="759">
        <v>2</v>
      </c>
      <c r="B351" s="779" t="s">
        <v>460</v>
      </c>
      <c r="C351" s="759">
        <v>875</v>
      </c>
      <c r="D351" s="759">
        <v>2</v>
      </c>
      <c r="E351" s="759" t="s">
        <v>688</v>
      </c>
      <c r="F351" s="759">
        <v>165279</v>
      </c>
      <c r="G351" s="759">
        <v>160228</v>
      </c>
      <c r="H351" s="759">
        <v>97</v>
      </c>
      <c r="I351" s="759">
        <v>0</v>
      </c>
      <c r="J351" s="759">
        <v>16</v>
      </c>
      <c r="K351" s="759" t="s">
        <v>454</v>
      </c>
    </row>
    <row r="352" spans="1:11" hidden="1">
      <c r="A352" s="759">
        <v>3</v>
      </c>
      <c r="B352" s="779" t="s">
        <v>461</v>
      </c>
      <c r="C352" s="759">
        <v>854</v>
      </c>
      <c r="D352" s="759">
        <v>3</v>
      </c>
      <c r="E352" s="759" t="s">
        <v>688</v>
      </c>
      <c r="F352" s="759">
        <v>832106</v>
      </c>
      <c r="G352" s="759">
        <v>819265</v>
      </c>
      <c r="H352" s="759">
        <v>98</v>
      </c>
      <c r="I352" s="759">
        <v>0</v>
      </c>
      <c r="J352" s="759">
        <v>16</v>
      </c>
      <c r="K352" s="759" t="s">
        <v>454</v>
      </c>
    </row>
    <row r="353" spans="1:11" hidden="1">
      <c r="A353" s="759">
        <v>4</v>
      </c>
      <c r="B353" s="779" t="s">
        <v>462</v>
      </c>
      <c r="C353" s="759">
        <v>306</v>
      </c>
      <c r="D353" s="759">
        <v>4</v>
      </c>
      <c r="E353" s="759" t="s">
        <v>688</v>
      </c>
      <c r="F353" s="759">
        <v>2032491</v>
      </c>
      <c r="G353" s="759">
        <v>2021441</v>
      </c>
      <c r="H353" s="759">
        <v>99</v>
      </c>
      <c r="I353" s="759">
        <v>2</v>
      </c>
      <c r="J353" s="759">
        <v>16</v>
      </c>
      <c r="K353" s="759" t="s">
        <v>450</v>
      </c>
    </row>
    <row r="354" spans="1:11" hidden="1">
      <c r="A354" s="759">
        <v>5</v>
      </c>
      <c r="B354" s="779" t="s">
        <v>463</v>
      </c>
      <c r="C354" s="759">
        <v>7100</v>
      </c>
      <c r="D354" s="759">
        <v>5</v>
      </c>
      <c r="E354" s="759" t="s">
        <v>688</v>
      </c>
      <c r="F354" s="759">
        <v>156959</v>
      </c>
      <c r="G354" s="759">
        <v>155712</v>
      </c>
      <c r="H354" s="759">
        <v>99</v>
      </c>
      <c r="I354" s="759">
        <v>0</v>
      </c>
      <c r="J354" s="759">
        <v>16</v>
      </c>
      <c r="K354" s="759" t="s">
        <v>456</v>
      </c>
    </row>
    <row r="355" spans="1:11" hidden="1">
      <c r="A355" s="759"/>
      <c r="B355" s="777" t="s">
        <v>464</v>
      </c>
      <c r="C355" s="759"/>
      <c r="D355" s="759"/>
      <c r="E355" s="759"/>
      <c r="F355" s="759"/>
      <c r="G355" s="759"/>
      <c r="H355" s="759"/>
      <c r="I355" s="759"/>
      <c r="J355" s="759"/>
      <c r="K355" s="759"/>
    </row>
    <row r="356" spans="1:11" hidden="1">
      <c r="A356" s="759">
        <v>1</v>
      </c>
      <c r="B356" s="779" t="s">
        <v>1330</v>
      </c>
      <c r="C356" s="759" t="s">
        <v>1331</v>
      </c>
      <c r="D356" s="759">
        <v>1</v>
      </c>
      <c r="E356" s="759" t="s">
        <v>765</v>
      </c>
      <c r="F356" s="759"/>
      <c r="G356" s="759"/>
      <c r="H356" s="759"/>
      <c r="I356" s="759"/>
      <c r="J356" s="759"/>
      <c r="K356" s="759"/>
    </row>
    <row r="357" spans="1:11" hidden="1">
      <c r="A357" s="759">
        <v>2</v>
      </c>
      <c r="B357" s="779" t="s">
        <v>992</v>
      </c>
      <c r="C357" s="759">
        <v>858</v>
      </c>
      <c r="D357" s="759">
        <v>2</v>
      </c>
      <c r="E357" s="759" t="s">
        <v>688</v>
      </c>
      <c r="F357" s="759">
        <v>4982132</v>
      </c>
      <c r="G357" s="759">
        <v>4882819</v>
      </c>
      <c r="H357" s="759">
        <v>98</v>
      </c>
      <c r="I357" s="759">
        <v>1</v>
      </c>
      <c r="J357" s="759">
        <v>21</v>
      </c>
      <c r="K357" s="759" t="s">
        <v>454</v>
      </c>
    </row>
    <row r="358" spans="1:11" hidden="1">
      <c r="A358" s="759">
        <v>3</v>
      </c>
      <c r="B358" s="779" t="s">
        <v>993</v>
      </c>
      <c r="C358" s="759">
        <v>284</v>
      </c>
      <c r="D358" s="759">
        <v>3</v>
      </c>
      <c r="E358" s="759" t="s">
        <v>688</v>
      </c>
      <c r="F358" s="759">
        <v>4182772</v>
      </c>
      <c r="G358" s="759">
        <v>4040930</v>
      </c>
      <c r="H358" s="759">
        <v>97</v>
      </c>
      <c r="I358" s="759">
        <v>0</v>
      </c>
      <c r="J358" s="759">
        <v>21</v>
      </c>
      <c r="K358" s="759" t="s">
        <v>454</v>
      </c>
    </row>
    <row r="359" spans="1:11" hidden="1">
      <c r="A359" s="759">
        <v>4</v>
      </c>
      <c r="B359" s="779" t="s">
        <v>994</v>
      </c>
      <c r="C359" s="759">
        <v>958</v>
      </c>
      <c r="D359" s="759">
        <v>4</v>
      </c>
      <c r="E359" s="759" t="s">
        <v>688</v>
      </c>
      <c r="F359" s="759">
        <v>1173428</v>
      </c>
      <c r="G359" s="759">
        <v>1170326</v>
      </c>
      <c r="H359" s="759">
        <v>100</v>
      </c>
      <c r="I359" s="759">
        <v>3</v>
      </c>
      <c r="J359" s="759">
        <v>21</v>
      </c>
      <c r="K359" s="759" t="s">
        <v>450</v>
      </c>
    </row>
    <row r="360" spans="1:11" hidden="1">
      <c r="A360" s="759">
        <v>5</v>
      </c>
      <c r="B360" s="779" t="s">
        <v>995</v>
      </c>
      <c r="C360" s="759">
        <v>959</v>
      </c>
      <c r="D360" s="759">
        <v>5</v>
      </c>
      <c r="E360" s="759" t="s">
        <v>688</v>
      </c>
      <c r="F360" s="759">
        <v>1714951</v>
      </c>
      <c r="G360" s="759">
        <v>1703443</v>
      </c>
      <c r="H360" s="759">
        <v>99</v>
      </c>
      <c r="I360" s="759">
        <v>0</v>
      </c>
      <c r="J360" s="759">
        <v>21</v>
      </c>
      <c r="K360" s="759" t="s">
        <v>454</v>
      </c>
    </row>
    <row r="361" spans="1:11" hidden="1">
      <c r="A361" s="759"/>
      <c r="B361" s="777" t="s">
        <v>996</v>
      </c>
      <c r="C361" s="759"/>
      <c r="D361" s="759"/>
      <c r="E361" s="759"/>
      <c r="F361" s="759"/>
      <c r="G361" s="759"/>
      <c r="H361" s="759"/>
      <c r="I361" s="759"/>
      <c r="J361" s="759"/>
      <c r="K361" s="759"/>
    </row>
    <row r="362" spans="1:11" hidden="1">
      <c r="A362" s="759">
        <v>1</v>
      </c>
      <c r="B362" s="779" t="s">
        <v>1330</v>
      </c>
      <c r="C362" s="759" t="s">
        <v>1331</v>
      </c>
      <c r="D362" s="759">
        <v>1</v>
      </c>
      <c r="E362" s="759" t="s">
        <v>765</v>
      </c>
      <c r="F362" s="759"/>
      <c r="G362" s="759"/>
      <c r="H362" s="759"/>
      <c r="I362" s="759"/>
      <c r="J362" s="759"/>
      <c r="K362" s="759"/>
    </row>
    <row r="363" spans="1:11" hidden="1">
      <c r="A363" s="759">
        <v>2</v>
      </c>
      <c r="B363" s="779" t="s">
        <v>997</v>
      </c>
      <c r="C363" s="759">
        <v>880</v>
      </c>
      <c r="D363" s="759">
        <v>2</v>
      </c>
      <c r="E363" s="759" t="s">
        <v>282</v>
      </c>
      <c r="F363" s="759">
        <v>66346</v>
      </c>
      <c r="G363" s="759">
        <v>55862</v>
      </c>
      <c r="H363" s="759">
        <v>84</v>
      </c>
      <c r="I363" s="759">
        <v>71</v>
      </c>
      <c r="J363" s="759">
        <v>31</v>
      </c>
      <c r="K363" s="759" t="s">
        <v>1212</v>
      </c>
    </row>
    <row r="364" spans="1:11" hidden="1">
      <c r="A364" s="759"/>
      <c r="B364" s="777" t="s">
        <v>998</v>
      </c>
      <c r="C364" s="759"/>
      <c r="D364" s="759"/>
      <c r="E364" s="759"/>
      <c r="F364" s="759"/>
      <c r="G364" s="759"/>
      <c r="H364" s="759"/>
      <c r="I364" s="759"/>
      <c r="J364" s="759"/>
      <c r="K364" s="759"/>
    </row>
    <row r="365" spans="1:11" hidden="1">
      <c r="A365" s="759">
        <v>1</v>
      </c>
      <c r="B365" s="779" t="s">
        <v>1330</v>
      </c>
      <c r="C365" s="759" t="s">
        <v>1331</v>
      </c>
      <c r="D365" s="759">
        <v>1</v>
      </c>
      <c r="E365" s="759" t="s">
        <v>765</v>
      </c>
      <c r="F365" s="759"/>
      <c r="G365" s="759"/>
      <c r="H365" s="759"/>
      <c r="I365" s="759"/>
      <c r="J365" s="759"/>
      <c r="K365" s="759"/>
    </row>
    <row r="366" spans="1:11" hidden="1">
      <c r="A366" s="759">
        <v>2</v>
      </c>
      <c r="B366" s="779" t="s">
        <v>999</v>
      </c>
      <c r="C366" s="759">
        <v>834</v>
      </c>
      <c r="D366" s="759">
        <v>2</v>
      </c>
      <c r="E366" s="759" t="s">
        <v>284</v>
      </c>
      <c r="F366" s="759">
        <v>1724249</v>
      </c>
      <c r="G366" s="759">
        <v>1307782</v>
      </c>
      <c r="H366" s="759">
        <v>76</v>
      </c>
      <c r="I366" s="759">
        <v>3</v>
      </c>
      <c r="J366" s="759">
        <v>19</v>
      </c>
      <c r="K366" s="759" t="s">
        <v>984</v>
      </c>
    </row>
    <row r="367" spans="1:11" hidden="1">
      <c r="A367" s="759">
        <v>3</v>
      </c>
      <c r="B367" s="779" t="s">
        <v>1000</v>
      </c>
      <c r="C367" s="759">
        <v>8041</v>
      </c>
      <c r="D367" s="759">
        <v>3</v>
      </c>
      <c r="E367" s="759" t="s">
        <v>282</v>
      </c>
      <c r="F367" s="759">
        <v>966895</v>
      </c>
      <c r="G367" s="759">
        <v>830306</v>
      </c>
      <c r="H367" s="759">
        <v>86</v>
      </c>
      <c r="I367" s="759">
        <v>6</v>
      </c>
      <c r="J367" s="759">
        <v>19</v>
      </c>
      <c r="K367" s="759" t="s">
        <v>984</v>
      </c>
    </row>
    <row r="368" spans="1:11" hidden="1">
      <c r="A368" s="759">
        <v>4</v>
      </c>
      <c r="B368" s="779" t="s">
        <v>1001</v>
      </c>
      <c r="C368" s="759">
        <v>941</v>
      </c>
      <c r="D368" s="759">
        <v>4</v>
      </c>
      <c r="E368" s="759" t="s">
        <v>282</v>
      </c>
      <c r="F368" s="759">
        <v>1202307</v>
      </c>
      <c r="G368" s="759">
        <v>1140985</v>
      </c>
      <c r="H368" s="759">
        <v>95</v>
      </c>
      <c r="I368" s="759">
        <v>1</v>
      </c>
      <c r="J368" s="759">
        <v>19</v>
      </c>
      <c r="K368" s="759" t="s">
        <v>987</v>
      </c>
    </row>
    <row r="369" spans="1:11" hidden="1">
      <c r="A369" s="759">
        <v>5</v>
      </c>
      <c r="B369" s="779" t="s">
        <v>1002</v>
      </c>
      <c r="C369" s="759">
        <v>9258</v>
      </c>
      <c r="D369" s="759">
        <v>5</v>
      </c>
      <c r="E369" s="759" t="s">
        <v>284</v>
      </c>
      <c r="F369" s="759">
        <v>75991</v>
      </c>
      <c r="G369" s="759">
        <v>57753</v>
      </c>
      <c r="H369" s="759">
        <v>76</v>
      </c>
      <c r="I369" s="759">
        <v>9</v>
      </c>
      <c r="J369" s="759">
        <v>19</v>
      </c>
      <c r="K369" s="759" t="s">
        <v>984</v>
      </c>
    </row>
    <row r="370" spans="1:11" hidden="1">
      <c r="A370" s="759">
        <v>6</v>
      </c>
      <c r="B370" s="779" t="s">
        <v>1003</v>
      </c>
      <c r="C370" s="759">
        <v>8043</v>
      </c>
      <c r="D370" s="759">
        <v>6</v>
      </c>
      <c r="E370" s="759" t="s">
        <v>282</v>
      </c>
      <c r="F370" s="759">
        <v>97430</v>
      </c>
      <c r="G370" s="759">
        <v>96400</v>
      </c>
      <c r="H370" s="759">
        <v>99</v>
      </c>
      <c r="I370" s="759">
        <v>18</v>
      </c>
      <c r="J370" s="759">
        <v>19</v>
      </c>
      <c r="K370" s="759" t="s">
        <v>245</v>
      </c>
    </row>
    <row r="371" spans="1:11" hidden="1">
      <c r="A371" s="759">
        <v>7</v>
      </c>
      <c r="B371" s="779" t="s">
        <v>1004</v>
      </c>
      <c r="C371" s="759">
        <v>922</v>
      </c>
      <c r="D371" s="759">
        <v>7</v>
      </c>
      <c r="E371" s="759" t="s">
        <v>284</v>
      </c>
      <c r="F371" s="759">
        <v>1010722</v>
      </c>
      <c r="G371" s="759">
        <v>735463</v>
      </c>
      <c r="H371" s="759">
        <v>73</v>
      </c>
      <c r="I371" s="759">
        <v>1</v>
      </c>
      <c r="J371" s="759">
        <v>19</v>
      </c>
      <c r="K371" s="759" t="s">
        <v>987</v>
      </c>
    </row>
    <row r="372" spans="1:11" hidden="1">
      <c r="A372" s="759">
        <v>8</v>
      </c>
      <c r="B372" s="779" t="s">
        <v>836</v>
      </c>
      <c r="C372" s="759">
        <v>9271</v>
      </c>
      <c r="D372" s="759">
        <v>8</v>
      </c>
      <c r="E372" s="759" t="s">
        <v>286</v>
      </c>
      <c r="F372" s="759">
        <v>252870</v>
      </c>
      <c r="G372" s="759">
        <v>131540</v>
      </c>
      <c r="H372" s="759">
        <v>52</v>
      </c>
      <c r="I372" s="759">
        <v>0</v>
      </c>
      <c r="J372" s="759">
        <v>19</v>
      </c>
      <c r="K372" s="759" t="s">
        <v>987</v>
      </c>
    </row>
    <row r="373" spans="1:11" hidden="1">
      <c r="A373" s="759">
        <v>9</v>
      </c>
      <c r="B373" s="779" t="s">
        <v>837</v>
      </c>
      <c r="C373" s="759">
        <v>917</v>
      </c>
      <c r="D373" s="759">
        <v>9</v>
      </c>
      <c r="E373" s="759" t="s">
        <v>284</v>
      </c>
      <c r="F373" s="759">
        <v>290082</v>
      </c>
      <c r="G373" s="759">
        <v>210130</v>
      </c>
      <c r="H373" s="759">
        <v>72</v>
      </c>
      <c r="I373" s="759">
        <v>6</v>
      </c>
      <c r="J373" s="759">
        <v>19</v>
      </c>
      <c r="K373" s="759" t="s">
        <v>984</v>
      </c>
    </row>
    <row r="374" spans="1:11" hidden="1">
      <c r="A374" s="759">
        <v>10</v>
      </c>
      <c r="B374" s="779" t="s">
        <v>838</v>
      </c>
      <c r="C374" s="759">
        <v>913</v>
      </c>
      <c r="D374" s="759">
        <v>10</v>
      </c>
      <c r="E374" s="759" t="s">
        <v>282</v>
      </c>
      <c r="F374" s="759">
        <v>444440</v>
      </c>
      <c r="G374" s="759">
        <v>369274</v>
      </c>
      <c r="H374" s="759">
        <v>83</v>
      </c>
      <c r="I374" s="759">
        <v>1</v>
      </c>
      <c r="J374" s="759">
        <v>19</v>
      </c>
      <c r="K374" s="759" t="s">
        <v>984</v>
      </c>
    </row>
    <row r="375" spans="1:11" hidden="1">
      <c r="A375" s="759">
        <v>11</v>
      </c>
      <c r="B375" s="779" t="s">
        <v>839</v>
      </c>
      <c r="C375" s="759">
        <v>942</v>
      </c>
      <c r="D375" s="759">
        <v>11</v>
      </c>
      <c r="E375" s="759" t="s">
        <v>282</v>
      </c>
      <c r="F375" s="759">
        <v>649646</v>
      </c>
      <c r="G375" s="759">
        <v>533890</v>
      </c>
      <c r="H375" s="759">
        <v>82</v>
      </c>
      <c r="I375" s="759">
        <v>6</v>
      </c>
      <c r="J375" s="759">
        <v>19</v>
      </c>
      <c r="K375" s="759" t="s">
        <v>984</v>
      </c>
    </row>
    <row r="376" spans="1:11" hidden="1">
      <c r="A376" s="759">
        <v>12</v>
      </c>
      <c r="B376" s="779" t="s">
        <v>800</v>
      </c>
      <c r="C376" s="759">
        <v>921</v>
      </c>
      <c r="D376" s="759">
        <v>12</v>
      </c>
      <c r="E376" s="759" t="s">
        <v>284</v>
      </c>
      <c r="F376" s="759">
        <v>252224</v>
      </c>
      <c r="G376" s="759">
        <v>187784</v>
      </c>
      <c r="H376" s="759">
        <v>74</v>
      </c>
      <c r="I376" s="759">
        <v>1</v>
      </c>
      <c r="J376" s="759">
        <v>19</v>
      </c>
      <c r="K376" s="759" t="s">
        <v>987</v>
      </c>
    </row>
    <row r="377" spans="1:11" hidden="1">
      <c r="A377" s="759">
        <v>13</v>
      </c>
      <c r="B377" s="779" t="s">
        <v>1540</v>
      </c>
      <c r="C377" s="759">
        <v>955</v>
      </c>
      <c r="D377" s="759">
        <v>13</v>
      </c>
      <c r="E377" s="759" t="s">
        <v>286</v>
      </c>
      <c r="F377" s="759">
        <v>879704</v>
      </c>
      <c r="G377" s="759">
        <v>445700</v>
      </c>
      <c r="H377" s="759">
        <v>51</v>
      </c>
      <c r="I377" s="759">
        <v>1</v>
      </c>
      <c r="J377" s="759">
        <v>19</v>
      </c>
      <c r="K377" s="759" t="s">
        <v>987</v>
      </c>
    </row>
    <row r="378" spans="1:11" hidden="1">
      <c r="A378" s="759">
        <v>14</v>
      </c>
      <c r="B378" s="779" t="s">
        <v>1541</v>
      </c>
      <c r="C378" s="759">
        <v>8044</v>
      </c>
      <c r="D378" s="759">
        <v>14</v>
      </c>
      <c r="E378" s="759" t="s">
        <v>282</v>
      </c>
      <c r="F378" s="759">
        <v>649418</v>
      </c>
      <c r="G378" s="759">
        <v>626001</v>
      </c>
      <c r="H378" s="759">
        <v>96</v>
      </c>
      <c r="I378" s="759">
        <v>6</v>
      </c>
      <c r="J378" s="759">
        <v>19</v>
      </c>
      <c r="K378" s="759" t="s">
        <v>984</v>
      </c>
    </row>
    <row r="379" spans="1:11" hidden="1">
      <c r="A379" s="759">
        <v>15</v>
      </c>
      <c r="B379" s="779" t="s">
        <v>1542</v>
      </c>
      <c r="C379" s="759">
        <v>8040</v>
      </c>
      <c r="D379" s="759">
        <v>15</v>
      </c>
      <c r="E379" s="759" t="s">
        <v>282</v>
      </c>
      <c r="F379" s="759">
        <v>412895</v>
      </c>
      <c r="G379" s="759">
        <v>348232</v>
      </c>
      <c r="H379" s="759">
        <v>84</v>
      </c>
      <c r="I379" s="759">
        <v>3</v>
      </c>
      <c r="J379" s="759">
        <v>19</v>
      </c>
      <c r="K379" s="759" t="s">
        <v>984</v>
      </c>
    </row>
    <row r="380" spans="1:11" hidden="1">
      <c r="A380" s="759"/>
      <c r="B380" s="777" t="s">
        <v>942</v>
      </c>
      <c r="C380" s="759"/>
      <c r="D380" s="759"/>
      <c r="E380" s="759"/>
      <c r="F380" s="759"/>
      <c r="G380" s="759"/>
      <c r="H380" s="759"/>
      <c r="I380" s="759"/>
      <c r="J380" s="759"/>
      <c r="K380" s="759"/>
    </row>
    <row r="381" spans="1:11" hidden="1">
      <c r="A381" s="759">
        <v>1</v>
      </c>
      <c r="B381" s="779" t="s">
        <v>1330</v>
      </c>
      <c r="C381" s="759" t="s">
        <v>1331</v>
      </c>
      <c r="D381" s="759">
        <v>1</v>
      </c>
      <c r="E381" s="759" t="s">
        <v>765</v>
      </c>
      <c r="F381" s="759"/>
      <c r="G381" s="759"/>
      <c r="H381" s="759"/>
      <c r="I381" s="759"/>
      <c r="J381" s="759"/>
      <c r="K381" s="759"/>
    </row>
    <row r="382" spans="1:11" hidden="1">
      <c r="A382" s="759">
        <v>2</v>
      </c>
      <c r="B382" s="779" t="s">
        <v>943</v>
      </c>
      <c r="C382" s="759">
        <v>1653</v>
      </c>
      <c r="D382" s="759">
        <v>2</v>
      </c>
      <c r="E382" s="759" t="s">
        <v>282</v>
      </c>
      <c r="F382" s="759">
        <v>288230</v>
      </c>
      <c r="G382" s="759">
        <v>287767</v>
      </c>
      <c r="H382" s="759">
        <v>100</v>
      </c>
      <c r="I382" s="759">
        <v>61</v>
      </c>
      <c r="J382" s="759">
        <v>16</v>
      </c>
      <c r="K382" s="759" t="s">
        <v>1212</v>
      </c>
    </row>
    <row r="383" spans="1:11" hidden="1">
      <c r="A383" s="759">
        <v>3</v>
      </c>
      <c r="B383" s="779" t="s">
        <v>944</v>
      </c>
      <c r="C383" s="759">
        <v>1669</v>
      </c>
      <c r="D383" s="759">
        <v>3</v>
      </c>
      <c r="E383" s="759" t="s">
        <v>282</v>
      </c>
      <c r="F383" s="759">
        <v>1542415</v>
      </c>
      <c r="G383" s="759">
        <v>1523007</v>
      </c>
      <c r="H383" s="759">
        <v>99</v>
      </c>
      <c r="I383" s="759">
        <v>0</v>
      </c>
      <c r="J383" s="759">
        <v>16</v>
      </c>
      <c r="K383" s="759" t="s">
        <v>522</v>
      </c>
    </row>
    <row r="384" spans="1:11" hidden="1">
      <c r="A384" s="759">
        <v>4</v>
      </c>
      <c r="B384" s="779" t="s">
        <v>945</v>
      </c>
      <c r="C384" s="759">
        <v>1654</v>
      </c>
      <c r="D384" s="759">
        <v>4</v>
      </c>
      <c r="E384" s="759" t="s">
        <v>282</v>
      </c>
      <c r="F384" s="759">
        <v>3597045</v>
      </c>
      <c r="G384" s="759">
        <v>3588604</v>
      </c>
      <c r="H384" s="759">
        <v>100</v>
      </c>
      <c r="I384" s="759">
        <v>15</v>
      </c>
      <c r="J384" s="759">
        <v>16</v>
      </c>
      <c r="K384" s="759" t="s">
        <v>245</v>
      </c>
    </row>
    <row r="385" spans="1:11" hidden="1">
      <c r="A385" s="759">
        <v>5</v>
      </c>
      <c r="B385" s="779" t="s">
        <v>946</v>
      </c>
      <c r="C385" s="759">
        <v>1652</v>
      </c>
      <c r="D385" s="759">
        <v>5</v>
      </c>
      <c r="E385" s="759" t="s">
        <v>282</v>
      </c>
      <c r="F385" s="759">
        <v>222772</v>
      </c>
      <c r="G385" s="759">
        <v>222360</v>
      </c>
      <c r="H385" s="759">
        <v>100</v>
      </c>
      <c r="I385" s="759">
        <v>40</v>
      </c>
      <c r="J385" s="759">
        <v>16</v>
      </c>
      <c r="K385" s="759" t="s">
        <v>1212</v>
      </c>
    </row>
    <row r="386" spans="1:11" hidden="1">
      <c r="A386" s="759">
        <v>6</v>
      </c>
      <c r="B386" s="779" t="s">
        <v>947</v>
      </c>
      <c r="C386" s="759">
        <v>1655</v>
      </c>
      <c r="D386" s="759">
        <v>6</v>
      </c>
      <c r="E386" s="759" t="s">
        <v>282</v>
      </c>
      <c r="F386" s="759">
        <v>788362</v>
      </c>
      <c r="G386" s="759">
        <v>785458</v>
      </c>
      <c r="H386" s="759">
        <v>100</v>
      </c>
      <c r="I386" s="759">
        <v>9</v>
      </c>
      <c r="J386" s="759">
        <v>16</v>
      </c>
      <c r="K386" s="759" t="s">
        <v>245</v>
      </c>
    </row>
    <row r="387" spans="1:11" hidden="1">
      <c r="A387" s="759">
        <v>7</v>
      </c>
      <c r="B387" s="779" t="s">
        <v>948</v>
      </c>
      <c r="C387" s="759">
        <v>1661</v>
      </c>
      <c r="D387" s="759">
        <v>7</v>
      </c>
      <c r="E387" s="759" t="s">
        <v>282</v>
      </c>
      <c r="F387" s="759">
        <v>744327</v>
      </c>
      <c r="G387" s="759">
        <v>735104</v>
      </c>
      <c r="H387" s="759">
        <v>99</v>
      </c>
      <c r="I387" s="759">
        <v>0</v>
      </c>
      <c r="J387" s="759">
        <v>16</v>
      </c>
      <c r="K387" s="759" t="s">
        <v>522</v>
      </c>
    </row>
    <row r="388" spans="1:11" hidden="1">
      <c r="A388" s="759">
        <v>8</v>
      </c>
      <c r="B388" s="779" t="s">
        <v>949</v>
      </c>
      <c r="C388" s="759">
        <v>1649</v>
      </c>
      <c r="D388" s="759">
        <v>8</v>
      </c>
      <c r="E388" s="759" t="s">
        <v>282</v>
      </c>
      <c r="F388" s="759">
        <v>1951249</v>
      </c>
      <c r="G388" s="759">
        <v>1606867</v>
      </c>
      <c r="H388" s="759">
        <v>82</v>
      </c>
      <c r="I388" s="759">
        <v>2</v>
      </c>
      <c r="J388" s="759">
        <v>16</v>
      </c>
      <c r="K388" s="759" t="s">
        <v>984</v>
      </c>
    </row>
    <row r="389" spans="1:11" hidden="1">
      <c r="A389" s="759">
        <v>9</v>
      </c>
      <c r="B389" s="779" t="s">
        <v>908</v>
      </c>
      <c r="C389" s="759">
        <v>9248</v>
      </c>
      <c r="D389" s="759">
        <v>9</v>
      </c>
      <c r="E389" s="759" t="s">
        <v>282</v>
      </c>
      <c r="F389" s="759">
        <v>162089</v>
      </c>
      <c r="G389" s="759">
        <v>161873</v>
      </c>
      <c r="H389" s="759">
        <v>100</v>
      </c>
      <c r="I389" s="759">
        <v>0</v>
      </c>
      <c r="J389" s="759">
        <v>16</v>
      </c>
      <c r="K389" s="759" t="s">
        <v>522</v>
      </c>
    </row>
    <row r="390" spans="1:11" hidden="1">
      <c r="A390" s="759">
        <v>10</v>
      </c>
      <c r="B390" s="779" t="s">
        <v>909</v>
      </c>
      <c r="C390" s="759">
        <v>310</v>
      </c>
      <c r="D390" s="759">
        <v>10</v>
      </c>
      <c r="E390" s="759" t="s">
        <v>282</v>
      </c>
      <c r="F390" s="759">
        <v>436052</v>
      </c>
      <c r="G390" s="759">
        <v>431920</v>
      </c>
      <c r="H390" s="759">
        <v>99</v>
      </c>
      <c r="I390" s="759">
        <v>0</v>
      </c>
      <c r="J390" s="759">
        <v>16</v>
      </c>
      <c r="K390" s="759" t="s">
        <v>522</v>
      </c>
    </row>
    <row r="391" spans="1:11" hidden="1">
      <c r="A391" s="759">
        <v>11</v>
      </c>
      <c r="B391" s="779" t="s">
        <v>910</v>
      </c>
      <c r="C391" s="759">
        <v>1647</v>
      </c>
      <c r="D391" s="759">
        <v>11</v>
      </c>
      <c r="E391" s="759" t="s">
        <v>282</v>
      </c>
      <c r="F391" s="759">
        <v>579438</v>
      </c>
      <c r="G391" s="759">
        <v>568374</v>
      </c>
      <c r="H391" s="759">
        <v>98</v>
      </c>
      <c r="I391" s="759">
        <v>0</v>
      </c>
      <c r="J391" s="759">
        <v>16</v>
      </c>
      <c r="K391" s="759" t="s">
        <v>522</v>
      </c>
    </row>
    <row r="392" spans="1:11" hidden="1">
      <c r="A392" s="759">
        <v>12</v>
      </c>
      <c r="B392" s="779" t="s">
        <v>911</v>
      </c>
      <c r="C392" s="759">
        <v>1651</v>
      </c>
      <c r="D392" s="759">
        <v>12</v>
      </c>
      <c r="E392" s="759" t="s">
        <v>282</v>
      </c>
      <c r="F392" s="759">
        <v>393252</v>
      </c>
      <c r="G392" s="759">
        <v>386557</v>
      </c>
      <c r="H392" s="759">
        <v>98</v>
      </c>
      <c r="I392" s="759">
        <v>0</v>
      </c>
      <c r="J392" s="759">
        <v>16</v>
      </c>
      <c r="K392" s="759" t="s">
        <v>522</v>
      </c>
    </row>
    <row r="393" spans="1:11" hidden="1">
      <c r="A393" s="759">
        <v>13</v>
      </c>
      <c r="B393" s="779" t="s">
        <v>912</v>
      </c>
      <c r="C393" s="759">
        <v>731</v>
      </c>
      <c r="D393" s="759">
        <v>13</v>
      </c>
      <c r="E393" s="759" t="s">
        <v>284</v>
      </c>
      <c r="F393" s="759">
        <v>1438721</v>
      </c>
      <c r="G393" s="759">
        <v>1079939</v>
      </c>
      <c r="H393" s="759">
        <v>75</v>
      </c>
      <c r="I393" s="759">
        <v>0</v>
      </c>
      <c r="J393" s="759">
        <v>16</v>
      </c>
      <c r="K393" s="759" t="s">
        <v>522</v>
      </c>
    </row>
    <row r="394" spans="1:11" hidden="1">
      <c r="A394" s="759">
        <v>14</v>
      </c>
      <c r="B394" s="779" t="s">
        <v>913</v>
      </c>
      <c r="C394" s="759">
        <v>1662</v>
      </c>
      <c r="D394" s="759">
        <v>14</v>
      </c>
      <c r="E394" s="759" t="s">
        <v>282</v>
      </c>
      <c r="F394" s="759">
        <v>2274904</v>
      </c>
      <c r="G394" s="759">
        <v>2245013</v>
      </c>
      <c r="H394" s="759">
        <v>99</v>
      </c>
      <c r="I394" s="759">
        <v>1</v>
      </c>
      <c r="J394" s="759">
        <v>16</v>
      </c>
      <c r="K394" s="759" t="s">
        <v>984</v>
      </c>
    </row>
    <row r="395" spans="1:11" hidden="1">
      <c r="A395" s="759">
        <v>15</v>
      </c>
      <c r="B395" s="779" t="s">
        <v>914</v>
      </c>
      <c r="C395" s="759">
        <v>1656</v>
      </c>
      <c r="D395" s="759">
        <v>15</v>
      </c>
      <c r="E395" s="759" t="s">
        <v>282</v>
      </c>
      <c r="F395" s="759">
        <v>80128</v>
      </c>
      <c r="G395" s="759">
        <v>79900</v>
      </c>
      <c r="H395" s="759">
        <v>100</v>
      </c>
      <c r="I395" s="759">
        <v>0</v>
      </c>
      <c r="J395" s="759">
        <v>16</v>
      </c>
      <c r="K395" s="759" t="s">
        <v>522</v>
      </c>
    </row>
    <row r="396" spans="1:11" hidden="1">
      <c r="A396" s="759">
        <v>16</v>
      </c>
      <c r="B396" s="779" t="s">
        <v>915</v>
      </c>
      <c r="C396" s="759">
        <v>1657</v>
      </c>
      <c r="D396" s="759">
        <v>16</v>
      </c>
      <c r="E396" s="759" t="s">
        <v>282</v>
      </c>
      <c r="F396" s="759">
        <v>74714</v>
      </c>
      <c r="G396" s="759">
        <v>74642</v>
      </c>
      <c r="H396" s="759">
        <v>100</v>
      </c>
      <c r="I396" s="759">
        <v>100</v>
      </c>
      <c r="J396" s="759">
        <v>16</v>
      </c>
      <c r="K396" s="759" t="s">
        <v>1212</v>
      </c>
    </row>
    <row r="397" spans="1:11" hidden="1">
      <c r="A397" s="759">
        <v>17</v>
      </c>
      <c r="B397" s="779" t="s">
        <v>916</v>
      </c>
      <c r="C397" s="759">
        <v>1659</v>
      </c>
      <c r="D397" s="759">
        <v>17</v>
      </c>
      <c r="E397" s="759" t="s">
        <v>282</v>
      </c>
      <c r="F397" s="759">
        <v>849661</v>
      </c>
      <c r="G397" s="759">
        <v>842203</v>
      </c>
      <c r="H397" s="759">
        <v>99</v>
      </c>
      <c r="I397" s="759">
        <v>0</v>
      </c>
      <c r="J397" s="759">
        <v>16</v>
      </c>
      <c r="K397" s="759" t="s">
        <v>987</v>
      </c>
    </row>
    <row r="398" spans="1:11" hidden="1">
      <c r="A398" s="759">
        <v>18</v>
      </c>
      <c r="B398" s="779" t="s">
        <v>917</v>
      </c>
      <c r="C398" s="759">
        <v>1665</v>
      </c>
      <c r="D398" s="759">
        <v>18</v>
      </c>
      <c r="E398" s="759" t="s">
        <v>282</v>
      </c>
      <c r="F398" s="759">
        <v>92790</v>
      </c>
      <c r="G398" s="759">
        <v>91941</v>
      </c>
      <c r="H398" s="759">
        <v>99</v>
      </c>
      <c r="I398" s="759">
        <v>0</v>
      </c>
      <c r="J398" s="759">
        <v>16</v>
      </c>
      <c r="K398" s="759" t="s">
        <v>522</v>
      </c>
    </row>
    <row r="399" spans="1:11" hidden="1">
      <c r="A399" s="759">
        <v>19</v>
      </c>
      <c r="B399" s="779" t="s">
        <v>918</v>
      </c>
      <c r="C399" s="759">
        <v>9284</v>
      </c>
      <c r="D399" s="759">
        <v>19</v>
      </c>
      <c r="E399" s="759" t="s">
        <v>282</v>
      </c>
      <c r="F399" s="759">
        <v>503275</v>
      </c>
      <c r="G399" s="759">
        <v>438746</v>
      </c>
      <c r="H399" s="759">
        <v>87</v>
      </c>
      <c r="I399" s="759">
        <v>0</v>
      </c>
      <c r="J399" s="759">
        <v>16</v>
      </c>
      <c r="K399" s="759" t="s">
        <v>987</v>
      </c>
    </row>
    <row r="400" spans="1:11" hidden="1">
      <c r="A400" s="759">
        <v>20</v>
      </c>
      <c r="B400" s="779" t="s">
        <v>919</v>
      </c>
      <c r="C400" s="759">
        <v>8038</v>
      </c>
      <c r="D400" s="759">
        <v>20</v>
      </c>
      <c r="E400" s="759" t="s">
        <v>286</v>
      </c>
      <c r="F400" s="759">
        <v>202725</v>
      </c>
      <c r="G400" s="759">
        <v>117693</v>
      </c>
      <c r="H400" s="759">
        <v>58</v>
      </c>
      <c r="I400" s="759">
        <v>0</v>
      </c>
      <c r="J400" s="759">
        <v>16</v>
      </c>
      <c r="K400" s="759" t="s">
        <v>522</v>
      </c>
    </row>
    <row r="401" spans="1:11" hidden="1">
      <c r="A401" s="759">
        <v>21</v>
      </c>
      <c r="B401" s="779" t="s">
        <v>920</v>
      </c>
      <c r="C401" s="759">
        <v>657</v>
      </c>
      <c r="D401" s="759">
        <v>21</v>
      </c>
      <c r="E401" s="759" t="s">
        <v>284</v>
      </c>
      <c r="F401" s="759">
        <v>321865</v>
      </c>
      <c r="G401" s="759">
        <v>253543</v>
      </c>
      <c r="H401" s="759">
        <v>79</v>
      </c>
      <c r="I401" s="759">
        <v>0</v>
      </c>
      <c r="J401" s="759">
        <v>16</v>
      </c>
      <c r="K401" s="759" t="s">
        <v>522</v>
      </c>
    </row>
    <row r="402" spans="1:11" hidden="1">
      <c r="A402" s="759">
        <v>22</v>
      </c>
      <c r="B402" s="779" t="s">
        <v>921</v>
      </c>
      <c r="C402" s="759">
        <v>9285</v>
      </c>
      <c r="D402" s="759">
        <v>22</v>
      </c>
      <c r="E402" s="759" t="s">
        <v>282</v>
      </c>
      <c r="F402" s="759">
        <v>145136</v>
      </c>
      <c r="G402" s="759">
        <v>142968</v>
      </c>
      <c r="H402" s="759">
        <v>99</v>
      </c>
      <c r="I402" s="759">
        <v>2</v>
      </c>
      <c r="J402" s="759">
        <v>16</v>
      </c>
      <c r="K402" s="759" t="s">
        <v>984</v>
      </c>
    </row>
    <row r="403" spans="1:11" hidden="1">
      <c r="A403" s="759"/>
      <c r="B403" s="777" t="s">
        <v>922</v>
      </c>
      <c r="C403" s="759"/>
      <c r="D403" s="759"/>
      <c r="E403" s="759"/>
      <c r="F403" s="759"/>
      <c r="G403" s="759"/>
      <c r="H403" s="759"/>
      <c r="I403" s="759"/>
      <c r="J403" s="759"/>
      <c r="K403" s="759"/>
    </row>
    <row r="404" spans="1:11" hidden="1">
      <c r="A404" s="759">
        <v>1</v>
      </c>
      <c r="B404" s="779" t="s">
        <v>1330</v>
      </c>
      <c r="C404" s="759" t="s">
        <v>1331</v>
      </c>
      <c r="D404" s="759">
        <v>1</v>
      </c>
      <c r="E404" s="759" t="s">
        <v>765</v>
      </c>
      <c r="F404" s="759"/>
      <c r="G404" s="759"/>
      <c r="H404" s="759"/>
      <c r="I404" s="759"/>
      <c r="J404" s="759"/>
      <c r="K404" s="759"/>
    </row>
    <row r="405" spans="1:11" hidden="1">
      <c r="A405" s="759">
        <v>2</v>
      </c>
      <c r="B405" s="779" t="s">
        <v>923</v>
      </c>
      <c r="C405" s="759">
        <v>940</v>
      </c>
      <c r="D405" s="759">
        <v>2</v>
      </c>
      <c r="E405" s="759" t="s">
        <v>282</v>
      </c>
      <c r="F405" s="759">
        <v>357068</v>
      </c>
      <c r="G405" s="759">
        <v>297984</v>
      </c>
      <c r="H405" s="759">
        <v>83</v>
      </c>
      <c r="I405" s="759">
        <v>60</v>
      </c>
      <c r="J405" s="759">
        <v>19</v>
      </c>
      <c r="K405" s="759" t="s">
        <v>1212</v>
      </c>
    </row>
    <row r="406" spans="1:11" hidden="1">
      <c r="A406" s="759">
        <v>3</v>
      </c>
      <c r="B406" s="779" t="s">
        <v>39</v>
      </c>
      <c r="C406" s="759">
        <v>9275</v>
      </c>
      <c r="D406" s="759">
        <v>3</v>
      </c>
      <c r="E406" s="759" t="s">
        <v>282</v>
      </c>
      <c r="F406" s="759">
        <v>27559</v>
      </c>
      <c r="G406" s="759">
        <v>27461</v>
      </c>
      <c r="H406" s="759">
        <v>100</v>
      </c>
      <c r="I406" s="759">
        <v>95</v>
      </c>
      <c r="J406" s="759">
        <v>19</v>
      </c>
      <c r="K406" s="759" t="s">
        <v>1212</v>
      </c>
    </row>
    <row r="407" spans="1:11" hidden="1">
      <c r="A407" s="759">
        <v>4</v>
      </c>
      <c r="B407" s="779" t="s">
        <v>40</v>
      </c>
      <c r="C407" s="759">
        <v>816</v>
      </c>
      <c r="D407" s="759">
        <v>4</v>
      </c>
      <c r="E407" s="759" t="s">
        <v>284</v>
      </c>
      <c r="F407" s="759">
        <v>272205</v>
      </c>
      <c r="G407" s="759">
        <v>180868</v>
      </c>
      <c r="H407" s="759">
        <v>66</v>
      </c>
      <c r="I407" s="759">
        <v>17</v>
      </c>
      <c r="J407" s="759">
        <v>19</v>
      </c>
      <c r="K407" s="759" t="s">
        <v>245</v>
      </c>
    </row>
    <row r="408" spans="1:11" hidden="1">
      <c r="A408" s="759">
        <v>5</v>
      </c>
      <c r="B408" s="779" t="s">
        <v>470</v>
      </c>
      <c r="C408" s="759">
        <v>867</v>
      </c>
      <c r="D408" s="759">
        <v>5</v>
      </c>
      <c r="E408" s="759" t="s">
        <v>282</v>
      </c>
      <c r="F408" s="759">
        <v>107055</v>
      </c>
      <c r="G408" s="759">
        <v>106619</v>
      </c>
      <c r="H408" s="759">
        <v>100</v>
      </c>
      <c r="I408" s="759">
        <v>92</v>
      </c>
      <c r="J408" s="759">
        <v>19</v>
      </c>
      <c r="K408" s="759" t="s">
        <v>1212</v>
      </c>
    </row>
    <row r="409" spans="1:11" hidden="1">
      <c r="A409" s="759">
        <v>6</v>
      </c>
      <c r="B409" s="779" t="s">
        <v>471</v>
      </c>
      <c r="C409" s="759">
        <v>695</v>
      </c>
      <c r="D409" s="759">
        <v>6</v>
      </c>
      <c r="E409" s="759" t="s">
        <v>284</v>
      </c>
      <c r="F409" s="759">
        <v>1983918</v>
      </c>
      <c r="G409" s="759">
        <v>1570844</v>
      </c>
      <c r="H409" s="759">
        <v>79</v>
      </c>
      <c r="I409" s="759">
        <v>17</v>
      </c>
      <c r="J409" s="759">
        <v>19</v>
      </c>
      <c r="K409" s="759" t="s">
        <v>245</v>
      </c>
    </row>
    <row r="410" spans="1:11" hidden="1">
      <c r="A410" s="759">
        <v>7</v>
      </c>
      <c r="B410" s="779" t="s">
        <v>472</v>
      </c>
      <c r="C410" s="759">
        <v>9277</v>
      </c>
      <c r="D410" s="759">
        <v>7</v>
      </c>
      <c r="E410" s="759" t="s">
        <v>282</v>
      </c>
      <c r="F410" s="759">
        <v>32350</v>
      </c>
      <c r="G410" s="759">
        <v>27652</v>
      </c>
      <c r="H410" s="759">
        <v>85</v>
      </c>
      <c r="I410" s="759">
        <v>0</v>
      </c>
      <c r="J410" s="759">
        <v>19</v>
      </c>
      <c r="K410" s="759" t="s">
        <v>522</v>
      </c>
    </row>
    <row r="411" spans="1:11" hidden="1">
      <c r="A411" s="759">
        <v>8</v>
      </c>
      <c r="B411" s="779" t="s">
        <v>473</v>
      </c>
      <c r="C411" s="759">
        <v>900</v>
      </c>
      <c r="D411" s="759">
        <v>8</v>
      </c>
      <c r="E411" s="759" t="s">
        <v>286</v>
      </c>
      <c r="F411" s="759">
        <v>353814</v>
      </c>
      <c r="G411" s="759">
        <v>178073</v>
      </c>
      <c r="H411" s="759">
        <v>50</v>
      </c>
      <c r="I411" s="759">
        <v>1</v>
      </c>
      <c r="J411" s="759">
        <v>19</v>
      </c>
      <c r="K411" s="759" t="s">
        <v>984</v>
      </c>
    </row>
    <row r="412" spans="1:11" hidden="1">
      <c r="A412" s="759">
        <v>9</v>
      </c>
      <c r="B412" s="779" t="s">
        <v>890</v>
      </c>
      <c r="C412" s="759">
        <v>9259</v>
      </c>
      <c r="D412" s="759">
        <v>9</v>
      </c>
      <c r="E412" s="759" t="s">
        <v>282</v>
      </c>
      <c r="F412" s="759">
        <v>278287</v>
      </c>
      <c r="G412" s="759">
        <v>275947</v>
      </c>
      <c r="H412" s="759">
        <v>99</v>
      </c>
      <c r="I412" s="759">
        <v>17</v>
      </c>
      <c r="J412" s="759">
        <v>19</v>
      </c>
      <c r="K412" s="759" t="s">
        <v>245</v>
      </c>
    </row>
    <row r="413" spans="1:11" hidden="1">
      <c r="A413" s="759">
        <v>10</v>
      </c>
      <c r="B413" s="779" t="s">
        <v>891</v>
      </c>
      <c r="C413" s="759">
        <v>9260</v>
      </c>
      <c r="D413" s="759">
        <v>10</v>
      </c>
      <c r="E413" s="759" t="s">
        <v>284</v>
      </c>
      <c r="F413" s="759">
        <v>315419</v>
      </c>
      <c r="G413" s="759">
        <v>252367</v>
      </c>
      <c r="H413" s="759">
        <v>80</v>
      </c>
      <c r="I413" s="759">
        <v>32</v>
      </c>
      <c r="J413" s="759">
        <v>19</v>
      </c>
      <c r="K413" s="759" t="s">
        <v>1212</v>
      </c>
    </row>
    <row r="414" spans="1:11" hidden="1">
      <c r="A414" s="759">
        <v>11</v>
      </c>
      <c r="B414" s="779" t="s">
        <v>892</v>
      </c>
      <c r="C414" s="759">
        <v>9252</v>
      </c>
      <c r="D414" s="759">
        <v>11</v>
      </c>
      <c r="E414" s="759" t="s">
        <v>282</v>
      </c>
      <c r="F414" s="759">
        <v>33885</v>
      </c>
      <c r="G414" s="759">
        <v>31585</v>
      </c>
      <c r="H414" s="759">
        <v>93</v>
      </c>
      <c r="I414" s="759">
        <v>40</v>
      </c>
      <c r="J414" s="759">
        <v>19</v>
      </c>
      <c r="K414" s="759" t="s">
        <v>1212</v>
      </c>
    </row>
    <row r="415" spans="1:11" hidden="1">
      <c r="A415" s="759">
        <v>12</v>
      </c>
      <c r="B415" s="779" t="s">
        <v>893</v>
      </c>
      <c r="C415" s="759">
        <v>877</v>
      </c>
      <c r="D415" s="759">
        <v>12</v>
      </c>
      <c r="E415" s="759" t="s">
        <v>284</v>
      </c>
      <c r="F415" s="759">
        <v>207537</v>
      </c>
      <c r="G415" s="759">
        <v>151513</v>
      </c>
      <c r="H415" s="759">
        <v>73</v>
      </c>
      <c r="I415" s="759">
        <v>30</v>
      </c>
      <c r="J415" s="759">
        <v>19</v>
      </c>
      <c r="K415" s="759" t="s">
        <v>1212</v>
      </c>
    </row>
    <row r="416" spans="1:11" hidden="1">
      <c r="A416" s="759">
        <v>13</v>
      </c>
      <c r="B416" s="779" t="s">
        <v>894</v>
      </c>
      <c r="C416" s="759">
        <v>923</v>
      </c>
      <c r="D416" s="759">
        <v>13</v>
      </c>
      <c r="E416" s="759" t="s">
        <v>282</v>
      </c>
      <c r="F416" s="759">
        <v>280478</v>
      </c>
      <c r="G416" s="759">
        <v>279334</v>
      </c>
      <c r="H416" s="759">
        <v>100</v>
      </c>
      <c r="I416" s="759">
        <v>95</v>
      </c>
      <c r="J416" s="759">
        <v>19</v>
      </c>
      <c r="K416" s="759" t="s">
        <v>1212</v>
      </c>
    </row>
    <row r="417" spans="1:11" hidden="1">
      <c r="A417" s="759">
        <v>14</v>
      </c>
      <c r="B417" s="779" t="s">
        <v>895</v>
      </c>
      <c r="C417" s="759">
        <v>962</v>
      </c>
      <c r="D417" s="759">
        <v>14</v>
      </c>
      <c r="E417" s="759" t="s">
        <v>282</v>
      </c>
      <c r="F417" s="759">
        <v>879899</v>
      </c>
      <c r="G417" s="759">
        <v>857420</v>
      </c>
      <c r="H417" s="759">
        <v>97</v>
      </c>
      <c r="I417" s="759">
        <v>2</v>
      </c>
      <c r="J417" s="759">
        <v>19</v>
      </c>
      <c r="K417" s="759" t="s">
        <v>984</v>
      </c>
    </row>
    <row r="418" spans="1:11" hidden="1">
      <c r="A418" s="759">
        <v>15</v>
      </c>
      <c r="B418" s="779" t="s">
        <v>896</v>
      </c>
      <c r="C418" s="759">
        <v>926</v>
      </c>
      <c r="D418" s="759">
        <v>15</v>
      </c>
      <c r="E418" s="759" t="s">
        <v>284</v>
      </c>
      <c r="F418" s="759">
        <v>617462</v>
      </c>
      <c r="G418" s="759">
        <v>484502</v>
      </c>
      <c r="H418" s="759">
        <v>78</v>
      </c>
      <c r="I418" s="759">
        <v>4</v>
      </c>
      <c r="J418" s="759">
        <v>19</v>
      </c>
      <c r="K418" s="759" t="s">
        <v>984</v>
      </c>
    </row>
    <row r="419" spans="1:11" hidden="1">
      <c r="A419" s="759">
        <v>16</v>
      </c>
      <c r="B419" s="779" t="s">
        <v>897</v>
      </c>
      <c r="C419" s="759">
        <v>9263</v>
      </c>
      <c r="D419" s="759">
        <v>16</v>
      </c>
      <c r="E419" s="759" t="s">
        <v>282</v>
      </c>
      <c r="F419" s="759">
        <v>16978</v>
      </c>
      <c r="G419" s="759">
        <v>16915</v>
      </c>
      <c r="H419" s="759">
        <v>100</v>
      </c>
      <c r="I419" s="759">
        <v>92</v>
      </c>
      <c r="J419" s="759">
        <v>19</v>
      </c>
      <c r="K419" s="759" t="s">
        <v>1212</v>
      </c>
    </row>
    <row r="420" spans="1:11" hidden="1">
      <c r="A420" s="759">
        <v>17</v>
      </c>
      <c r="B420" s="779" t="s">
        <v>898</v>
      </c>
      <c r="C420" s="759">
        <v>9262</v>
      </c>
      <c r="D420" s="759">
        <v>17</v>
      </c>
      <c r="E420" s="759" t="s">
        <v>282</v>
      </c>
      <c r="F420" s="759">
        <v>139646</v>
      </c>
      <c r="G420" s="759">
        <v>128956</v>
      </c>
      <c r="H420" s="759">
        <v>92</v>
      </c>
      <c r="I420" s="759">
        <v>27</v>
      </c>
      <c r="J420" s="759">
        <v>19</v>
      </c>
      <c r="K420" s="759" t="s">
        <v>1212</v>
      </c>
    </row>
    <row r="421" spans="1:11" hidden="1">
      <c r="A421" s="759">
        <v>18</v>
      </c>
      <c r="B421" s="779" t="s">
        <v>899</v>
      </c>
      <c r="C421" s="759">
        <v>915</v>
      </c>
      <c r="D421" s="759">
        <v>18</v>
      </c>
      <c r="E421" s="759" t="s">
        <v>282</v>
      </c>
      <c r="F421" s="759">
        <v>94291</v>
      </c>
      <c r="G421" s="759">
        <v>78944</v>
      </c>
      <c r="H421" s="759">
        <v>84</v>
      </c>
      <c r="I421" s="759">
        <v>37</v>
      </c>
      <c r="J421" s="759">
        <v>19</v>
      </c>
      <c r="K421" s="759" t="s">
        <v>1212</v>
      </c>
    </row>
    <row r="422" spans="1:11" hidden="1">
      <c r="A422" s="759">
        <v>19</v>
      </c>
      <c r="B422" s="779" t="s">
        <v>900</v>
      </c>
      <c r="C422" s="759">
        <v>925</v>
      </c>
      <c r="D422" s="759">
        <v>19</v>
      </c>
      <c r="E422" s="759" t="s">
        <v>284</v>
      </c>
      <c r="F422" s="759">
        <v>430665</v>
      </c>
      <c r="G422" s="759">
        <v>340059</v>
      </c>
      <c r="H422" s="759">
        <v>79</v>
      </c>
      <c r="I422" s="759">
        <v>5</v>
      </c>
      <c r="J422" s="759">
        <v>19</v>
      </c>
      <c r="K422" s="759" t="s">
        <v>984</v>
      </c>
    </row>
    <row r="423" spans="1:11" hidden="1">
      <c r="A423" s="759">
        <v>20</v>
      </c>
      <c r="B423" s="779" t="s">
        <v>1575</v>
      </c>
      <c r="C423" s="759">
        <v>326</v>
      </c>
      <c r="D423" s="759">
        <v>20</v>
      </c>
      <c r="E423" s="759" t="s">
        <v>282</v>
      </c>
      <c r="F423" s="759">
        <v>118943</v>
      </c>
      <c r="G423" s="759">
        <v>109380</v>
      </c>
      <c r="H423" s="759">
        <v>92</v>
      </c>
      <c r="I423" s="759">
        <v>16</v>
      </c>
      <c r="J423" s="759">
        <v>19</v>
      </c>
      <c r="K423" s="759" t="s">
        <v>245</v>
      </c>
    </row>
    <row r="424" spans="1:11" hidden="1">
      <c r="A424" s="759">
        <v>21</v>
      </c>
      <c r="B424" s="779" t="s">
        <v>1576</v>
      </c>
      <c r="C424" s="759">
        <v>9261</v>
      </c>
      <c r="D424" s="759">
        <v>21</v>
      </c>
      <c r="E424" s="759" t="s">
        <v>282</v>
      </c>
      <c r="F424" s="759">
        <v>614593</v>
      </c>
      <c r="G424" s="759">
        <v>552011</v>
      </c>
      <c r="H424" s="759">
        <v>90</v>
      </c>
      <c r="I424" s="759">
        <v>61</v>
      </c>
      <c r="J424" s="759">
        <v>19</v>
      </c>
      <c r="K424" s="759" t="s">
        <v>1212</v>
      </c>
    </row>
    <row r="425" spans="1:11" hidden="1">
      <c r="A425" s="759">
        <v>22</v>
      </c>
      <c r="B425" s="779" t="s">
        <v>1577</v>
      </c>
      <c r="C425" s="759">
        <v>904</v>
      </c>
      <c r="D425" s="759">
        <v>22</v>
      </c>
      <c r="E425" s="759" t="s">
        <v>286</v>
      </c>
      <c r="F425" s="759">
        <v>342613</v>
      </c>
      <c r="G425" s="759">
        <v>203384</v>
      </c>
      <c r="H425" s="759">
        <v>59</v>
      </c>
      <c r="I425" s="759">
        <v>1</v>
      </c>
      <c r="J425" s="759">
        <v>19</v>
      </c>
      <c r="K425" s="759" t="s">
        <v>984</v>
      </c>
    </row>
    <row r="426" spans="1:11" hidden="1">
      <c r="A426" s="759">
        <v>23</v>
      </c>
      <c r="B426" s="779" t="s">
        <v>1578</v>
      </c>
      <c r="C426" s="759">
        <v>223</v>
      </c>
      <c r="D426" s="759">
        <v>23</v>
      </c>
      <c r="E426" s="759" t="s">
        <v>282</v>
      </c>
      <c r="F426" s="759">
        <v>14938</v>
      </c>
      <c r="G426" s="759">
        <v>14639</v>
      </c>
      <c r="H426" s="759">
        <v>98</v>
      </c>
      <c r="I426" s="759">
        <v>17</v>
      </c>
      <c r="J426" s="759">
        <v>19</v>
      </c>
      <c r="K426" s="759" t="s">
        <v>245</v>
      </c>
    </row>
    <row r="427" spans="1:11" hidden="1">
      <c r="A427" s="759">
        <v>24</v>
      </c>
      <c r="B427" s="779" t="s">
        <v>1579</v>
      </c>
      <c r="C427" s="759">
        <v>9254</v>
      </c>
      <c r="D427" s="759">
        <v>24</v>
      </c>
      <c r="E427" s="759" t="s">
        <v>284</v>
      </c>
      <c r="F427" s="759">
        <v>125105</v>
      </c>
      <c r="G427" s="759">
        <v>81635</v>
      </c>
      <c r="H427" s="759">
        <v>65</v>
      </c>
      <c r="I427" s="759">
        <v>10</v>
      </c>
      <c r="J427" s="759">
        <v>19</v>
      </c>
      <c r="K427" s="759" t="s">
        <v>245</v>
      </c>
    </row>
    <row r="428" spans="1:11" hidden="1">
      <c r="A428" s="759">
        <v>25</v>
      </c>
      <c r="B428" s="779" t="s">
        <v>1580</v>
      </c>
      <c r="C428" s="759">
        <v>9278</v>
      </c>
      <c r="D428" s="759">
        <v>25</v>
      </c>
      <c r="E428" s="759" t="s">
        <v>286</v>
      </c>
      <c r="F428" s="759">
        <v>69362</v>
      </c>
      <c r="G428" s="759">
        <v>29181</v>
      </c>
      <c r="H428" s="759">
        <v>42</v>
      </c>
      <c r="I428" s="759">
        <v>0</v>
      </c>
      <c r="J428" s="759">
        <v>19</v>
      </c>
      <c r="K428" s="759" t="s">
        <v>522</v>
      </c>
    </row>
    <row r="429" spans="1:11" hidden="1">
      <c r="A429" s="759">
        <v>26</v>
      </c>
      <c r="B429" s="779" t="s">
        <v>1581</v>
      </c>
      <c r="C429" s="759">
        <v>8049</v>
      </c>
      <c r="D429" s="759">
        <v>26</v>
      </c>
      <c r="E429" s="759" t="s">
        <v>690</v>
      </c>
      <c r="F429" s="759">
        <v>881795</v>
      </c>
      <c r="G429" s="759">
        <v>653957</v>
      </c>
      <c r="H429" s="759">
        <v>74</v>
      </c>
      <c r="I429" s="759">
        <v>9</v>
      </c>
      <c r="J429" s="759">
        <v>19</v>
      </c>
      <c r="K429" s="759" t="s">
        <v>450</v>
      </c>
    </row>
    <row r="430" spans="1:11" hidden="1">
      <c r="A430" s="759"/>
      <c r="B430" s="777" t="s">
        <v>1582</v>
      </c>
      <c r="C430" s="759"/>
      <c r="D430" s="759"/>
      <c r="E430" s="759"/>
      <c r="F430" s="759"/>
      <c r="G430" s="759"/>
      <c r="H430" s="759"/>
      <c r="I430" s="759"/>
      <c r="J430" s="759"/>
      <c r="K430" s="759"/>
    </row>
    <row r="431" spans="1:11" hidden="1">
      <c r="A431" s="759">
        <v>1</v>
      </c>
      <c r="B431" s="779" t="s">
        <v>1330</v>
      </c>
      <c r="C431" s="759" t="s">
        <v>1331</v>
      </c>
      <c r="D431" s="759">
        <v>1</v>
      </c>
      <c r="E431" s="759" t="s">
        <v>765</v>
      </c>
      <c r="F431" s="759"/>
      <c r="G431" s="759"/>
      <c r="H431" s="759"/>
      <c r="I431" s="759"/>
      <c r="J431" s="759"/>
      <c r="K431" s="759"/>
    </row>
    <row r="432" spans="1:11" hidden="1">
      <c r="A432" s="759">
        <v>2</v>
      </c>
      <c r="B432" s="779" t="s">
        <v>1583</v>
      </c>
      <c r="C432" s="759">
        <v>863</v>
      </c>
      <c r="D432" s="759">
        <v>2</v>
      </c>
      <c r="E432" s="759" t="s">
        <v>282</v>
      </c>
      <c r="F432" s="759">
        <v>199530</v>
      </c>
      <c r="G432" s="759">
        <v>169605</v>
      </c>
      <c r="H432" s="759">
        <v>85</v>
      </c>
      <c r="I432" s="759">
        <v>6</v>
      </c>
      <c r="J432" s="759">
        <v>24</v>
      </c>
      <c r="K432" s="759" t="s">
        <v>984</v>
      </c>
    </row>
    <row r="433" spans="1:11" hidden="1">
      <c r="A433" s="759">
        <v>3</v>
      </c>
      <c r="B433" s="779" t="s">
        <v>1584</v>
      </c>
      <c r="C433" s="759">
        <v>8098</v>
      </c>
      <c r="D433" s="759">
        <v>3</v>
      </c>
      <c r="E433" s="759" t="s">
        <v>284</v>
      </c>
      <c r="F433" s="759">
        <v>10962</v>
      </c>
      <c r="G433" s="759">
        <v>8146</v>
      </c>
      <c r="H433" s="759">
        <v>74</v>
      </c>
      <c r="I433" s="759">
        <v>6</v>
      </c>
      <c r="J433" s="759">
        <v>24</v>
      </c>
      <c r="K433" s="759" t="s">
        <v>984</v>
      </c>
    </row>
    <row r="434" spans="1:11" hidden="1">
      <c r="A434" s="759">
        <v>4</v>
      </c>
      <c r="B434" s="779" t="s">
        <v>1585</v>
      </c>
      <c r="C434" s="759">
        <v>9279</v>
      </c>
      <c r="D434" s="759">
        <v>4</v>
      </c>
      <c r="E434" s="759" t="s">
        <v>284</v>
      </c>
      <c r="F434" s="759">
        <v>102501</v>
      </c>
      <c r="G434" s="759">
        <v>81370</v>
      </c>
      <c r="H434" s="759">
        <v>79</v>
      </c>
      <c r="I434" s="759">
        <v>0</v>
      </c>
      <c r="J434" s="759">
        <v>24</v>
      </c>
      <c r="K434" s="759" t="s">
        <v>987</v>
      </c>
    </row>
    <row r="435" spans="1:11" hidden="1">
      <c r="A435" s="759">
        <v>5</v>
      </c>
      <c r="B435" s="779" t="s">
        <v>1167</v>
      </c>
      <c r="C435" s="759">
        <v>859</v>
      </c>
      <c r="D435" s="759">
        <v>5</v>
      </c>
      <c r="E435" s="759" t="s">
        <v>282</v>
      </c>
      <c r="F435" s="759">
        <v>203098</v>
      </c>
      <c r="G435" s="759">
        <v>171727</v>
      </c>
      <c r="H435" s="759">
        <v>85</v>
      </c>
      <c r="I435" s="759">
        <v>21</v>
      </c>
      <c r="J435" s="759">
        <v>24</v>
      </c>
      <c r="K435" s="759" t="s">
        <v>245</v>
      </c>
    </row>
    <row r="436" spans="1:11" hidden="1">
      <c r="A436" s="759">
        <v>6</v>
      </c>
      <c r="B436" s="779" t="s">
        <v>1168</v>
      </c>
      <c r="C436" s="759">
        <v>918</v>
      </c>
      <c r="D436" s="759">
        <v>6</v>
      </c>
      <c r="E436" s="759" t="s">
        <v>282</v>
      </c>
      <c r="F436" s="759">
        <v>47845</v>
      </c>
      <c r="G436" s="759">
        <v>42169</v>
      </c>
      <c r="H436" s="759">
        <v>88</v>
      </c>
      <c r="I436" s="759">
        <v>16</v>
      </c>
      <c r="J436" s="759">
        <v>24</v>
      </c>
      <c r="K436" s="759" t="s">
        <v>245</v>
      </c>
    </row>
    <row r="437" spans="1:11" hidden="1">
      <c r="A437" s="759">
        <v>7</v>
      </c>
      <c r="B437" s="779" t="s">
        <v>1169</v>
      </c>
      <c r="C437" s="759">
        <v>884</v>
      </c>
      <c r="D437" s="759">
        <v>7</v>
      </c>
      <c r="E437" s="759" t="s">
        <v>282</v>
      </c>
      <c r="F437" s="759">
        <v>206630</v>
      </c>
      <c r="G437" s="759">
        <v>201836</v>
      </c>
      <c r="H437" s="759">
        <v>98</v>
      </c>
      <c r="I437" s="759">
        <v>14</v>
      </c>
      <c r="J437" s="759">
        <v>24</v>
      </c>
      <c r="K437" s="759" t="s">
        <v>245</v>
      </c>
    </row>
    <row r="438" spans="1:11" hidden="1">
      <c r="A438" s="759">
        <v>8</v>
      </c>
      <c r="B438" s="779" t="s">
        <v>1170</v>
      </c>
      <c r="C438" s="759">
        <v>693</v>
      </c>
      <c r="D438" s="759">
        <v>8</v>
      </c>
      <c r="E438" s="759" t="s">
        <v>282</v>
      </c>
      <c r="F438" s="759">
        <v>116701</v>
      </c>
      <c r="G438" s="759">
        <v>111526</v>
      </c>
      <c r="H438" s="759">
        <v>96</v>
      </c>
      <c r="I438" s="759">
        <v>39</v>
      </c>
      <c r="J438" s="759">
        <v>24</v>
      </c>
      <c r="K438" s="759" t="s">
        <v>1212</v>
      </c>
    </row>
    <row r="439" spans="1:11" hidden="1">
      <c r="A439" s="759">
        <v>9</v>
      </c>
      <c r="B439" s="779" t="s">
        <v>1171</v>
      </c>
      <c r="C439" s="759">
        <v>9276</v>
      </c>
      <c r="D439" s="759">
        <v>9</v>
      </c>
      <c r="E439" s="759" t="s">
        <v>282</v>
      </c>
      <c r="F439" s="759">
        <v>68295</v>
      </c>
      <c r="G439" s="759">
        <v>64108</v>
      </c>
      <c r="H439" s="759">
        <v>94</v>
      </c>
      <c r="I439" s="759">
        <v>8</v>
      </c>
      <c r="J439" s="759">
        <v>24</v>
      </c>
      <c r="K439" s="759" t="s">
        <v>984</v>
      </c>
    </row>
    <row r="440" spans="1:11" hidden="1">
      <c r="A440" s="759">
        <v>10</v>
      </c>
      <c r="B440" s="779" t="s">
        <v>1172</v>
      </c>
      <c r="C440" s="759">
        <v>835</v>
      </c>
      <c r="D440" s="759">
        <v>10</v>
      </c>
      <c r="E440" s="759" t="s">
        <v>282</v>
      </c>
      <c r="F440" s="759">
        <v>26009</v>
      </c>
      <c r="G440" s="759">
        <v>23257</v>
      </c>
      <c r="H440" s="759">
        <v>89</v>
      </c>
      <c r="I440" s="759">
        <v>0</v>
      </c>
      <c r="J440" s="759">
        <v>24</v>
      </c>
      <c r="K440" s="759" t="s">
        <v>522</v>
      </c>
    </row>
    <row r="441" spans="1:11" hidden="1">
      <c r="A441" s="759">
        <v>11</v>
      </c>
      <c r="B441" s="779" t="s">
        <v>1173</v>
      </c>
      <c r="C441" s="759">
        <v>882</v>
      </c>
      <c r="D441" s="759">
        <v>11</v>
      </c>
      <c r="E441" s="759" t="s">
        <v>282</v>
      </c>
      <c r="F441" s="759">
        <v>133827</v>
      </c>
      <c r="G441" s="759">
        <v>133433</v>
      </c>
      <c r="H441" s="759">
        <v>100</v>
      </c>
      <c r="I441" s="759">
        <v>98</v>
      </c>
      <c r="J441" s="759">
        <v>24</v>
      </c>
      <c r="K441" s="759" t="s">
        <v>1212</v>
      </c>
    </row>
    <row r="442" spans="1:11" hidden="1">
      <c r="A442" s="759">
        <v>12</v>
      </c>
      <c r="B442" s="779" t="s">
        <v>1174</v>
      </c>
      <c r="C442" s="759">
        <v>825</v>
      </c>
      <c r="D442" s="759">
        <v>12</v>
      </c>
      <c r="E442" s="759" t="s">
        <v>282</v>
      </c>
      <c r="F442" s="759">
        <v>199813</v>
      </c>
      <c r="G442" s="759">
        <v>181269</v>
      </c>
      <c r="H442" s="759">
        <v>91</v>
      </c>
      <c r="I442" s="759">
        <v>8</v>
      </c>
      <c r="J442" s="759">
        <v>24</v>
      </c>
      <c r="K442" s="759" t="s">
        <v>984</v>
      </c>
    </row>
    <row r="443" spans="1:11" hidden="1">
      <c r="A443" s="759">
        <v>13</v>
      </c>
      <c r="B443" s="779" t="s">
        <v>961</v>
      </c>
      <c r="C443" s="759">
        <v>914</v>
      </c>
      <c r="D443" s="759">
        <v>13</v>
      </c>
      <c r="E443" s="759" t="s">
        <v>282</v>
      </c>
      <c r="F443" s="759">
        <v>43499</v>
      </c>
      <c r="G443" s="759">
        <v>42782</v>
      </c>
      <c r="H443" s="759">
        <v>98</v>
      </c>
      <c r="I443" s="759">
        <v>95</v>
      </c>
      <c r="J443" s="759">
        <v>24</v>
      </c>
      <c r="K443" s="759" t="s">
        <v>1212</v>
      </c>
    </row>
    <row r="444" spans="1:11" hidden="1">
      <c r="A444" s="759">
        <v>14</v>
      </c>
      <c r="B444" s="779" t="s">
        <v>119</v>
      </c>
      <c r="C444" s="759">
        <v>8095</v>
      </c>
      <c r="D444" s="759">
        <v>14</v>
      </c>
      <c r="E444" s="759" t="s">
        <v>282</v>
      </c>
      <c r="F444" s="759">
        <v>89203</v>
      </c>
      <c r="G444" s="759">
        <v>83952</v>
      </c>
      <c r="H444" s="759">
        <v>94</v>
      </c>
      <c r="I444" s="759">
        <v>10</v>
      </c>
      <c r="J444" s="759">
        <v>24</v>
      </c>
      <c r="K444" s="759" t="s">
        <v>984</v>
      </c>
    </row>
    <row r="445" spans="1:11" hidden="1">
      <c r="A445" s="759">
        <v>15</v>
      </c>
      <c r="B445" s="779" t="s">
        <v>120</v>
      </c>
      <c r="C445" s="759">
        <v>920</v>
      </c>
      <c r="D445" s="759">
        <v>15</v>
      </c>
      <c r="E445" s="759" t="s">
        <v>282</v>
      </c>
      <c r="F445" s="759">
        <v>231612</v>
      </c>
      <c r="G445" s="759">
        <v>199640</v>
      </c>
      <c r="H445" s="759">
        <v>86</v>
      </c>
      <c r="I445" s="759">
        <v>0</v>
      </c>
      <c r="J445" s="759">
        <v>24</v>
      </c>
      <c r="K445" s="759" t="s">
        <v>522</v>
      </c>
    </row>
    <row r="446" spans="1:11" hidden="1">
      <c r="A446" s="759">
        <v>16</v>
      </c>
      <c r="B446" s="779" t="s">
        <v>121</v>
      </c>
      <c r="C446" s="759">
        <v>881</v>
      </c>
      <c r="D446" s="759">
        <v>16</v>
      </c>
      <c r="E446" s="759" t="s">
        <v>282</v>
      </c>
      <c r="F446" s="759">
        <v>256559</v>
      </c>
      <c r="G446" s="759">
        <v>233945</v>
      </c>
      <c r="H446" s="759">
        <v>91</v>
      </c>
      <c r="I446" s="759">
        <v>5</v>
      </c>
      <c r="J446" s="759">
        <v>24</v>
      </c>
      <c r="K446" s="759" t="s">
        <v>984</v>
      </c>
    </row>
    <row r="447" spans="1:11" hidden="1">
      <c r="A447" s="759">
        <v>17</v>
      </c>
      <c r="B447" s="779" t="s">
        <v>122</v>
      </c>
      <c r="C447" s="759">
        <v>961</v>
      </c>
      <c r="D447" s="759">
        <v>17</v>
      </c>
      <c r="E447" s="759" t="s">
        <v>284</v>
      </c>
      <c r="F447" s="759">
        <v>412127</v>
      </c>
      <c r="G447" s="759">
        <v>326323</v>
      </c>
      <c r="H447" s="759">
        <v>79</v>
      </c>
      <c r="I447" s="759">
        <v>2</v>
      </c>
      <c r="J447" s="759">
        <v>24</v>
      </c>
      <c r="K447" s="759" t="s">
        <v>984</v>
      </c>
    </row>
    <row r="448" spans="1:11" hidden="1">
      <c r="A448" s="759">
        <v>18</v>
      </c>
      <c r="B448" s="779" t="s">
        <v>123</v>
      </c>
      <c r="C448" s="759">
        <v>8036</v>
      </c>
      <c r="D448" s="759">
        <v>18</v>
      </c>
      <c r="E448" s="759" t="s">
        <v>282</v>
      </c>
      <c r="F448" s="759">
        <v>264720</v>
      </c>
      <c r="G448" s="759">
        <v>246059</v>
      </c>
      <c r="H448" s="759">
        <v>93</v>
      </c>
      <c r="I448" s="759">
        <v>1</v>
      </c>
      <c r="J448" s="759">
        <v>24</v>
      </c>
      <c r="K448" s="759" t="s">
        <v>984</v>
      </c>
    </row>
    <row r="449" spans="1:11" hidden="1">
      <c r="A449" s="759">
        <v>19</v>
      </c>
      <c r="B449" s="779" t="s">
        <v>124</v>
      </c>
      <c r="C449" s="759">
        <v>9241</v>
      </c>
      <c r="D449" s="759">
        <v>19</v>
      </c>
      <c r="E449" s="759" t="s">
        <v>282</v>
      </c>
      <c r="F449" s="759">
        <v>33</v>
      </c>
      <c r="G449" s="759">
        <v>33</v>
      </c>
      <c r="H449" s="759">
        <v>100</v>
      </c>
      <c r="I449" s="759">
        <v>0</v>
      </c>
      <c r="J449" s="759">
        <v>24</v>
      </c>
      <c r="K449" s="759" t="s">
        <v>522</v>
      </c>
    </row>
    <row r="450" spans="1:11" hidden="1">
      <c r="A450" s="759">
        <v>20</v>
      </c>
      <c r="B450" s="779" t="s">
        <v>125</v>
      </c>
      <c r="C450" s="759">
        <v>956</v>
      </c>
      <c r="D450" s="759">
        <v>20</v>
      </c>
      <c r="E450" s="759" t="s">
        <v>282</v>
      </c>
      <c r="F450" s="759">
        <v>882092</v>
      </c>
      <c r="G450" s="759">
        <v>852719</v>
      </c>
      <c r="H450" s="759">
        <v>97</v>
      </c>
      <c r="I450" s="759">
        <v>9</v>
      </c>
      <c r="J450" s="759">
        <v>24</v>
      </c>
      <c r="K450" s="759" t="s">
        <v>984</v>
      </c>
    </row>
    <row r="451" spans="1:11" hidden="1">
      <c r="A451" s="759"/>
      <c r="B451" s="777" t="s">
        <v>126</v>
      </c>
      <c r="C451" s="759"/>
      <c r="D451" s="759"/>
      <c r="E451" s="759"/>
      <c r="F451" s="759"/>
      <c r="G451" s="759"/>
      <c r="H451" s="759"/>
      <c r="I451" s="759"/>
      <c r="J451" s="759"/>
      <c r="K451" s="759"/>
    </row>
    <row r="452" spans="1:11" hidden="1">
      <c r="A452" s="759">
        <v>1</v>
      </c>
      <c r="B452" s="779" t="s">
        <v>1330</v>
      </c>
      <c r="C452" s="759" t="s">
        <v>1331</v>
      </c>
      <c r="D452" s="759">
        <v>1</v>
      </c>
      <c r="E452" s="759" t="s">
        <v>765</v>
      </c>
      <c r="F452" s="759"/>
      <c r="G452" s="759"/>
      <c r="H452" s="759"/>
      <c r="I452" s="759"/>
      <c r="J452" s="759"/>
      <c r="K452" s="759"/>
    </row>
    <row r="453" spans="1:11" hidden="1">
      <c r="A453" s="759">
        <v>2</v>
      </c>
      <c r="B453" s="779" t="s">
        <v>127</v>
      </c>
      <c r="C453" s="759">
        <v>186</v>
      </c>
      <c r="D453" s="759">
        <v>2</v>
      </c>
      <c r="E453" s="759" t="s">
        <v>284</v>
      </c>
      <c r="F453" s="759">
        <v>800105</v>
      </c>
      <c r="G453" s="759">
        <v>641456</v>
      </c>
      <c r="H453" s="759">
        <v>80</v>
      </c>
      <c r="I453" s="759">
        <v>0</v>
      </c>
      <c r="J453" s="759">
        <v>25</v>
      </c>
      <c r="K453" s="759" t="s">
        <v>987</v>
      </c>
    </row>
    <row r="454" spans="1:11" hidden="1">
      <c r="A454" s="759">
        <v>3</v>
      </c>
      <c r="B454" s="779" t="s">
        <v>128</v>
      </c>
      <c r="C454" s="759">
        <v>245</v>
      </c>
      <c r="D454" s="759">
        <v>3</v>
      </c>
      <c r="E454" s="759" t="s">
        <v>282</v>
      </c>
      <c r="F454" s="759">
        <v>995572</v>
      </c>
      <c r="G454" s="759">
        <v>841923</v>
      </c>
      <c r="H454" s="759">
        <v>85</v>
      </c>
      <c r="I454" s="759">
        <v>0</v>
      </c>
      <c r="J454" s="759">
        <v>25</v>
      </c>
      <c r="K454" s="759" t="s">
        <v>987</v>
      </c>
    </row>
    <row r="455" spans="1:11" hidden="1">
      <c r="A455" s="759">
        <v>4</v>
      </c>
      <c r="B455" s="779" t="s">
        <v>129</v>
      </c>
      <c r="C455" s="759">
        <v>231</v>
      </c>
      <c r="D455" s="759">
        <v>4</v>
      </c>
      <c r="E455" s="759" t="s">
        <v>284</v>
      </c>
      <c r="F455" s="759">
        <v>114580</v>
      </c>
      <c r="G455" s="759">
        <v>88952</v>
      </c>
      <c r="H455" s="759">
        <v>78</v>
      </c>
      <c r="I455" s="759">
        <v>0</v>
      </c>
      <c r="J455" s="759">
        <v>25</v>
      </c>
      <c r="K455" s="759" t="s">
        <v>522</v>
      </c>
    </row>
    <row r="456" spans="1:11" hidden="1">
      <c r="A456" s="759">
        <v>5</v>
      </c>
      <c r="B456" s="779" t="s">
        <v>850</v>
      </c>
      <c r="C456" s="759">
        <v>9287</v>
      </c>
      <c r="D456" s="759">
        <v>5</v>
      </c>
      <c r="E456" s="759" t="s">
        <v>286</v>
      </c>
      <c r="F456" s="759">
        <v>102757</v>
      </c>
      <c r="G456" s="759">
        <v>34995</v>
      </c>
      <c r="H456" s="759">
        <v>34</v>
      </c>
      <c r="I456" s="759">
        <v>0</v>
      </c>
      <c r="J456" s="759">
        <v>25</v>
      </c>
      <c r="K456" s="759" t="s">
        <v>522</v>
      </c>
    </row>
    <row r="457" spans="1:11" hidden="1">
      <c r="A457" s="759">
        <v>6</v>
      </c>
      <c r="B457" s="779" t="s">
        <v>851</v>
      </c>
      <c r="C457" s="759">
        <v>2324</v>
      </c>
      <c r="D457" s="759">
        <v>6</v>
      </c>
      <c r="E457" s="759" t="s">
        <v>284</v>
      </c>
      <c r="F457" s="759">
        <v>1005115</v>
      </c>
      <c r="G457" s="759">
        <v>618058</v>
      </c>
      <c r="H457" s="759">
        <v>61</v>
      </c>
      <c r="I457" s="759">
        <v>0</v>
      </c>
      <c r="J457" s="759">
        <v>25</v>
      </c>
      <c r="K457" s="759" t="s">
        <v>987</v>
      </c>
    </row>
    <row r="458" spans="1:11" hidden="1">
      <c r="A458" s="759">
        <v>7</v>
      </c>
      <c r="B458" s="779" t="s">
        <v>852</v>
      </c>
      <c r="C458" s="759">
        <v>248</v>
      </c>
      <c r="D458" s="759">
        <v>7</v>
      </c>
      <c r="E458" s="759" t="s">
        <v>282</v>
      </c>
      <c r="F458" s="759">
        <v>231178</v>
      </c>
      <c r="G458" s="759">
        <v>218496</v>
      </c>
      <c r="H458" s="759">
        <v>95</v>
      </c>
      <c r="I458" s="759">
        <v>1</v>
      </c>
      <c r="J458" s="759">
        <v>25</v>
      </c>
      <c r="K458" s="759" t="s">
        <v>987</v>
      </c>
    </row>
    <row r="459" spans="1:11" hidden="1">
      <c r="A459" s="759">
        <v>8</v>
      </c>
      <c r="B459" s="779" t="s">
        <v>853</v>
      </c>
      <c r="C459" s="759">
        <v>249</v>
      </c>
      <c r="D459" s="759">
        <v>8</v>
      </c>
      <c r="E459" s="759" t="s">
        <v>282</v>
      </c>
      <c r="F459" s="759">
        <v>270676</v>
      </c>
      <c r="G459" s="759">
        <v>249974</v>
      </c>
      <c r="H459" s="759">
        <v>92</v>
      </c>
      <c r="I459" s="759">
        <v>0</v>
      </c>
      <c r="J459" s="759">
        <v>25</v>
      </c>
      <c r="K459" s="759" t="s">
        <v>987</v>
      </c>
    </row>
    <row r="460" spans="1:11" hidden="1">
      <c r="A460" s="759"/>
      <c r="B460" s="777" t="s">
        <v>854</v>
      </c>
      <c r="C460" s="759"/>
      <c r="D460" s="759"/>
      <c r="E460" s="759"/>
      <c r="F460" s="759"/>
      <c r="G460" s="759"/>
      <c r="H460" s="759"/>
      <c r="I460" s="759"/>
      <c r="J460" s="759"/>
      <c r="K460" s="759"/>
    </row>
    <row r="461" spans="1:11" hidden="1">
      <c r="A461" s="759">
        <v>1</v>
      </c>
      <c r="B461" s="779" t="s">
        <v>1330</v>
      </c>
      <c r="C461" s="759" t="s">
        <v>1331</v>
      </c>
      <c r="D461" s="759">
        <v>1</v>
      </c>
      <c r="E461" s="759" t="s">
        <v>765</v>
      </c>
      <c r="F461" s="759"/>
      <c r="G461" s="759"/>
      <c r="H461" s="759"/>
      <c r="I461" s="759"/>
      <c r="J461" s="759"/>
      <c r="K461" s="759"/>
    </row>
    <row r="462" spans="1:11" hidden="1">
      <c r="A462" s="759">
        <v>2</v>
      </c>
      <c r="B462" s="779" t="s">
        <v>231</v>
      </c>
      <c r="C462" s="759">
        <v>3140</v>
      </c>
      <c r="D462" s="759">
        <v>2</v>
      </c>
      <c r="E462" s="759" t="s">
        <v>282</v>
      </c>
      <c r="F462" s="759">
        <v>90597</v>
      </c>
      <c r="G462" s="759">
        <v>88309</v>
      </c>
      <c r="H462" s="759">
        <v>97</v>
      </c>
      <c r="I462" s="759">
        <v>1</v>
      </c>
      <c r="J462" s="759">
        <v>19</v>
      </c>
      <c r="K462" s="759" t="s">
        <v>984</v>
      </c>
    </row>
    <row r="463" spans="1:11" hidden="1">
      <c r="A463" s="759">
        <v>3</v>
      </c>
      <c r="B463" s="779" t="s">
        <v>841</v>
      </c>
      <c r="C463" s="759">
        <v>3142</v>
      </c>
      <c r="D463" s="759">
        <v>3</v>
      </c>
      <c r="E463" s="759" t="s">
        <v>282</v>
      </c>
      <c r="F463" s="759">
        <v>47195</v>
      </c>
      <c r="G463" s="759">
        <v>40146</v>
      </c>
      <c r="H463" s="759">
        <v>85</v>
      </c>
      <c r="I463" s="759">
        <v>0</v>
      </c>
      <c r="J463" s="759">
        <v>19</v>
      </c>
      <c r="K463" s="759" t="s">
        <v>522</v>
      </c>
    </row>
    <row r="464" spans="1:11" hidden="1">
      <c r="A464" s="759">
        <v>4</v>
      </c>
      <c r="B464" s="779" t="s">
        <v>842</v>
      </c>
      <c r="C464" s="759">
        <v>879</v>
      </c>
      <c r="D464" s="759">
        <v>4</v>
      </c>
      <c r="E464" s="759" t="s">
        <v>282</v>
      </c>
      <c r="F464" s="759">
        <v>471450</v>
      </c>
      <c r="G464" s="759">
        <v>468123</v>
      </c>
      <c r="H464" s="759">
        <v>99</v>
      </c>
      <c r="I464" s="759">
        <v>0</v>
      </c>
      <c r="J464" s="759">
        <v>19</v>
      </c>
      <c r="K464" s="759" t="s">
        <v>987</v>
      </c>
    </row>
    <row r="465" spans="1:11" hidden="1">
      <c r="A465" s="759">
        <v>5</v>
      </c>
      <c r="B465" s="779" t="s">
        <v>370</v>
      </c>
      <c r="C465" s="759">
        <v>3141</v>
      </c>
      <c r="D465" s="759">
        <v>5</v>
      </c>
      <c r="E465" s="759" t="s">
        <v>282</v>
      </c>
      <c r="F465" s="759">
        <v>55937</v>
      </c>
      <c r="G465" s="759">
        <v>55146</v>
      </c>
      <c r="H465" s="759">
        <v>99</v>
      </c>
      <c r="I465" s="759">
        <v>5</v>
      </c>
      <c r="J465" s="759">
        <v>19</v>
      </c>
      <c r="K465" s="759" t="s">
        <v>984</v>
      </c>
    </row>
    <row r="466" spans="1:11" hidden="1">
      <c r="A466" s="759">
        <v>6</v>
      </c>
      <c r="B466" s="779" t="s">
        <v>1377</v>
      </c>
      <c r="C466" s="759">
        <v>9256</v>
      </c>
      <c r="D466" s="759">
        <v>6</v>
      </c>
      <c r="E466" s="759" t="s">
        <v>282</v>
      </c>
      <c r="F466" s="759">
        <v>132133</v>
      </c>
      <c r="G466" s="759">
        <v>131844</v>
      </c>
      <c r="H466" s="759">
        <v>100</v>
      </c>
      <c r="I466" s="759">
        <v>1</v>
      </c>
      <c r="J466" s="759">
        <v>19</v>
      </c>
      <c r="K466" s="759" t="s">
        <v>987</v>
      </c>
    </row>
    <row r="467" spans="1:11" hidden="1">
      <c r="A467" s="759">
        <v>7</v>
      </c>
      <c r="B467" s="779" t="s">
        <v>1138</v>
      </c>
      <c r="C467" s="759">
        <v>946</v>
      </c>
      <c r="D467" s="759">
        <v>7</v>
      </c>
      <c r="E467" s="759" t="s">
        <v>282</v>
      </c>
      <c r="F467" s="759">
        <v>698831</v>
      </c>
      <c r="G467" s="759">
        <v>693898</v>
      </c>
      <c r="H467" s="759">
        <v>99</v>
      </c>
      <c r="I467" s="759">
        <v>7</v>
      </c>
      <c r="J467" s="759">
        <v>19</v>
      </c>
      <c r="K467" s="759" t="s">
        <v>984</v>
      </c>
    </row>
    <row r="468" spans="1:11" hidden="1">
      <c r="A468" s="759">
        <v>8</v>
      </c>
      <c r="B468" s="779" t="s">
        <v>1139</v>
      </c>
      <c r="C468" s="759">
        <v>945</v>
      </c>
      <c r="D468" s="759">
        <v>8</v>
      </c>
      <c r="E468" s="759" t="s">
        <v>282</v>
      </c>
      <c r="F468" s="759">
        <v>213008</v>
      </c>
      <c r="G468" s="759">
        <v>206300</v>
      </c>
      <c r="H468" s="759">
        <v>97</v>
      </c>
      <c r="I468" s="759">
        <v>10</v>
      </c>
      <c r="J468" s="759">
        <v>19</v>
      </c>
      <c r="K468" s="759" t="s">
        <v>245</v>
      </c>
    </row>
    <row r="469" spans="1:11" hidden="1">
      <c r="A469" s="759"/>
      <c r="B469" s="777" t="s">
        <v>1140</v>
      </c>
      <c r="C469" s="759"/>
      <c r="D469" s="759"/>
      <c r="E469" s="759"/>
      <c r="F469" s="759"/>
      <c r="G469" s="759"/>
      <c r="H469" s="759"/>
      <c r="I469" s="759"/>
      <c r="J469" s="759"/>
      <c r="K469" s="759"/>
    </row>
    <row r="470" spans="1:11" hidden="1">
      <c r="A470" s="759">
        <v>1</v>
      </c>
      <c r="B470" s="779" t="s">
        <v>1330</v>
      </c>
      <c r="C470" s="759" t="s">
        <v>1331</v>
      </c>
      <c r="D470" s="759">
        <v>1</v>
      </c>
      <c r="E470" s="759" t="s">
        <v>765</v>
      </c>
      <c r="F470" s="759"/>
      <c r="G470" s="759"/>
      <c r="H470" s="759"/>
      <c r="I470" s="759"/>
      <c r="J470" s="759"/>
      <c r="K470" s="759"/>
    </row>
    <row r="471" spans="1:11" hidden="1">
      <c r="A471" s="759">
        <v>2</v>
      </c>
      <c r="B471" s="779" t="s">
        <v>1141</v>
      </c>
      <c r="C471" s="759">
        <v>9245</v>
      </c>
      <c r="D471" s="759">
        <v>2</v>
      </c>
      <c r="E471" s="759" t="s">
        <v>282</v>
      </c>
      <c r="F471" s="759">
        <v>231075</v>
      </c>
      <c r="G471" s="759">
        <v>228319</v>
      </c>
      <c r="H471" s="759">
        <v>99</v>
      </c>
      <c r="I471" s="759">
        <v>0</v>
      </c>
      <c r="J471" s="759">
        <v>16</v>
      </c>
      <c r="K471" s="759" t="s">
        <v>987</v>
      </c>
    </row>
    <row r="472" spans="1:11" hidden="1">
      <c r="A472" s="759">
        <v>3</v>
      </c>
      <c r="B472" s="779" t="s">
        <v>974</v>
      </c>
      <c r="C472" s="759">
        <v>8020</v>
      </c>
      <c r="D472" s="759">
        <v>3</v>
      </c>
      <c r="E472" s="759" t="s">
        <v>282</v>
      </c>
      <c r="F472" s="759">
        <v>155554</v>
      </c>
      <c r="G472" s="759">
        <v>136150</v>
      </c>
      <c r="H472" s="759">
        <v>88</v>
      </c>
      <c r="I472" s="759">
        <v>0</v>
      </c>
      <c r="J472" s="759">
        <v>16</v>
      </c>
      <c r="K472" s="759" t="s">
        <v>987</v>
      </c>
    </row>
    <row r="473" spans="1:11" hidden="1">
      <c r="A473" s="759">
        <v>4</v>
      </c>
      <c r="B473" s="779" t="s">
        <v>495</v>
      </c>
      <c r="C473" s="759">
        <v>9236</v>
      </c>
      <c r="D473" s="759">
        <v>4</v>
      </c>
      <c r="E473" s="759" t="s">
        <v>282</v>
      </c>
      <c r="F473" s="759">
        <v>11493</v>
      </c>
      <c r="G473" s="759">
        <v>10607</v>
      </c>
      <c r="H473" s="759">
        <v>92</v>
      </c>
      <c r="I473" s="759">
        <v>1</v>
      </c>
      <c r="J473" s="759">
        <v>16</v>
      </c>
      <c r="K473" s="759" t="s">
        <v>984</v>
      </c>
    </row>
    <row r="474" spans="1:11" hidden="1">
      <c r="A474" s="759">
        <v>5</v>
      </c>
      <c r="B474" s="779" t="s">
        <v>496</v>
      </c>
      <c r="C474" s="759">
        <v>898</v>
      </c>
      <c r="D474" s="759">
        <v>5</v>
      </c>
      <c r="E474" s="759" t="s">
        <v>286</v>
      </c>
      <c r="F474" s="759">
        <v>42262</v>
      </c>
      <c r="G474" s="759">
        <v>17240</v>
      </c>
      <c r="H474" s="759">
        <v>41</v>
      </c>
      <c r="I474" s="759">
        <v>0</v>
      </c>
      <c r="J474" s="759">
        <v>16</v>
      </c>
      <c r="K474" s="759" t="s">
        <v>522</v>
      </c>
    </row>
    <row r="475" spans="1:11" hidden="1">
      <c r="A475" s="759">
        <v>6</v>
      </c>
      <c r="B475" s="779" t="s">
        <v>497</v>
      </c>
      <c r="C475" s="759">
        <v>908</v>
      </c>
      <c r="D475" s="759">
        <v>6</v>
      </c>
      <c r="E475" s="759" t="s">
        <v>282</v>
      </c>
      <c r="F475" s="759">
        <v>258288</v>
      </c>
      <c r="G475" s="759">
        <v>254654</v>
      </c>
      <c r="H475" s="759">
        <v>99</v>
      </c>
      <c r="I475" s="759">
        <v>2</v>
      </c>
      <c r="J475" s="759">
        <v>16</v>
      </c>
      <c r="K475" s="759" t="s">
        <v>984</v>
      </c>
    </row>
    <row r="476" spans="1:11" hidden="1">
      <c r="A476" s="759">
        <v>7</v>
      </c>
      <c r="B476" s="779" t="s">
        <v>498</v>
      </c>
      <c r="C476" s="759">
        <v>5562</v>
      </c>
      <c r="D476" s="759">
        <v>7</v>
      </c>
      <c r="E476" s="759" t="s">
        <v>282</v>
      </c>
      <c r="F476" s="759">
        <v>61300</v>
      </c>
      <c r="G476" s="759">
        <v>51230</v>
      </c>
      <c r="H476" s="759">
        <v>84</v>
      </c>
      <c r="I476" s="759">
        <v>0</v>
      </c>
      <c r="J476" s="759">
        <v>16</v>
      </c>
      <c r="K476" s="759" t="s">
        <v>987</v>
      </c>
    </row>
    <row r="477" spans="1:11" hidden="1">
      <c r="A477" s="759">
        <v>8</v>
      </c>
      <c r="B477" s="779" t="s">
        <v>595</v>
      </c>
      <c r="C477" s="759">
        <v>935</v>
      </c>
      <c r="D477" s="759">
        <v>8</v>
      </c>
      <c r="E477" s="759" t="s">
        <v>282</v>
      </c>
      <c r="F477" s="759">
        <v>79341</v>
      </c>
      <c r="G477" s="759">
        <v>77971</v>
      </c>
      <c r="H477" s="759">
        <v>98</v>
      </c>
      <c r="I477" s="759">
        <v>0</v>
      </c>
      <c r="J477" s="759">
        <v>16</v>
      </c>
      <c r="K477" s="759" t="s">
        <v>522</v>
      </c>
    </row>
    <row r="478" spans="1:11" hidden="1">
      <c r="A478" s="759">
        <v>9</v>
      </c>
      <c r="B478" s="779" t="s">
        <v>596</v>
      </c>
      <c r="C478" s="759">
        <v>8074</v>
      </c>
      <c r="D478" s="759">
        <v>9</v>
      </c>
      <c r="E478" s="759" t="s">
        <v>282</v>
      </c>
      <c r="F478" s="759">
        <v>75964</v>
      </c>
      <c r="G478" s="759">
        <v>74367</v>
      </c>
      <c r="H478" s="759">
        <v>98</v>
      </c>
      <c r="I478" s="759">
        <v>2</v>
      </c>
      <c r="J478" s="759">
        <v>16</v>
      </c>
      <c r="K478" s="759" t="s">
        <v>984</v>
      </c>
    </row>
    <row r="479" spans="1:11" hidden="1">
      <c r="A479" s="759">
        <v>10</v>
      </c>
      <c r="B479" s="779" t="s">
        <v>597</v>
      </c>
      <c r="C479" s="759">
        <v>298</v>
      </c>
      <c r="D479" s="759">
        <v>10</v>
      </c>
      <c r="E479" s="759" t="s">
        <v>282</v>
      </c>
      <c r="F479" s="759">
        <v>420134</v>
      </c>
      <c r="G479" s="759">
        <v>404006</v>
      </c>
      <c r="H479" s="759">
        <v>96</v>
      </c>
      <c r="I479" s="759">
        <v>3</v>
      </c>
      <c r="J479" s="759">
        <v>16</v>
      </c>
      <c r="K479" s="759" t="s">
        <v>984</v>
      </c>
    </row>
    <row r="480" spans="1:11" hidden="1">
      <c r="A480" s="759"/>
      <c r="B480" s="777" t="s">
        <v>598</v>
      </c>
      <c r="C480" s="759"/>
      <c r="D480" s="759"/>
      <c r="E480" s="759"/>
      <c r="F480" s="759"/>
      <c r="G480" s="759"/>
      <c r="H480" s="759"/>
      <c r="I480" s="759"/>
      <c r="J480" s="759"/>
      <c r="K480" s="759"/>
    </row>
    <row r="481" spans="1:11" hidden="1">
      <c r="A481" s="759">
        <v>1</v>
      </c>
      <c r="B481" s="779" t="s">
        <v>1330</v>
      </c>
      <c r="C481" s="759" t="s">
        <v>1331</v>
      </c>
      <c r="D481" s="759">
        <v>1</v>
      </c>
      <c r="E481" s="759" t="s">
        <v>765</v>
      </c>
      <c r="F481" s="759"/>
      <c r="G481" s="759"/>
      <c r="H481" s="759"/>
      <c r="I481" s="759"/>
      <c r="J481" s="759"/>
      <c r="K481" s="759"/>
    </row>
    <row r="482" spans="1:11" hidden="1">
      <c r="A482" s="759">
        <v>2</v>
      </c>
      <c r="B482" s="779" t="s">
        <v>1304</v>
      </c>
      <c r="C482" s="759">
        <v>9235</v>
      </c>
      <c r="D482" s="759">
        <v>2</v>
      </c>
      <c r="E482" s="759" t="s">
        <v>282</v>
      </c>
      <c r="F482" s="759">
        <v>6222</v>
      </c>
      <c r="G482" s="759">
        <v>6169</v>
      </c>
      <c r="H482" s="759">
        <v>99</v>
      </c>
      <c r="I482" s="759">
        <v>0</v>
      </c>
      <c r="J482" s="759">
        <v>18</v>
      </c>
      <c r="K482" s="759" t="s">
        <v>522</v>
      </c>
    </row>
    <row r="483" spans="1:11" hidden="1">
      <c r="A483" s="759">
        <v>3</v>
      </c>
      <c r="B483" s="779" t="s">
        <v>548</v>
      </c>
      <c r="C483" s="759">
        <v>272</v>
      </c>
      <c r="D483" s="759">
        <v>3</v>
      </c>
      <c r="E483" s="759" t="s">
        <v>282</v>
      </c>
      <c r="F483" s="759">
        <v>746356</v>
      </c>
      <c r="G483" s="759">
        <v>735643</v>
      </c>
      <c r="H483" s="759">
        <v>99</v>
      </c>
      <c r="I483" s="759">
        <v>0</v>
      </c>
      <c r="J483" s="759">
        <v>18</v>
      </c>
      <c r="K483" s="759" t="s">
        <v>987</v>
      </c>
    </row>
    <row r="484" spans="1:11" hidden="1">
      <c r="A484" s="759">
        <v>4</v>
      </c>
      <c r="B484" s="779" t="s">
        <v>1379</v>
      </c>
      <c r="C484" s="759">
        <v>289</v>
      </c>
      <c r="D484" s="759">
        <v>4</v>
      </c>
      <c r="E484" s="759" t="s">
        <v>282</v>
      </c>
      <c r="F484" s="759">
        <v>565554</v>
      </c>
      <c r="G484" s="759">
        <v>556037</v>
      </c>
      <c r="H484" s="759">
        <v>98</v>
      </c>
      <c r="I484" s="759">
        <v>0</v>
      </c>
      <c r="J484" s="759">
        <v>18</v>
      </c>
      <c r="K484" s="759" t="s">
        <v>522</v>
      </c>
    </row>
    <row r="485" spans="1:11" hidden="1">
      <c r="A485" s="759">
        <v>5</v>
      </c>
      <c r="B485" s="779" t="s">
        <v>1380</v>
      </c>
      <c r="C485" s="759">
        <v>4199</v>
      </c>
      <c r="D485" s="759">
        <v>5</v>
      </c>
      <c r="E485" s="759" t="s">
        <v>282</v>
      </c>
      <c r="F485" s="759">
        <v>229721</v>
      </c>
      <c r="G485" s="759">
        <v>228784</v>
      </c>
      <c r="H485" s="759">
        <v>100</v>
      </c>
      <c r="I485" s="759">
        <v>0</v>
      </c>
      <c r="J485" s="759">
        <v>18</v>
      </c>
      <c r="K485" s="759" t="s">
        <v>522</v>
      </c>
    </row>
    <row r="486" spans="1:11" hidden="1">
      <c r="A486" s="759"/>
      <c r="B486" s="777" t="s">
        <v>1381</v>
      </c>
      <c r="C486" s="759"/>
      <c r="D486" s="759"/>
      <c r="E486" s="759"/>
      <c r="F486" s="759"/>
      <c r="G486" s="759"/>
      <c r="H486" s="759"/>
      <c r="I486" s="759"/>
      <c r="J486" s="759"/>
      <c r="K486" s="759"/>
    </row>
    <row r="487" spans="1:11" hidden="1">
      <c r="A487" s="759">
        <v>1</v>
      </c>
      <c r="B487" s="779" t="s">
        <v>1330</v>
      </c>
      <c r="C487" s="759" t="s">
        <v>1331</v>
      </c>
      <c r="D487" s="759">
        <v>1</v>
      </c>
      <c r="E487" s="759" t="s">
        <v>765</v>
      </c>
      <c r="F487" s="759"/>
      <c r="G487" s="759"/>
      <c r="H487" s="759"/>
      <c r="I487" s="759"/>
      <c r="J487" s="759"/>
      <c r="K487" s="759"/>
    </row>
    <row r="488" spans="1:11" hidden="1">
      <c r="A488" s="759">
        <v>2</v>
      </c>
      <c r="B488" s="779" t="s">
        <v>1382</v>
      </c>
      <c r="C488" s="759">
        <v>768</v>
      </c>
      <c r="D488" s="759">
        <v>2</v>
      </c>
      <c r="E488" s="759" t="s">
        <v>282</v>
      </c>
      <c r="F488" s="759">
        <v>12330</v>
      </c>
      <c r="G488" s="759">
        <v>12226</v>
      </c>
      <c r="H488" s="759">
        <v>99</v>
      </c>
      <c r="I488" s="759">
        <v>0</v>
      </c>
      <c r="J488" s="759">
        <v>26</v>
      </c>
      <c r="K488" s="759" t="s">
        <v>522</v>
      </c>
    </row>
    <row r="489" spans="1:11" hidden="1">
      <c r="A489" s="759">
        <v>3</v>
      </c>
      <c r="B489" s="779" t="s">
        <v>1383</v>
      </c>
      <c r="C489" s="759">
        <v>2864</v>
      </c>
      <c r="D489" s="759">
        <v>3</v>
      </c>
      <c r="E489" s="759" t="s">
        <v>282</v>
      </c>
      <c r="F489" s="759">
        <v>70396</v>
      </c>
      <c r="G489" s="759">
        <v>67233</v>
      </c>
      <c r="H489" s="759">
        <v>96</v>
      </c>
      <c r="I489" s="759">
        <v>20</v>
      </c>
      <c r="J489" s="759">
        <v>26</v>
      </c>
      <c r="K489" s="759" t="s">
        <v>245</v>
      </c>
    </row>
    <row r="490" spans="1:11" hidden="1">
      <c r="A490" s="759">
        <v>4</v>
      </c>
      <c r="B490" s="779" t="s">
        <v>221</v>
      </c>
      <c r="C490" s="759">
        <v>2871</v>
      </c>
      <c r="D490" s="759">
        <v>4</v>
      </c>
      <c r="E490" s="759" t="s">
        <v>282</v>
      </c>
      <c r="F490" s="759">
        <v>98345</v>
      </c>
      <c r="G490" s="759">
        <v>90176</v>
      </c>
      <c r="H490" s="759">
        <v>92</v>
      </c>
      <c r="I490" s="759">
        <v>0</v>
      </c>
      <c r="J490" s="759">
        <v>26</v>
      </c>
      <c r="K490" s="759" t="s">
        <v>522</v>
      </c>
    </row>
    <row r="491" spans="1:11" hidden="1">
      <c r="A491" s="759">
        <v>5</v>
      </c>
      <c r="B491" s="779" t="s">
        <v>144</v>
      </c>
      <c r="C491" s="759">
        <v>2859</v>
      </c>
      <c r="D491" s="759">
        <v>5</v>
      </c>
      <c r="E491" s="759" t="s">
        <v>282</v>
      </c>
      <c r="F491" s="759">
        <v>31205</v>
      </c>
      <c r="G491" s="759">
        <v>30969</v>
      </c>
      <c r="H491" s="759">
        <v>99</v>
      </c>
      <c r="I491" s="759">
        <v>0</v>
      </c>
      <c r="J491" s="759">
        <v>26</v>
      </c>
      <c r="K491" s="759" t="s">
        <v>522</v>
      </c>
    </row>
    <row r="492" spans="1:11" hidden="1">
      <c r="A492" s="759">
        <v>6</v>
      </c>
      <c r="B492" s="779" t="s">
        <v>361</v>
      </c>
      <c r="C492" s="759">
        <v>2873</v>
      </c>
      <c r="D492" s="759">
        <v>6</v>
      </c>
      <c r="E492" s="759" t="s">
        <v>282</v>
      </c>
      <c r="F492" s="759">
        <v>6757</v>
      </c>
      <c r="G492" s="759">
        <v>6338</v>
      </c>
      <c r="H492" s="759">
        <v>94</v>
      </c>
      <c r="I492" s="759">
        <v>0</v>
      </c>
      <c r="J492" s="759">
        <v>26</v>
      </c>
      <c r="K492" s="759" t="s">
        <v>522</v>
      </c>
    </row>
    <row r="493" spans="1:11" hidden="1">
      <c r="A493" s="759">
        <v>7</v>
      </c>
      <c r="B493" s="779" t="s">
        <v>362</v>
      </c>
      <c r="C493" s="759">
        <v>2866</v>
      </c>
      <c r="D493" s="759">
        <v>7</v>
      </c>
      <c r="E493" s="759" t="s">
        <v>282</v>
      </c>
      <c r="F493" s="759">
        <v>52227</v>
      </c>
      <c r="G493" s="759">
        <v>50122</v>
      </c>
      <c r="H493" s="759">
        <v>96</v>
      </c>
      <c r="I493" s="759">
        <v>4</v>
      </c>
      <c r="J493" s="759">
        <v>26</v>
      </c>
      <c r="K493" s="759" t="s">
        <v>984</v>
      </c>
    </row>
    <row r="494" spans="1:11" hidden="1">
      <c r="A494" s="759">
        <v>8</v>
      </c>
      <c r="B494" s="779" t="s">
        <v>363</v>
      </c>
      <c r="C494" s="759">
        <v>2861</v>
      </c>
      <c r="D494" s="759">
        <v>8</v>
      </c>
      <c r="E494" s="759" t="s">
        <v>282</v>
      </c>
      <c r="F494" s="759">
        <v>391642</v>
      </c>
      <c r="G494" s="759">
        <v>358617</v>
      </c>
      <c r="H494" s="759">
        <v>92</v>
      </c>
      <c r="I494" s="759">
        <v>0</v>
      </c>
      <c r="J494" s="759">
        <v>26</v>
      </c>
      <c r="K494" s="759" t="s">
        <v>987</v>
      </c>
    </row>
    <row r="495" spans="1:11" hidden="1">
      <c r="A495" s="759">
        <v>9</v>
      </c>
      <c r="B495" s="779" t="s">
        <v>1364</v>
      </c>
      <c r="C495" s="759">
        <v>2877</v>
      </c>
      <c r="D495" s="759">
        <v>9</v>
      </c>
      <c r="E495" s="759" t="s">
        <v>282</v>
      </c>
      <c r="F495" s="759">
        <v>1286</v>
      </c>
      <c r="G495" s="759">
        <v>1106</v>
      </c>
      <c r="H495" s="759">
        <v>86</v>
      </c>
      <c r="I495" s="759">
        <v>0</v>
      </c>
      <c r="J495" s="759">
        <v>26</v>
      </c>
      <c r="K495" s="759" t="s">
        <v>522</v>
      </c>
    </row>
    <row r="496" spans="1:11" hidden="1">
      <c r="A496" s="759">
        <v>10</v>
      </c>
      <c r="B496" s="779" t="s">
        <v>1648</v>
      </c>
      <c r="C496" s="759">
        <v>781</v>
      </c>
      <c r="D496" s="759">
        <v>10</v>
      </c>
      <c r="E496" s="759" t="s">
        <v>282</v>
      </c>
      <c r="F496" s="759">
        <v>31030</v>
      </c>
      <c r="G496" s="759">
        <v>31010</v>
      </c>
      <c r="H496" s="759">
        <v>100</v>
      </c>
      <c r="I496" s="759">
        <v>0</v>
      </c>
      <c r="J496" s="759">
        <v>26</v>
      </c>
      <c r="K496" s="759" t="s">
        <v>522</v>
      </c>
    </row>
    <row r="497" spans="1:11" hidden="1">
      <c r="A497" s="759">
        <v>11</v>
      </c>
      <c r="B497" s="779" t="s">
        <v>1649</v>
      </c>
      <c r="C497" s="759">
        <v>786</v>
      </c>
      <c r="D497" s="759">
        <v>11</v>
      </c>
      <c r="E497" s="759" t="s">
        <v>282</v>
      </c>
      <c r="F497" s="759">
        <v>10938</v>
      </c>
      <c r="G497" s="759">
        <v>10929</v>
      </c>
      <c r="H497" s="759">
        <v>100</v>
      </c>
      <c r="I497" s="759">
        <v>0</v>
      </c>
      <c r="J497" s="759">
        <v>26</v>
      </c>
      <c r="K497" s="759" t="s">
        <v>522</v>
      </c>
    </row>
    <row r="498" spans="1:11" hidden="1">
      <c r="A498" s="759">
        <v>12</v>
      </c>
      <c r="B498" s="779" t="s">
        <v>1650</v>
      </c>
      <c r="C498" s="759">
        <v>785</v>
      </c>
      <c r="D498" s="759">
        <v>12</v>
      </c>
      <c r="E498" s="759" t="s">
        <v>282</v>
      </c>
      <c r="F498" s="759">
        <v>54747</v>
      </c>
      <c r="G498" s="759">
        <v>54337</v>
      </c>
      <c r="H498" s="759">
        <v>99</v>
      </c>
      <c r="I498" s="759">
        <v>0</v>
      </c>
      <c r="J498" s="759">
        <v>26</v>
      </c>
      <c r="K498" s="759" t="s">
        <v>522</v>
      </c>
    </row>
    <row r="499" spans="1:11" hidden="1">
      <c r="A499" s="759">
        <v>13</v>
      </c>
      <c r="B499" s="779" t="s">
        <v>1651</v>
      </c>
      <c r="C499" s="759">
        <v>797</v>
      </c>
      <c r="D499" s="759">
        <v>13</v>
      </c>
      <c r="E499" s="759" t="s">
        <v>282</v>
      </c>
      <c r="F499" s="759">
        <v>36707</v>
      </c>
      <c r="G499" s="759">
        <v>33279</v>
      </c>
      <c r="H499" s="759">
        <v>91</v>
      </c>
      <c r="I499" s="759">
        <v>0</v>
      </c>
      <c r="J499" s="759">
        <v>26</v>
      </c>
      <c r="K499" s="759" t="s">
        <v>522</v>
      </c>
    </row>
    <row r="500" spans="1:11" hidden="1">
      <c r="A500" s="759">
        <v>14</v>
      </c>
      <c r="B500" s="779" t="s">
        <v>1652</v>
      </c>
      <c r="C500" s="759">
        <v>784</v>
      </c>
      <c r="D500" s="759">
        <v>14</v>
      </c>
      <c r="E500" s="759" t="s">
        <v>282</v>
      </c>
      <c r="F500" s="759">
        <v>11625</v>
      </c>
      <c r="G500" s="759">
        <v>10621</v>
      </c>
      <c r="H500" s="759">
        <v>91</v>
      </c>
      <c r="I500" s="759">
        <v>0</v>
      </c>
      <c r="J500" s="759">
        <v>26</v>
      </c>
      <c r="K500" s="759" t="s">
        <v>522</v>
      </c>
    </row>
    <row r="501" spans="1:11" hidden="1">
      <c r="A501" s="759">
        <v>15</v>
      </c>
      <c r="B501" s="779" t="s">
        <v>1653</v>
      </c>
      <c r="C501" s="759">
        <v>796</v>
      </c>
      <c r="D501" s="759">
        <v>15</v>
      </c>
      <c r="E501" s="759" t="s">
        <v>282</v>
      </c>
      <c r="F501" s="759">
        <v>22634</v>
      </c>
      <c r="G501" s="759">
        <v>22621</v>
      </c>
      <c r="H501" s="759">
        <v>100</v>
      </c>
      <c r="I501" s="759">
        <v>0</v>
      </c>
      <c r="J501" s="759">
        <v>26</v>
      </c>
      <c r="K501" s="759" t="s">
        <v>522</v>
      </c>
    </row>
    <row r="502" spans="1:11" hidden="1">
      <c r="A502" s="759">
        <v>16</v>
      </c>
      <c r="B502" s="779" t="s">
        <v>1654</v>
      </c>
      <c r="C502" s="759">
        <v>799</v>
      </c>
      <c r="D502" s="759">
        <v>16</v>
      </c>
      <c r="E502" s="759" t="s">
        <v>282</v>
      </c>
      <c r="F502" s="759">
        <v>17020</v>
      </c>
      <c r="G502" s="759">
        <v>16944</v>
      </c>
      <c r="H502" s="759">
        <v>100</v>
      </c>
      <c r="I502" s="759">
        <v>0</v>
      </c>
      <c r="J502" s="759">
        <v>26</v>
      </c>
      <c r="K502" s="759" t="s">
        <v>522</v>
      </c>
    </row>
    <row r="503" spans="1:11" hidden="1">
      <c r="A503" s="759">
        <v>17</v>
      </c>
      <c r="B503" s="779" t="s">
        <v>1655</v>
      </c>
      <c r="C503" s="759">
        <v>798</v>
      </c>
      <c r="D503" s="759">
        <v>17</v>
      </c>
      <c r="E503" s="759" t="s">
        <v>282</v>
      </c>
      <c r="F503" s="759">
        <v>33343</v>
      </c>
      <c r="G503" s="759">
        <v>32262</v>
      </c>
      <c r="H503" s="759">
        <v>97</v>
      </c>
      <c r="I503" s="759">
        <v>0</v>
      </c>
      <c r="J503" s="759">
        <v>26</v>
      </c>
      <c r="K503" s="759" t="s">
        <v>522</v>
      </c>
    </row>
    <row r="504" spans="1:11" hidden="1">
      <c r="A504" s="759"/>
      <c r="B504" s="777" t="s">
        <v>750</v>
      </c>
      <c r="C504" s="759"/>
      <c r="D504" s="759"/>
      <c r="E504" s="759"/>
      <c r="F504" s="759"/>
      <c r="G504" s="759"/>
      <c r="H504" s="759"/>
      <c r="I504" s="759"/>
      <c r="J504" s="759"/>
      <c r="K504" s="759"/>
    </row>
    <row r="505" spans="1:11" hidden="1">
      <c r="A505" s="759">
        <v>1</v>
      </c>
      <c r="B505" s="779" t="s">
        <v>1330</v>
      </c>
      <c r="C505" s="759" t="s">
        <v>1331</v>
      </c>
      <c r="D505" s="759">
        <v>1</v>
      </c>
      <c r="E505" s="759" t="s">
        <v>765</v>
      </c>
      <c r="F505" s="759"/>
      <c r="G505" s="759"/>
      <c r="H505" s="759"/>
      <c r="I505" s="759"/>
      <c r="J505" s="759"/>
      <c r="K505" s="759"/>
    </row>
    <row r="506" spans="1:11" hidden="1">
      <c r="A506" s="759">
        <v>2</v>
      </c>
      <c r="B506" s="779" t="s">
        <v>551</v>
      </c>
      <c r="C506" s="759">
        <v>2867</v>
      </c>
      <c r="D506" s="759">
        <v>2</v>
      </c>
      <c r="E506" s="759" t="s">
        <v>282</v>
      </c>
      <c r="F506" s="759">
        <v>29236</v>
      </c>
      <c r="G506" s="759">
        <v>28989</v>
      </c>
      <c r="H506" s="759">
        <v>99</v>
      </c>
      <c r="I506" s="759">
        <v>0</v>
      </c>
      <c r="J506" s="759">
        <v>28</v>
      </c>
      <c r="K506" s="759" t="s">
        <v>522</v>
      </c>
    </row>
    <row r="507" spans="1:11" hidden="1">
      <c r="A507" s="759">
        <v>3</v>
      </c>
      <c r="B507" s="779" t="s">
        <v>552</v>
      </c>
      <c r="C507" s="759">
        <v>64</v>
      </c>
      <c r="D507" s="759">
        <v>3</v>
      </c>
      <c r="E507" s="759" t="s">
        <v>284</v>
      </c>
      <c r="F507" s="759">
        <v>12663</v>
      </c>
      <c r="G507" s="759">
        <v>8334</v>
      </c>
      <c r="H507" s="759">
        <v>66</v>
      </c>
      <c r="I507" s="759">
        <v>0</v>
      </c>
      <c r="J507" s="759">
        <v>28</v>
      </c>
      <c r="K507" s="759" t="s">
        <v>522</v>
      </c>
    </row>
    <row r="508" spans="1:11" hidden="1">
      <c r="A508" s="759">
        <v>4</v>
      </c>
      <c r="B508" s="779" t="s">
        <v>553</v>
      </c>
      <c r="C508" s="759">
        <v>2863</v>
      </c>
      <c r="D508" s="759">
        <v>4</v>
      </c>
      <c r="E508" s="759" t="s">
        <v>282</v>
      </c>
      <c r="F508" s="759">
        <v>5796</v>
      </c>
      <c r="G508" s="759">
        <v>5673</v>
      </c>
      <c r="H508" s="759">
        <v>98</v>
      </c>
      <c r="I508" s="759">
        <v>0</v>
      </c>
      <c r="J508" s="759">
        <v>28</v>
      </c>
      <c r="K508" s="759" t="s">
        <v>522</v>
      </c>
    </row>
    <row r="509" spans="1:11" hidden="1">
      <c r="A509" s="759">
        <v>5</v>
      </c>
      <c r="B509" s="779" t="s">
        <v>554</v>
      </c>
      <c r="C509" s="759">
        <v>2865</v>
      </c>
      <c r="D509" s="759">
        <v>5</v>
      </c>
      <c r="E509" s="759" t="s">
        <v>282</v>
      </c>
      <c r="F509" s="759">
        <v>121150</v>
      </c>
      <c r="G509" s="759">
        <v>118402</v>
      </c>
      <c r="H509" s="759">
        <v>98</v>
      </c>
      <c r="I509" s="759">
        <v>5</v>
      </c>
      <c r="J509" s="759">
        <v>28</v>
      </c>
      <c r="K509" s="759" t="s">
        <v>984</v>
      </c>
    </row>
    <row r="510" spans="1:11" hidden="1">
      <c r="A510" s="759">
        <v>6</v>
      </c>
      <c r="B510" s="779" t="s">
        <v>555</v>
      </c>
      <c r="C510" s="759">
        <v>2868</v>
      </c>
      <c r="D510" s="759">
        <v>6</v>
      </c>
      <c r="E510" s="759" t="s">
        <v>282</v>
      </c>
      <c r="F510" s="759">
        <v>88507</v>
      </c>
      <c r="G510" s="759">
        <v>88072</v>
      </c>
      <c r="H510" s="759">
        <v>100</v>
      </c>
      <c r="I510" s="759">
        <v>0</v>
      </c>
      <c r="J510" s="759">
        <v>28</v>
      </c>
      <c r="K510" s="759" t="s">
        <v>522</v>
      </c>
    </row>
    <row r="511" spans="1:11" hidden="1">
      <c r="A511" s="759">
        <v>7</v>
      </c>
      <c r="B511" s="779" t="s">
        <v>556</v>
      </c>
      <c r="C511" s="759">
        <v>2858</v>
      </c>
      <c r="D511" s="759">
        <v>7</v>
      </c>
      <c r="E511" s="759" t="s">
        <v>282</v>
      </c>
      <c r="F511" s="759">
        <v>255656</v>
      </c>
      <c r="G511" s="759">
        <v>246887</v>
      </c>
      <c r="H511" s="759">
        <v>97</v>
      </c>
      <c r="I511" s="759">
        <v>9</v>
      </c>
      <c r="J511" s="759">
        <v>28</v>
      </c>
      <c r="K511" s="759" t="s">
        <v>984</v>
      </c>
    </row>
    <row r="512" spans="1:11" hidden="1">
      <c r="A512" s="759">
        <v>8</v>
      </c>
      <c r="B512" s="779" t="s">
        <v>1624</v>
      </c>
      <c r="C512" s="759">
        <v>2860</v>
      </c>
      <c r="D512" s="759">
        <v>8</v>
      </c>
      <c r="E512" s="759" t="s">
        <v>282</v>
      </c>
      <c r="F512" s="759">
        <v>151390</v>
      </c>
      <c r="G512" s="759">
        <v>150636</v>
      </c>
      <c r="H512" s="759">
        <v>100</v>
      </c>
      <c r="I512" s="759">
        <v>0</v>
      </c>
      <c r="J512" s="759">
        <v>28</v>
      </c>
      <c r="K512" s="759" t="s">
        <v>522</v>
      </c>
    </row>
    <row r="513" spans="1:11" hidden="1">
      <c r="A513" s="759">
        <v>9</v>
      </c>
      <c r="B513" s="779" t="s">
        <v>1625</v>
      </c>
      <c r="C513" s="759">
        <v>3145</v>
      </c>
      <c r="D513" s="759">
        <v>9</v>
      </c>
      <c r="E513" s="759" t="s">
        <v>282</v>
      </c>
      <c r="F513" s="759">
        <v>34326</v>
      </c>
      <c r="G513" s="759">
        <v>34212</v>
      </c>
      <c r="H513" s="759">
        <v>100</v>
      </c>
      <c r="I513" s="759">
        <v>15</v>
      </c>
      <c r="J513" s="759">
        <v>28</v>
      </c>
      <c r="K513" s="759" t="s">
        <v>245</v>
      </c>
    </row>
    <row r="514" spans="1:11" hidden="1">
      <c r="A514" s="759">
        <v>10</v>
      </c>
      <c r="B514" s="779" t="s">
        <v>1626</v>
      </c>
      <c r="C514" s="759">
        <v>783</v>
      </c>
      <c r="D514" s="759">
        <v>10</v>
      </c>
      <c r="E514" s="759" t="s">
        <v>282</v>
      </c>
      <c r="F514" s="759">
        <v>91185</v>
      </c>
      <c r="G514" s="759">
        <v>90971</v>
      </c>
      <c r="H514" s="759">
        <v>100</v>
      </c>
      <c r="I514" s="759">
        <v>0</v>
      </c>
      <c r="J514" s="759">
        <v>28</v>
      </c>
      <c r="K514" s="759" t="s">
        <v>522</v>
      </c>
    </row>
    <row r="515" spans="1:11" hidden="1">
      <c r="A515" s="759">
        <v>11</v>
      </c>
      <c r="B515" s="779" t="s">
        <v>1627</v>
      </c>
      <c r="C515" s="759">
        <v>2857</v>
      </c>
      <c r="D515" s="759">
        <v>11</v>
      </c>
      <c r="E515" s="759" t="s">
        <v>282</v>
      </c>
      <c r="F515" s="759">
        <v>11183</v>
      </c>
      <c r="G515" s="759">
        <v>11131</v>
      </c>
      <c r="H515" s="759">
        <v>100</v>
      </c>
      <c r="I515" s="759">
        <v>28</v>
      </c>
      <c r="J515" s="759">
        <v>28</v>
      </c>
      <c r="K515" s="759" t="s">
        <v>1212</v>
      </c>
    </row>
    <row r="516" spans="1:11" hidden="1">
      <c r="A516" s="759">
        <v>12</v>
      </c>
      <c r="B516" s="779" t="s">
        <v>865</v>
      </c>
      <c r="C516" s="759">
        <v>792</v>
      </c>
      <c r="D516" s="759">
        <v>12</v>
      </c>
      <c r="E516" s="759" t="s">
        <v>282</v>
      </c>
      <c r="F516" s="759">
        <v>61215</v>
      </c>
      <c r="G516" s="759">
        <v>61185</v>
      </c>
      <c r="H516" s="759">
        <v>100</v>
      </c>
      <c r="I516" s="759">
        <v>0</v>
      </c>
      <c r="J516" s="759">
        <v>28</v>
      </c>
      <c r="K516" s="759" t="s">
        <v>522</v>
      </c>
    </row>
    <row r="517" spans="1:11" hidden="1">
      <c r="A517" s="759">
        <v>13</v>
      </c>
      <c r="B517" s="779" t="s">
        <v>866</v>
      </c>
      <c r="C517" s="759">
        <v>795</v>
      </c>
      <c r="D517" s="759">
        <v>13</v>
      </c>
      <c r="E517" s="759" t="s">
        <v>282</v>
      </c>
      <c r="F517" s="759">
        <v>72139</v>
      </c>
      <c r="G517" s="759">
        <v>71736</v>
      </c>
      <c r="H517" s="759">
        <v>99</v>
      </c>
      <c r="I517" s="759">
        <v>0</v>
      </c>
      <c r="J517" s="759">
        <v>28</v>
      </c>
      <c r="K517" s="759" t="s">
        <v>522</v>
      </c>
    </row>
    <row r="518" spans="1:11" hidden="1">
      <c r="A518" s="759">
        <v>14</v>
      </c>
      <c r="B518" s="779" t="s">
        <v>950</v>
      </c>
      <c r="C518" s="759">
        <v>2862</v>
      </c>
      <c r="D518" s="759">
        <v>14</v>
      </c>
      <c r="E518" s="759" t="s">
        <v>284</v>
      </c>
      <c r="F518" s="759">
        <v>97126</v>
      </c>
      <c r="G518" s="759">
        <v>77158</v>
      </c>
      <c r="H518" s="759">
        <v>79</v>
      </c>
      <c r="I518" s="759">
        <v>0</v>
      </c>
      <c r="J518" s="759">
        <v>28</v>
      </c>
      <c r="K518" s="759" t="s">
        <v>522</v>
      </c>
    </row>
    <row r="519" spans="1:11" hidden="1">
      <c r="A519" s="759"/>
      <c r="B519" s="777" t="s">
        <v>951</v>
      </c>
      <c r="C519" s="759"/>
      <c r="D519" s="759"/>
      <c r="E519" s="759"/>
      <c r="F519" s="759"/>
      <c r="G519" s="759"/>
      <c r="H519" s="759"/>
      <c r="I519" s="759"/>
      <c r="J519" s="759"/>
      <c r="K519" s="759"/>
    </row>
    <row r="520" spans="1:11" hidden="1">
      <c r="A520" s="759">
        <v>1</v>
      </c>
      <c r="B520" s="779" t="s">
        <v>1330</v>
      </c>
      <c r="C520" s="759" t="s">
        <v>1331</v>
      </c>
      <c r="D520" s="759">
        <v>1</v>
      </c>
      <c r="E520" s="759" t="s">
        <v>765</v>
      </c>
      <c r="F520" s="759"/>
      <c r="G520" s="759"/>
      <c r="H520" s="759"/>
      <c r="I520" s="759"/>
      <c r="J520" s="759"/>
      <c r="K520" s="759"/>
    </row>
    <row r="521" spans="1:11" hidden="1">
      <c r="A521" s="759">
        <v>2</v>
      </c>
      <c r="B521" s="779" t="s">
        <v>952</v>
      </c>
      <c r="C521" s="759">
        <v>804</v>
      </c>
      <c r="D521" s="759">
        <v>2</v>
      </c>
      <c r="E521" s="759" t="s">
        <v>282</v>
      </c>
      <c r="F521" s="759">
        <v>66828</v>
      </c>
      <c r="G521" s="759">
        <v>66570</v>
      </c>
      <c r="H521" s="759">
        <v>100</v>
      </c>
      <c r="I521" s="759">
        <v>0</v>
      </c>
      <c r="J521" s="759">
        <v>24</v>
      </c>
      <c r="K521" s="759" t="s">
        <v>522</v>
      </c>
    </row>
    <row r="522" spans="1:11" hidden="1">
      <c r="A522" s="759"/>
      <c r="B522" s="777" t="s">
        <v>953</v>
      </c>
      <c r="C522" s="759"/>
      <c r="D522" s="759"/>
      <c r="E522" s="759"/>
      <c r="F522" s="759"/>
      <c r="G522" s="759"/>
      <c r="H522" s="759"/>
      <c r="I522" s="759"/>
      <c r="J522" s="759"/>
      <c r="K522" s="759"/>
    </row>
    <row r="523" spans="1:11" hidden="1">
      <c r="A523" s="759">
        <v>1</v>
      </c>
      <c r="B523" s="779" t="s">
        <v>1330</v>
      </c>
      <c r="C523" s="759" t="s">
        <v>1331</v>
      </c>
      <c r="D523" s="759">
        <v>1</v>
      </c>
      <c r="E523" s="759" t="s">
        <v>765</v>
      </c>
      <c r="F523" s="759"/>
      <c r="G523" s="759"/>
      <c r="H523" s="759"/>
      <c r="I523" s="759"/>
      <c r="J523" s="759"/>
      <c r="K523" s="759"/>
    </row>
    <row r="524" spans="1:11" hidden="1">
      <c r="A524" s="759">
        <v>2</v>
      </c>
      <c r="B524" s="779" t="s">
        <v>954</v>
      </c>
      <c r="C524" s="759">
        <v>766</v>
      </c>
      <c r="D524" s="759">
        <v>2</v>
      </c>
      <c r="E524" s="759" t="s">
        <v>282</v>
      </c>
      <c r="F524" s="759">
        <v>23428</v>
      </c>
      <c r="G524" s="759">
        <v>23345</v>
      </c>
      <c r="H524" s="759">
        <v>100</v>
      </c>
      <c r="I524" s="759">
        <v>0</v>
      </c>
      <c r="J524" s="759">
        <v>28</v>
      </c>
      <c r="K524" s="759" t="s">
        <v>522</v>
      </c>
    </row>
    <row r="525" spans="1:11" hidden="1">
      <c r="A525" s="759">
        <v>3</v>
      </c>
      <c r="B525" s="779" t="s">
        <v>955</v>
      </c>
      <c r="C525" s="759">
        <v>767</v>
      </c>
      <c r="D525" s="759">
        <v>3</v>
      </c>
      <c r="E525" s="759" t="s">
        <v>282</v>
      </c>
      <c r="F525" s="759">
        <v>1837</v>
      </c>
      <c r="G525" s="759">
        <v>1837</v>
      </c>
      <c r="H525" s="759">
        <v>100</v>
      </c>
      <c r="I525" s="759">
        <v>0</v>
      </c>
      <c r="J525" s="759">
        <v>28</v>
      </c>
      <c r="K525" s="759" t="s">
        <v>522</v>
      </c>
    </row>
    <row r="526" spans="1:11" hidden="1">
      <c r="A526" s="759">
        <v>4</v>
      </c>
      <c r="B526" s="779" t="s">
        <v>956</v>
      </c>
      <c r="C526" s="759">
        <v>769</v>
      </c>
      <c r="D526" s="759">
        <v>4</v>
      </c>
      <c r="E526" s="759" t="s">
        <v>282</v>
      </c>
      <c r="F526" s="759">
        <v>104137</v>
      </c>
      <c r="G526" s="759">
        <v>104041</v>
      </c>
      <c r="H526" s="759">
        <v>100</v>
      </c>
      <c r="I526" s="759">
        <v>37</v>
      </c>
      <c r="J526" s="759">
        <v>28</v>
      </c>
      <c r="K526" s="759" t="s">
        <v>1212</v>
      </c>
    </row>
    <row r="527" spans="1:11" hidden="1">
      <c r="A527" s="759">
        <v>5</v>
      </c>
      <c r="B527" s="779" t="s">
        <v>957</v>
      </c>
      <c r="C527" s="759">
        <v>770</v>
      </c>
      <c r="D527" s="759">
        <v>5</v>
      </c>
      <c r="E527" s="759" t="s">
        <v>282</v>
      </c>
      <c r="F527" s="759">
        <v>12756</v>
      </c>
      <c r="G527" s="759">
        <v>12703</v>
      </c>
      <c r="H527" s="759">
        <v>100</v>
      </c>
      <c r="I527" s="759">
        <v>0</v>
      </c>
      <c r="J527" s="759">
        <v>28</v>
      </c>
      <c r="K527" s="759" t="s">
        <v>522</v>
      </c>
    </row>
    <row r="528" spans="1:11" hidden="1">
      <c r="A528" s="759">
        <v>6</v>
      </c>
      <c r="B528" s="779" t="s">
        <v>958</v>
      </c>
      <c r="C528" s="759">
        <v>789</v>
      </c>
      <c r="D528" s="759">
        <v>6</v>
      </c>
      <c r="E528" s="759" t="s">
        <v>282</v>
      </c>
      <c r="F528" s="759">
        <v>26075</v>
      </c>
      <c r="G528" s="759">
        <v>25935</v>
      </c>
      <c r="H528" s="759">
        <v>99</v>
      </c>
      <c r="I528" s="759">
        <v>0</v>
      </c>
      <c r="J528" s="759">
        <v>28</v>
      </c>
      <c r="K528" s="759" t="s">
        <v>522</v>
      </c>
    </row>
    <row r="529" spans="1:11" hidden="1">
      <c r="A529" s="759">
        <v>7</v>
      </c>
      <c r="B529" s="779" t="s">
        <v>959</v>
      </c>
      <c r="C529" s="759">
        <v>772</v>
      </c>
      <c r="D529" s="759">
        <v>7</v>
      </c>
      <c r="E529" s="759" t="s">
        <v>282</v>
      </c>
      <c r="F529" s="759">
        <v>17078</v>
      </c>
      <c r="G529" s="759">
        <v>17069</v>
      </c>
      <c r="H529" s="759">
        <v>100</v>
      </c>
      <c r="I529" s="759">
        <v>0</v>
      </c>
      <c r="J529" s="759">
        <v>28</v>
      </c>
      <c r="K529" s="759" t="s">
        <v>522</v>
      </c>
    </row>
    <row r="530" spans="1:11" hidden="1">
      <c r="A530" s="759">
        <v>8</v>
      </c>
      <c r="B530" s="779" t="s">
        <v>960</v>
      </c>
      <c r="C530" s="759">
        <v>2876</v>
      </c>
      <c r="D530" s="759">
        <v>8</v>
      </c>
      <c r="E530" s="759" t="s">
        <v>282</v>
      </c>
      <c r="F530" s="759">
        <v>42532</v>
      </c>
      <c r="G530" s="759">
        <v>41868</v>
      </c>
      <c r="H530" s="759">
        <v>98</v>
      </c>
      <c r="I530" s="759">
        <v>2</v>
      </c>
      <c r="J530" s="759">
        <v>28</v>
      </c>
      <c r="K530" s="759" t="s">
        <v>984</v>
      </c>
    </row>
    <row r="531" spans="1:11" hidden="1">
      <c r="A531" s="759">
        <v>9</v>
      </c>
      <c r="B531" s="779" t="s">
        <v>467</v>
      </c>
      <c r="C531" s="759">
        <v>2855</v>
      </c>
      <c r="D531" s="759">
        <v>9</v>
      </c>
      <c r="E531" s="759" t="s">
        <v>282</v>
      </c>
      <c r="F531" s="759">
        <v>380919</v>
      </c>
      <c r="G531" s="759">
        <v>357909</v>
      </c>
      <c r="H531" s="759">
        <v>94</v>
      </c>
      <c r="I531" s="759">
        <v>1</v>
      </c>
      <c r="J531" s="759">
        <v>28</v>
      </c>
      <c r="K531" s="759" t="s">
        <v>987</v>
      </c>
    </row>
    <row r="532" spans="1:11" hidden="1">
      <c r="A532" s="759">
        <v>10</v>
      </c>
      <c r="B532" s="779" t="s">
        <v>468</v>
      </c>
      <c r="C532" s="759">
        <v>2854</v>
      </c>
      <c r="D532" s="759">
        <v>10</v>
      </c>
      <c r="E532" s="759" t="s">
        <v>282</v>
      </c>
      <c r="F532" s="759">
        <v>1093611</v>
      </c>
      <c r="G532" s="759">
        <v>1039202</v>
      </c>
      <c r="H532" s="759">
        <v>95</v>
      </c>
      <c r="I532" s="759">
        <v>5</v>
      </c>
      <c r="J532" s="759">
        <v>28</v>
      </c>
      <c r="K532" s="759" t="s">
        <v>984</v>
      </c>
    </row>
    <row r="533" spans="1:11" hidden="1">
      <c r="A533" s="759">
        <v>11</v>
      </c>
      <c r="B533" s="779" t="s">
        <v>469</v>
      </c>
      <c r="C533" s="759">
        <v>4198</v>
      </c>
      <c r="D533" s="759">
        <v>11</v>
      </c>
      <c r="E533" s="759" t="s">
        <v>282</v>
      </c>
      <c r="F533" s="759">
        <v>97793</v>
      </c>
      <c r="G533" s="759">
        <v>97144</v>
      </c>
      <c r="H533" s="759">
        <v>99</v>
      </c>
      <c r="I533" s="759">
        <v>0</v>
      </c>
      <c r="J533" s="759">
        <v>28</v>
      </c>
      <c r="K533" s="759" t="s">
        <v>522</v>
      </c>
    </row>
    <row r="534" spans="1:11" hidden="1">
      <c r="A534" s="759">
        <v>12</v>
      </c>
      <c r="B534" s="779" t="s">
        <v>422</v>
      </c>
      <c r="C534" s="759">
        <v>787</v>
      </c>
      <c r="D534" s="759">
        <v>12</v>
      </c>
      <c r="E534" s="759" t="s">
        <v>282</v>
      </c>
      <c r="F534" s="759">
        <v>12928</v>
      </c>
      <c r="G534" s="759">
        <v>12862</v>
      </c>
      <c r="H534" s="759">
        <v>99</v>
      </c>
      <c r="I534" s="759">
        <v>0</v>
      </c>
      <c r="J534" s="759">
        <v>28</v>
      </c>
      <c r="K534" s="759" t="s">
        <v>522</v>
      </c>
    </row>
    <row r="535" spans="1:11" hidden="1">
      <c r="A535" s="759">
        <v>13</v>
      </c>
      <c r="B535" s="779" t="s">
        <v>423</v>
      </c>
      <c r="C535" s="759">
        <v>788</v>
      </c>
      <c r="D535" s="759">
        <v>13</v>
      </c>
      <c r="E535" s="759" t="s">
        <v>282</v>
      </c>
      <c r="F535" s="759">
        <v>5055</v>
      </c>
      <c r="G535" s="759">
        <v>5055</v>
      </c>
      <c r="H535" s="759">
        <v>100</v>
      </c>
      <c r="I535" s="759">
        <v>97</v>
      </c>
      <c r="J535" s="759">
        <v>28</v>
      </c>
      <c r="K535" s="759" t="s">
        <v>1212</v>
      </c>
    </row>
    <row r="536" spans="1:11" hidden="1">
      <c r="A536" s="759">
        <v>14</v>
      </c>
      <c r="B536" s="779" t="s">
        <v>424</v>
      </c>
      <c r="C536" s="759">
        <v>794</v>
      </c>
      <c r="D536" s="759">
        <v>14</v>
      </c>
      <c r="E536" s="759" t="s">
        <v>282</v>
      </c>
      <c r="F536" s="759">
        <v>36558</v>
      </c>
      <c r="G536" s="759">
        <v>36433</v>
      </c>
      <c r="H536" s="759">
        <v>100</v>
      </c>
      <c r="I536" s="759">
        <v>0</v>
      </c>
      <c r="J536" s="759">
        <v>28</v>
      </c>
      <c r="K536" s="759" t="s">
        <v>522</v>
      </c>
    </row>
    <row r="537" spans="1:11" hidden="1">
      <c r="A537" s="759">
        <v>15</v>
      </c>
      <c r="B537" s="779" t="s">
        <v>425</v>
      </c>
      <c r="C537" s="759">
        <v>801</v>
      </c>
      <c r="D537" s="759">
        <v>15</v>
      </c>
      <c r="E537" s="759" t="s">
        <v>282</v>
      </c>
      <c r="F537" s="759">
        <v>18989</v>
      </c>
      <c r="G537" s="759">
        <v>18976</v>
      </c>
      <c r="H537" s="759">
        <v>100</v>
      </c>
      <c r="I537" s="759">
        <v>0</v>
      </c>
      <c r="J537" s="759">
        <v>28</v>
      </c>
      <c r="K537" s="759" t="s">
        <v>522</v>
      </c>
    </row>
    <row r="538" spans="1:11" hidden="1">
      <c r="A538" s="759">
        <v>16</v>
      </c>
      <c r="B538" s="779" t="s">
        <v>426</v>
      </c>
      <c r="C538" s="759">
        <v>805</v>
      </c>
      <c r="D538" s="759">
        <v>16</v>
      </c>
      <c r="E538" s="759" t="s">
        <v>282</v>
      </c>
      <c r="F538" s="759">
        <v>6587</v>
      </c>
      <c r="G538" s="759">
        <v>6587</v>
      </c>
      <c r="H538" s="759">
        <v>100</v>
      </c>
      <c r="I538" s="759">
        <v>2</v>
      </c>
      <c r="J538" s="759">
        <v>28</v>
      </c>
      <c r="K538" s="759" t="s">
        <v>984</v>
      </c>
    </row>
    <row r="539" spans="1:11" hidden="1">
      <c r="A539" s="759">
        <v>17</v>
      </c>
      <c r="B539" s="779" t="s">
        <v>427</v>
      </c>
      <c r="C539" s="759">
        <v>808</v>
      </c>
      <c r="D539" s="759">
        <v>17</v>
      </c>
      <c r="E539" s="759" t="s">
        <v>282</v>
      </c>
      <c r="F539" s="759">
        <v>43285</v>
      </c>
      <c r="G539" s="759">
        <v>43232</v>
      </c>
      <c r="H539" s="759">
        <v>100</v>
      </c>
      <c r="I539" s="759">
        <v>0</v>
      </c>
      <c r="J539" s="759">
        <v>28</v>
      </c>
      <c r="K539" s="759" t="s">
        <v>522</v>
      </c>
    </row>
    <row r="540" spans="1:11" hidden="1">
      <c r="A540" s="759">
        <v>18</v>
      </c>
      <c r="B540" s="779" t="s">
        <v>428</v>
      </c>
      <c r="C540" s="759">
        <v>809</v>
      </c>
      <c r="D540" s="759">
        <v>18</v>
      </c>
      <c r="E540" s="759" t="s">
        <v>282</v>
      </c>
      <c r="F540" s="759">
        <v>19181</v>
      </c>
      <c r="G540" s="759">
        <v>19126</v>
      </c>
      <c r="H540" s="759">
        <v>100</v>
      </c>
      <c r="I540" s="759">
        <v>0</v>
      </c>
      <c r="J540" s="759">
        <v>28</v>
      </c>
      <c r="K540" s="759" t="s">
        <v>522</v>
      </c>
    </row>
    <row r="541" spans="1:11" hidden="1">
      <c r="A541" s="759">
        <v>19</v>
      </c>
      <c r="B541" s="779" t="s">
        <v>429</v>
      </c>
      <c r="C541" s="759">
        <v>780</v>
      </c>
      <c r="D541" s="759">
        <v>19</v>
      </c>
      <c r="E541" s="759" t="s">
        <v>282</v>
      </c>
      <c r="F541" s="759">
        <v>4903</v>
      </c>
      <c r="G541" s="759">
        <v>4903</v>
      </c>
      <c r="H541" s="759">
        <v>100</v>
      </c>
      <c r="I541" s="759">
        <v>49</v>
      </c>
      <c r="J541" s="759">
        <v>28</v>
      </c>
      <c r="K541" s="759" t="s">
        <v>1212</v>
      </c>
    </row>
    <row r="542" spans="1:11" hidden="1">
      <c r="A542" s="759"/>
      <c r="B542" s="777" t="s">
        <v>246</v>
      </c>
      <c r="C542" s="759"/>
      <c r="D542" s="759"/>
      <c r="E542" s="759"/>
      <c r="F542" s="759"/>
      <c r="G542" s="759"/>
      <c r="H542" s="759"/>
      <c r="I542" s="759"/>
      <c r="J542" s="759"/>
      <c r="K542" s="759"/>
    </row>
    <row r="543" spans="1:11" hidden="1">
      <c r="A543" s="759">
        <v>1</v>
      </c>
      <c r="B543" s="779" t="s">
        <v>1330</v>
      </c>
      <c r="C543" s="759" t="s">
        <v>1331</v>
      </c>
      <c r="D543" s="759">
        <v>1</v>
      </c>
      <c r="E543" s="759" t="s">
        <v>765</v>
      </c>
      <c r="F543" s="759"/>
      <c r="G543" s="759"/>
      <c r="H543" s="759"/>
      <c r="I543" s="759"/>
      <c r="J543" s="759"/>
      <c r="K543" s="759"/>
    </row>
    <row r="544" spans="1:11" hidden="1">
      <c r="A544" s="759">
        <v>2</v>
      </c>
      <c r="B544" s="779" t="s">
        <v>430</v>
      </c>
      <c r="C544" s="759">
        <v>2870</v>
      </c>
      <c r="D544" s="759">
        <v>2</v>
      </c>
      <c r="E544" s="759" t="s">
        <v>284</v>
      </c>
      <c r="F544" s="759">
        <v>5667</v>
      </c>
      <c r="G544" s="759">
        <v>4558</v>
      </c>
      <c r="H544" s="759">
        <v>80</v>
      </c>
      <c r="I544" s="759">
        <v>0</v>
      </c>
      <c r="J544" s="759">
        <v>24</v>
      </c>
      <c r="K544" s="759" t="s">
        <v>522</v>
      </c>
    </row>
    <row r="545" spans="1:11" hidden="1">
      <c r="A545" s="759">
        <v>3</v>
      </c>
      <c r="B545" s="779" t="s">
        <v>431</v>
      </c>
      <c r="C545" s="759">
        <v>829</v>
      </c>
      <c r="D545" s="759">
        <v>3</v>
      </c>
      <c r="E545" s="759" t="s">
        <v>284</v>
      </c>
      <c r="F545" s="759">
        <v>9868</v>
      </c>
      <c r="G545" s="759">
        <v>7126</v>
      </c>
      <c r="H545" s="759">
        <v>72</v>
      </c>
      <c r="I545" s="759">
        <v>2</v>
      </c>
      <c r="J545" s="759">
        <v>24</v>
      </c>
      <c r="K545" s="759" t="s">
        <v>984</v>
      </c>
    </row>
    <row r="546" spans="1:11" hidden="1">
      <c r="A546" s="759">
        <v>4</v>
      </c>
      <c r="B546" s="779" t="s">
        <v>432</v>
      </c>
      <c r="C546" s="759">
        <v>862</v>
      </c>
      <c r="D546" s="759">
        <v>4</v>
      </c>
      <c r="E546" s="759" t="s">
        <v>282</v>
      </c>
      <c r="F546" s="759">
        <v>376</v>
      </c>
      <c r="G546" s="759">
        <v>350</v>
      </c>
      <c r="H546" s="759">
        <v>93</v>
      </c>
      <c r="I546" s="759">
        <v>0</v>
      </c>
      <c r="J546" s="759">
        <v>24</v>
      </c>
      <c r="K546" s="759" t="s">
        <v>522</v>
      </c>
    </row>
    <row r="547" spans="1:11" hidden="1">
      <c r="A547" s="759"/>
      <c r="B547" s="777" t="s">
        <v>433</v>
      </c>
      <c r="C547" s="759"/>
      <c r="D547" s="759"/>
      <c r="E547" s="759"/>
      <c r="F547" s="759"/>
      <c r="G547" s="759"/>
      <c r="H547" s="759"/>
      <c r="I547" s="759"/>
      <c r="J547" s="759"/>
      <c r="K547" s="759"/>
    </row>
    <row r="548" spans="1:11" hidden="1">
      <c r="A548" s="759">
        <v>1</v>
      </c>
      <c r="B548" s="779" t="s">
        <v>1330</v>
      </c>
      <c r="C548" s="759" t="s">
        <v>1331</v>
      </c>
      <c r="D548" s="759">
        <v>1</v>
      </c>
      <c r="E548" s="759" t="s">
        <v>765</v>
      </c>
      <c r="F548" s="759"/>
      <c r="G548" s="759"/>
      <c r="H548" s="759"/>
      <c r="I548" s="759"/>
      <c r="J548" s="759"/>
      <c r="K548" s="759"/>
    </row>
    <row r="549" spans="1:11" hidden="1">
      <c r="A549" s="759">
        <v>2</v>
      </c>
      <c r="B549" s="779" t="s">
        <v>434</v>
      </c>
      <c r="C549" s="759">
        <v>8047</v>
      </c>
      <c r="D549" s="759">
        <v>2</v>
      </c>
      <c r="E549" s="759" t="s">
        <v>284</v>
      </c>
      <c r="F549" s="759">
        <v>7488</v>
      </c>
      <c r="G549" s="759">
        <v>5573</v>
      </c>
      <c r="H549" s="759">
        <v>74</v>
      </c>
      <c r="I549" s="759">
        <v>9</v>
      </c>
      <c r="J549" s="759">
        <v>24</v>
      </c>
      <c r="K549" s="759" t="s">
        <v>984</v>
      </c>
    </row>
    <row r="550" spans="1:11" hidden="1">
      <c r="A550" s="759">
        <v>3</v>
      </c>
      <c r="B550" s="779" t="s">
        <v>435</v>
      </c>
      <c r="C550" s="759">
        <v>9244</v>
      </c>
      <c r="D550" s="759">
        <v>3</v>
      </c>
      <c r="E550" s="759" t="s">
        <v>795</v>
      </c>
      <c r="F550" s="759">
        <v>20</v>
      </c>
      <c r="G550" s="759">
        <v>2</v>
      </c>
      <c r="H550" s="759">
        <v>12</v>
      </c>
      <c r="I550" s="759">
        <v>0</v>
      </c>
      <c r="J550" s="759">
        <v>24</v>
      </c>
      <c r="K550" s="759" t="s">
        <v>522</v>
      </c>
    </row>
    <row r="551" spans="1:11" hidden="1">
      <c r="A551" s="759">
        <v>4</v>
      </c>
      <c r="B551" s="779" t="s">
        <v>436</v>
      </c>
      <c r="C551" s="759">
        <v>8079</v>
      </c>
      <c r="D551" s="759">
        <v>4</v>
      </c>
      <c r="E551" s="759" t="s">
        <v>282</v>
      </c>
      <c r="F551" s="759">
        <v>1387</v>
      </c>
      <c r="G551" s="759">
        <v>1351</v>
      </c>
      <c r="H551" s="759">
        <v>97</v>
      </c>
      <c r="I551" s="759">
        <v>0</v>
      </c>
      <c r="J551" s="759">
        <v>24</v>
      </c>
      <c r="K551" s="759" t="s">
        <v>522</v>
      </c>
    </row>
    <row r="552" spans="1:11" hidden="1">
      <c r="A552" s="759">
        <v>5</v>
      </c>
      <c r="B552" s="779" t="s">
        <v>888</v>
      </c>
      <c r="C552" s="759">
        <v>960</v>
      </c>
      <c r="D552" s="759">
        <v>5</v>
      </c>
      <c r="E552" s="759" t="s">
        <v>284</v>
      </c>
      <c r="F552" s="759">
        <v>55677</v>
      </c>
      <c r="G552" s="759">
        <v>40440</v>
      </c>
      <c r="H552" s="759">
        <v>73</v>
      </c>
      <c r="I552" s="759">
        <v>4</v>
      </c>
      <c r="J552" s="759">
        <v>24</v>
      </c>
      <c r="K552" s="759" t="s">
        <v>984</v>
      </c>
    </row>
    <row r="553" spans="1:11" hidden="1">
      <c r="A553" s="759">
        <v>6</v>
      </c>
      <c r="B553" s="779" t="s">
        <v>130</v>
      </c>
      <c r="C553" s="759">
        <v>9237</v>
      </c>
      <c r="D553" s="759">
        <v>6</v>
      </c>
      <c r="E553" s="759" t="s">
        <v>282</v>
      </c>
      <c r="F553" s="759">
        <v>2662</v>
      </c>
      <c r="G553" s="759">
        <v>2655</v>
      </c>
      <c r="H553" s="759">
        <v>100</v>
      </c>
      <c r="I553" s="759">
        <v>4</v>
      </c>
      <c r="J553" s="759">
        <v>24</v>
      </c>
      <c r="K553" s="759" t="s">
        <v>984</v>
      </c>
    </row>
    <row r="554" spans="1:11" hidden="1">
      <c r="A554" s="759">
        <v>7</v>
      </c>
      <c r="B554" s="779" t="s">
        <v>131</v>
      </c>
      <c r="C554" s="759">
        <v>8081</v>
      </c>
      <c r="D554" s="759">
        <v>7</v>
      </c>
      <c r="E554" s="759" t="s">
        <v>282</v>
      </c>
      <c r="F554" s="759">
        <v>65646</v>
      </c>
      <c r="G554" s="759">
        <v>61891</v>
      </c>
      <c r="H554" s="759">
        <v>94</v>
      </c>
      <c r="I554" s="759">
        <v>40</v>
      </c>
      <c r="J554" s="759">
        <v>24</v>
      </c>
      <c r="K554" s="759" t="s">
        <v>1212</v>
      </c>
    </row>
    <row r="555" spans="1:11" hidden="1">
      <c r="A555" s="759"/>
      <c r="B555" s="777" t="s">
        <v>132</v>
      </c>
      <c r="C555" s="759"/>
      <c r="D555" s="759"/>
      <c r="E555" s="759"/>
      <c r="F555" s="759"/>
      <c r="G555" s="759"/>
      <c r="H555" s="759"/>
      <c r="I555" s="759"/>
      <c r="J555" s="759"/>
      <c r="K555" s="759"/>
    </row>
    <row r="556" spans="1:11" hidden="1">
      <c r="A556" s="759">
        <v>1</v>
      </c>
      <c r="B556" s="779" t="s">
        <v>1330</v>
      </c>
      <c r="C556" s="759" t="s">
        <v>1331</v>
      </c>
      <c r="D556" s="759">
        <v>1</v>
      </c>
      <c r="E556" s="759" t="s">
        <v>765</v>
      </c>
      <c r="F556" s="759"/>
      <c r="G556" s="759"/>
      <c r="H556" s="759"/>
      <c r="I556" s="759"/>
      <c r="J556" s="759"/>
      <c r="K556" s="759"/>
    </row>
    <row r="557" spans="1:11" hidden="1">
      <c r="A557" s="759">
        <v>2</v>
      </c>
      <c r="B557" s="779" t="s">
        <v>133</v>
      </c>
      <c r="C557" s="759">
        <v>264</v>
      </c>
      <c r="D557" s="759">
        <v>2</v>
      </c>
      <c r="E557" s="759" t="s">
        <v>282</v>
      </c>
      <c r="F557" s="759">
        <v>470690</v>
      </c>
      <c r="G557" s="759">
        <v>451942</v>
      </c>
      <c r="H557" s="759">
        <v>96</v>
      </c>
      <c r="I557" s="759">
        <v>0</v>
      </c>
      <c r="J557" s="759">
        <v>24</v>
      </c>
      <c r="K557" s="759" t="s">
        <v>522</v>
      </c>
    </row>
    <row r="558" spans="1:11" hidden="1">
      <c r="A558" s="759">
        <v>3</v>
      </c>
      <c r="B558" s="779" t="s">
        <v>134</v>
      </c>
      <c r="C558" s="759">
        <v>8084</v>
      </c>
      <c r="D558" s="759">
        <v>3</v>
      </c>
      <c r="E558" s="759" t="s">
        <v>286</v>
      </c>
      <c r="F558" s="759">
        <v>8171</v>
      </c>
      <c r="G558" s="759">
        <v>4838</v>
      </c>
      <c r="H558" s="759">
        <v>59</v>
      </c>
      <c r="I558" s="759">
        <v>7</v>
      </c>
      <c r="J558" s="759">
        <v>24</v>
      </c>
      <c r="K558" s="759" t="s">
        <v>984</v>
      </c>
    </row>
    <row r="559" spans="1:11" hidden="1">
      <c r="A559" s="759">
        <v>4</v>
      </c>
      <c r="B559" s="779" t="s">
        <v>135</v>
      </c>
      <c r="C559" s="759">
        <v>869</v>
      </c>
      <c r="D559" s="759">
        <v>4</v>
      </c>
      <c r="E559" s="759" t="s">
        <v>282</v>
      </c>
      <c r="F559" s="759">
        <v>116231</v>
      </c>
      <c r="G559" s="759">
        <v>111887</v>
      </c>
      <c r="H559" s="759">
        <v>96</v>
      </c>
      <c r="I559" s="759">
        <v>0</v>
      </c>
      <c r="J559" s="759">
        <v>24</v>
      </c>
      <c r="K559" s="759" t="s">
        <v>987</v>
      </c>
    </row>
    <row r="560" spans="1:11" hidden="1">
      <c r="A560" s="759">
        <v>5</v>
      </c>
      <c r="B560" s="779" t="s">
        <v>136</v>
      </c>
      <c r="C560" s="759">
        <v>899</v>
      </c>
      <c r="D560" s="759">
        <v>5</v>
      </c>
      <c r="E560" s="759" t="s">
        <v>282</v>
      </c>
      <c r="F560" s="759">
        <v>85472</v>
      </c>
      <c r="G560" s="759">
        <v>71156</v>
      </c>
      <c r="H560" s="759">
        <v>83</v>
      </c>
      <c r="I560" s="759">
        <v>0</v>
      </c>
      <c r="J560" s="759">
        <v>24</v>
      </c>
      <c r="K560" s="759" t="s">
        <v>987</v>
      </c>
    </row>
    <row r="561" spans="1:11" hidden="1">
      <c r="A561" s="759">
        <v>6</v>
      </c>
      <c r="B561" s="779" t="s">
        <v>137</v>
      </c>
      <c r="C561" s="759">
        <v>2856</v>
      </c>
      <c r="D561" s="759">
        <v>6</v>
      </c>
      <c r="E561" s="759" t="s">
        <v>282</v>
      </c>
      <c r="F561" s="759">
        <v>9954</v>
      </c>
      <c r="G561" s="759">
        <v>9747</v>
      </c>
      <c r="H561" s="759">
        <v>98</v>
      </c>
      <c r="I561" s="759">
        <v>0</v>
      </c>
      <c r="J561" s="759">
        <v>24</v>
      </c>
      <c r="K561" s="759" t="s">
        <v>522</v>
      </c>
    </row>
    <row r="562" spans="1:11" hidden="1">
      <c r="A562" s="759">
        <v>7</v>
      </c>
      <c r="B562" s="779" t="s">
        <v>138</v>
      </c>
      <c r="C562" s="759">
        <v>870</v>
      </c>
      <c r="D562" s="759">
        <v>7</v>
      </c>
      <c r="E562" s="759" t="s">
        <v>282</v>
      </c>
      <c r="F562" s="759">
        <v>218123</v>
      </c>
      <c r="G562" s="759">
        <v>214549</v>
      </c>
      <c r="H562" s="759">
        <v>98</v>
      </c>
      <c r="I562" s="759">
        <v>16</v>
      </c>
      <c r="J562" s="759">
        <v>24</v>
      </c>
      <c r="K562" s="759" t="s">
        <v>245</v>
      </c>
    </row>
    <row r="563" spans="1:11" hidden="1">
      <c r="A563" s="759">
        <v>8</v>
      </c>
      <c r="B563" s="779" t="s">
        <v>139</v>
      </c>
      <c r="C563" s="759">
        <v>1670</v>
      </c>
      <c r="D563" s="759">
        <v>8</v>
      </c>
      <c r="E563" s="759" t="s">
        <v>282</v>
      </c>
      <c r="F563" s="759">
        <v>88278</v>
      </c>
      <c r="G563" s="759">
        <v>87223</v>
      </c>
      <c r="H563" s="759">
        <v>99</v>
      </c>
      <c r="I563" s="759">
        <v>7</v>
      </c>
      <c r="J563" s="759">
        <v>24</v>
      </c>
      <c r="K563" s="759" t="s">
        <v>984</v>
      </c>
    </row>
    <row r="564" spans="1:11" hidden="1">
      <c r="A564" s="759">
        <v>9</v>
      </c>
      <c r="B564" s="779" t="s">
        <v>140</v>
      </c>
      <c r="C564" s="759">
        <v>885</v>
      </c>
      <c r="D564" s="759">
        <v>9</v>
      </c>
      <c r="E564" s="759" t="s">
        <v>282</v>
      </c>
      <c r="F564" s="759">
        <v>529865</v>
      </c>
      <c r="G564" s="759">
        <v>469129</v>
      </c>
      <c r="H564" s="759">
        <v>89</v>
      </c>
      <c r="I564" s="759">
        <v>1</v>
      </c>
      <c r="J564" s="759">
        <v>24</v>
      </c>
      <c r="K564" s="759" t="s">
        <v>987</v>
      </c>
    </row>
    <row r="565" spans="1:11" hidden="1">
      <c r="A565" s="759">
        <v>10</v>
      </c>
      <c r="B565" s="779" t="s">
        <v>141</v>
      </c>
      <c r="C565" s="759">
        <v>9274</v>
      </c>
      <c r="D565" s="759">
        <v>10</v>
      </c>
      <c r="E565" s="759" t="s">
        <v>284</v>
      </c>
      <c r="F565" s="759">
        <v>3273</v>
      </c>
      <c r="G565" s="759">
        <v>2265</v>
      </c>
      <c r="H565" s="759">
        <v>69</v>
      </c>
      <c r="I565" s="759">
        <v>20</v>
      </c>
      <c r="J565" s="759">
        <v>24</v>
      </c>
      <c r="K565" s="759" t="s">
        <v>245</v>
      </c>
    </row>
    <row r="566" spans="1:11" hidden="1">
      <c r="A566" s="759"/>
      <c r="B566" s="777" t="s">
        <v>142</v>
      </c>
      <c r="C566" s="759"/>
      <c r="D566" s="759"/>
      <c r="E566" s="759"/>
      <c r="F566" s="759"/>
      <c r="G566" s="759"/>
      <c r="H566" s="759"/>
      <c r="I566" s="759"/>
      <c r="J566" s="759"/>
      <c r="K566" s="759"/>
    </row>
    <row r="567" spans="1:11" hidden="1">
      <c r="A567" s="759">
        <v>1</v>
      </c>
      <c r="B567" s="779" t="s">
        <v>1330</v>
      </c>
      <c r="C567" s="759" t="s">
        <v>1331</v>
      </c>
      <c r="D567" s="759">
        <v>1</v>
      </c>
      <c r="E567" s="759" t="s">
        <v>765</v>
      </c>
      <c r="F567" s="759"/>
      <c r="G567" s="759"/>
      <c r="H567" s="759"/>
      <c r="I567" s="759"/>
      <c r="J567" s="759"/>
      <c r="K567" s="759"/>
    </row>
    <row r="568" spans="1:11" hidden="1">
      <c r="A568" s="759">
        <v>2</v>
      </c>
      <c r="B568" s="779" t="s">
        <v>143</v>
      </c>
      <c r="C568" s="759">
        <v>9246</v>
      </c>
      <c r="D568" s="759">
        <v>2</v>
      </c>
      <c r="E568" s="759" t="s">
        <v>282</v>
      </c>
      <c r="F568" s="759">
        <v>176</v>
      </c>
      <c r="G568" s="759">
        <v>176</v>
      </c>
      <c r="H568" s="759">
        <v>100</v>
      </c>
      <c r="I568" s="759">
        <v>0</v>
      </c>
      <c r="J568" s="759">
        <v>24</v>
      </c>
      <c r="K568" s="759" t="s">
        <v>522</v>
      </c>
    </row>
    <row r="569" spans="1:11" hidden="1">
      <c r="A569" s="781"/>
    </row>
    <row r="570" spans="1:11" hidden="1">
      <c r="A570" s="782"/>
    </row>
  </sheetData>
  <sheetProtection password="AD9B" sheet="1" objects="1" scenarios="1"/>
  <mergeCells count="6">
    <mergeCell ref="F3:H3"/>
    <mergeCell ref="T41:U41"/>
    <mergeCell ref="T43:U43"/>
    <mergeCell ref="T39:U39"/>
    <mergeCell ref="F17:G17"/>
    <mergeCell ref="H17:J17"/>
  </mergeCells>
  <phoneticPr fontId="7" type="noConversion"/>
  <conditionalFormatting sqref="C19:D36 I19:I36">
    <cfRule type="cellIs" dxfId="1" priority="1" stopIfTrue="1" operator="notEqual">
      <formula>1</formula>
    </cfRule>
  </conditionalFormatting>
  <conditionalFormatting sqref="A47:A568 D47:D568">
    <cfRule type="cellIs" dxfId="0" priority="2" stopIfTrue="1" operator="equal">
      <formula>#REF!</formula>
    </cfRule>
  </conditionalFormatting>
  <printOptions horizontalCentered="1"/>
  <pageMargins left="0.59055118110236227" right="0.59055118110236227" top="0.47244094488188981" bottom="0.47244094488188981" header="0.23622047244094491" footer="0.35433070866141736"/>
  <pageSetup paperSize="9" scale="79" orientation="portrait" blackAndWhite="1" r:id="rId1"/>
  <headerFooter alignWithMargins="0">
    <oddHeader>&amp;LGreen Building Council of South Africa&amp;R&amp;T  &amp;D</oddHeader>
    <oddFooter>&amp;L&amp;F&amp;CPage &amp;P of &amp;N&amp;RCategory: Land Use and Ecology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4" r:id="rId4" name="Button 2">
              <controlPr defaultSize="0" print="0" autoFill="0" autoPict="0" macro="[0]!GoToLandUse">
                <anchor moveWithCells="1" sizeWithCells="1">
                  <from>
                    <xdr:col>1</xdr:col>
                    <xdr:colOff>3028950</xdr:colOff>
                    <xdr:row>41</xdr:row>
                    <xdr:rowOff>57150</xdr:rowOff>
                  </from>
                  <to>
                    <xdr:col>10</xdr:col>
                    <xdr:colOff>647700</xdr:colOff>
                    <xdr:row>43</xdr:row>
                    <xdr:rowOff>9525</xdr:rowOff>
                  </to>
                </anchor>
              </controlPr>
            </control>
          </mc:Choice>
        </mc:AlternateContent>
        <mc:AlternateContent xmlns:mc="http://schemas.openxmlformats.org/markup-compatibility/2006">
          <mc:Choice Requires="x14">
            <control shapeId="64515" r:id="rId5" name="Drop Down 3">
              <controlPr locked="0" defaultSize="0" autoLine="0" autoPict="0">
                <anchor moveWithCells="1">
                  <from>
                    <xdr:col>5</xdr:col>
                    <xdr:colOff>28575</xdr:colOff>
                    <xdr:row>5</xdr:row>
                    <xdr:rowOff>57150</xdr:rowOff>
                  </from>
                  <to>
                    <xdr:col>5</xdr:col>
                    <xdr:colOff>781050</xdr:colOff>
                    <xdr:row>5</xdr:row>
                    <xdr:rowOff>266700</xdr:rowOff>
                  </to>
                </anchor>
              </controlPr>
            </control>
          </mc:Choice>
        </mc:AlternateContent>
        <mc:AlternateContent xmlns:mc="http://schemas.openxmlformats.org/markup-compatibility/2006">
          <mc:Choice Requires="x14">
            <control shapeId="64517" r:id="rId6" name="Drop Down 5">
              <controlPr defaultSize="0" autoLine="0" autoPict="0">
                <anchor moveWithCells="1">
                  <from>
                    <xdr:col>5</xdr:col>
                    <xdr:colOff>28575</xdr:colOff>
                    <xdr:row>7</xdr:row>
                    <xdr:rowOff>161925</xdr:rowOff>
                  </from>
                  <to>
                    <xdr:col>7</xdr:col>
                    <xdr:colOff>123825</xdr:colOff>
                    <xdr:row>9</xdr:row>
                    <xdr:rowOff>28575</xdr:rowOff>
                  </to>
                </anchor>
              </controlPr>
            </control>
          </mc:Choice>
        </mc:AlternateContent>
        <mc:AlternateContent xmlns:mc="http://schemas.openxmlformats.org/markup-compatibility/2006">
          <mc:Choice Requires="x14">
            <control shapeId="64518" r:id="rId7" name="Drop Down 6">
              <controlPr defaultSize="0" autoLine="0" autoPict="0">
                <anchor moveWithCells="1">
                  <from>
                    <xdr:col>5</xdr:col>
                    <xdr:colOff>28575</xdr:colOff>
                    <xdr:row>9</xdr:row>
                    <xdr:rowOff>161925</xdr:rowOff>
                  </from>
                  <to>
                    <xdr:col>7</xdr:col>
                    <xdr:colOff>123825</xdr:colOff>
                    <xdr:row>15</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M29"/>
  <sheetViews>
    <sheetView zoomScale="70" zoomScaleNormal="70" workbookViewId="0">
      <pane xSplit="2" ySplit="4" topLeftCell="C5" activePane="bottomRight" state="frozen"/>
      <selection activeCell="D17" sqref="D17"/>
      <selection pane="topRight" activeCell="D17" sqref="D17"/>
      <selection pane="bottomLeft" activeCell="D17" sqref="D17"/>
      <selection pane="bottomRight" activeCell="D10" sqref="D10"/>
    </sheetView>
  </sheetViews>
  <sheetFormatPr defaultColWidth="7.875" defaultRowHeight="12.75"/>
  <cols>
    <col min="1" max="1" width="7.25" style="378" customWidth="1"/>
    <col min="2" max="2" width="15.125" style="378" customWidth="1"/>
    <col min="3" max="3" width="25.625" style="378" customWidth="1"/>
    <col min="4" max="4" width="64.875" style="378" customWidth="1"/>
    <col min="5" max="5" width="20.625" style="378" hidden="1" customWidth="1"/>
    <col min="6" max="8" width="12.625" style="385" customWidth="1"/>
    <col min="9" max="9" width="31" style="378" customWidth="1"/>
    <col min="10" max="10" width="10.875" style="378" customWidth="1"/>
    <col min="11" max="12" width="8.875" style="378" customWidth="1"/>
    <col min="13" max="16384" width="7.875" style="378"/>
  </cols>
  <sheetData>
    <row r="1" spans="1:13" s="1134" customFormat="1" ht="24" customHeight="1" thickBot="1">
      <c r="A1" s="1133" t="str">
        <f>Calculation!N31</f>
        <v>Green Star SA - Office Design v1</v>
      </c>
      <c r="D1" s="1010"/>
      <c r="E1" s="1010"/>
      <c r="F1" s="439"/>
      <c r="G1" s="997" t="s">
        <v>483</v>
      </c>
      <c r="H1" s="998">
        <f>'Credit Summary'!J93</f>
        <v>0.08</v>
      </c>
      <c r="I1" s="999" t="s">
        <v>484</v>
      </c>
      <c r="J1" s="1000"/>
    </row>
    <row r="2" spans="1:13" s="434" customFormat="1" ht="30" customHeight="1" thickBot="1">
      <c r="A2" s="725" t="s">
        <v>391</v>
      </c>
      <c r="B2" s="384"/>
      <c r="C2" s="384"/>
      <c r="D2" s="996" t="s">
        <v>485</v>
      </c>
      <c r="E2" s="372"/>
      <c r="F2" s="1002">
        <f>F18</f>
        <v>17</v>
      </c>
      <c r="G2" s="1003">
        <f>G18</f>
        <v>0</v>
      </c>
      <c r="H2" s="1002">
        <f>H18</f>
        <v>0</v>
      </c>
      <c r="I2" s="1004">
        <f>'Credit Summary'!K93</f>
        <v>0</v>
      </c>
      <c r="J2" s="1000"/>
    </row>
    <row r="3" spans="1:13" s="434" customFormat="1" ht="19.5" customHeight="1" thickBot="1">
      <c r="A3" s="374" t="s">
        <v>1217</v>
      </c>
      <c r="B3" s="375"/>
      <c r="C3" s="376" t="str">
        <f>IF('Building Input'!$C$5=0,"",'Building Input'!$C$5)</f>
        <v/>
      </c>
      <c r="D3" s="372"/>
      <c r="E3" s="372"/>
      <c r="F3" s="439"/>
      <c r="G3" s="1132" t="str">
        <f>IF(OR((J3=Calculation!$D$97),(J3=Calculation!$D$98),((G2+H2)&gt;F2)),Calculation!$D$99,"")</f>
        <v/>
      </c>
      <c r="H3" s="439"/>
      <c r="I3" s="1001"/>
      <c r="J3" s="1008" t="str">
        <f>T(J5:J17)</f>
        <v/>
      </c>
    </row>
    <row r="4" spans="1:13" ht="33" customHeight="1" thickBot="1">
      <c r="A4" s="528" t="s">
        <v>1219</v>
      </c>
      <c r="B4" s="529" t="s">
        <v>1220</v>
      </c>
      <c r="C4" s="529" t="s">
        <v>1221</v>
      </c>
      <c r="D4" s="529" t="s">
        <v>489</v>
      </c>
      <c r="E4" s="529" t="s">
        <v>64</v>
      </c>
      <c r="F4" s="530" t="s">
        <v>490</v>
      </c>
      <c r="G4" s="530" t="s">
        <v>518</v>
      </c>
      <c r="H4" s="530" t="s">
        <v>519</v>
      </c>
      <c r="I4" s="531" t="s">
        <v>520</v>
      </c>
      <c r="J4" s="377"/>
      <c r="K4" s="377"/>
      <c r="L4" s="377"/>
    </row>
    <row r="5" spans="1:13" ht="85.5" customHeight="1">
      <c r="A5" s="248" t="s">
        <v>1503</v>
      </c>
      <c r="B5" s="267" t="s">
        <v>757</v>
      </c>
      <c r="C5" s="243" t="s">
        <v>560</v>
      </c>
      <c r="D5" s="243" t="s">
        <v>228</v>
      </c>
      <c r="E5" s="243"/>
      <c r="F5" s="244">
        <v>1</v>
      </c>
      <c r="G5" s="245"/>
      <c r="H5" s="245"/>
      <c r="I5" s="2032"/>
      <c r="J5" s="1009" t="str">
        <f>IF(OR(ISTEXT(G5)=TRUE,ISTEXT(H5)=TRUE),Calculation!$D$100,IF(G5+H5&gt;F5,Calculation!$D$97,""))</f>
        <v/>
      </c>
      <c r="K5" s="380"/>
      <c r="L5" s="381"/>
      <c r="M5" s="382"/>
    </row>
    <row r="6" spans="1:13" ht="86.25" customHeight="1">
      <c r="A6" s="249" t="s">
        <v>1504</v>
      </c>
      <c r="B6" s="266" t="s">
        <v>319</v>
      </c>
      <c r="C6" s="231" t="s">
        <v>634</v>
      </c>
      <c r="D6" s="235" t="s">
        <v>1623</v>
      </c>
      <c r="E6" s="231"/>
      <c r="F6" s="242">
        <v>2</v>
      </c>
      <c r="G6" s="228"/>
      <c r="H6" s="228"/>
      <c r="I6" s="2028"/>
      <c r="J6" s="1009" t="str">
        <f>IF(OR(ISTEXT(G6)=TRUE,ISTEXT(H6)=TRUE),Calculation!$D$100,IF(G6+H6&gt;F6,Calculation!$D$97,""))</f>
        <v/>
      </c>
      <c r="K6" s="380"/>
      <c r="L6" s="381"/>
      <c r="M6" s="382"/>
    </row>
    <row r="7" spans="1:13" ht="135" customHeight="1">
      <c r="A7" s="2715" t="s">
        <v>1505</v>
      </c>
      <c r="B7" s="2716" t="s">
        <v>320</v>
      </c>
      <c r="C7" s="2717" t="s">
        <v>1680</v>
      </c>
      <c r="D7" s="235" t="s">
        <v>654</v>
      </c>
      <c r="E7" s="2685"/>
      <c r="F7" s="242">
        <f>IF(OR(G7="na",G8="na"),0,1)</f>
        <v>1</v>
      </c>
      <c r="G7" s="228"/>
      <c r="H7" s="228"/>
      <c r="I7" s="2164"/>
      <c r="J7" s="2681" t="str">
        <f>IF(ISBLANK(G7),IF(H7&gt;F7,Calculation!$D$97,""),IF(G7="na","",IF(OR(G7="na",ISNUMBER(G7)),IF(G7+H7&gt;F7,Calculation!$D$97,""),Calculation!$D$98)))</f>
        <v/>
      </c>
      <c r="K7" s="380"/>
      <c r="L7" s="381"/>
      <c r="M7" s="382"/>
    </row>
    <row r="8" spans="1:13" ht="147.75" customHeight="1">
      <c r="A8" s="2715"/>
      <c r="B8" s="2716"/>
      <c r="C8" s="2717"/>
      <c r="D8" s="1135" t="s">
        <v>1319</v>
      </c>
      <c r="E8" s="2685"/>
      <c r="F8" s="242">
        <f>IF(OR(G7="na",G8="na"),0,1)</f>
        <v>1</v>
      </c>
      <c r="G8" s="228"/>
      <c r="H8" s="228"/>
      <c r="I8" s="2164"/>
      <c r="J8" s="2681"/>
      <c r="K8" s="380"/>
      <c r="L8" s="381"/>
      <c r="M8" s="382"/>
    </row>
    <row r="9" spans="1:13" ht="67.5" customHeight="1">
      <c r="A9" s="249" t="s">
        <v>1506</v>
      </c>
      <c r="B9" s="266" t="s">
        <v>325</v>
      </c>
      <c r="C9" s="231" t="s">
        <v>1118</v>
      </c>
      <c r="D9" s="231" t="s">
        <v>1390</v>
      </c>
      <c r="E9" s="231"/>
      <c r="F9" s="242">
        <v>1</v>
      </c>
      <c r="G9" s="228"/>
      <c r="H9" s="228"/>
      <c r="I9" s="2028"/>
      <c r="J9" s="1009" t="str">
        <f>IF(OR(ISTEXT(G9)=TRUE,ISTEXT(H9)=TRUE),Calculation!$D$100,IF(G9+H9&gt;F9,Calculation!$D$97,""))</f>
        <v/>
      </c>
      <c r="K9" s="377"/>
      <c r="L9" s="377"/>
    </row>
    <row r="10" spans="1:13" ht="206.25">
      <c r="A10" s="2715" t="s">
        <v>1507</v>
      </c>
      <c r="B10" s="2716" t="s">
        <v>321</v>
      </c>
      <c r="C10" s="2186" t="s">
        <v>1436</v>
      </c>
      <c r="D10" s="2107" t="s">
        <v>1765</v>
      </c>
      <c r="E10" s="2186"/>
      <c r="F10" s="242">
        <v>1</v>
      </c>
      <c r="G10" s="228"/>
      <c r="H10" s="228"/>
      <c r="I10" s="2164"/>
      <c r="J10" s="1009" t="str">
        <f>IF(OR(ISTEXT(G10)=TRUE,ISTEXT(H10)=TRUE),Calculation!$D$100,IF(G10+H10&gt;F10,Calculation!$D$97,""))</f>
        <v/>
      </c>
      <c r="K10" s="380"/>
      <c r="L10" s="381"/>
      <c r="M10" s="382"/>
    </row>
    <row r="11" spans="1:13" ht="166.5" customHeight="1">
      <c r="A11" s="2715"/>
      <c r="B11" s="2716"/>
      <c r="C11" s="2186"/>
      <c r="D11" s="2107" t="s">
        <v>1766</v>
      </c>
      <c r="E11" s="2186"/>
      <c r="F11" s="242">
        <v>1</v>
      </c>
      <c r="G11" s="228"/>
      <c r="H11" s="228"/>
      <c r="I11" s="2164"/>
      <c r="J11" s="1009" t="str">
        <f>IF(OR(ISTEXT(G11)=TRUE,ISTEXT(H11)=TRUE),Calculation!$D$100,IF(G11+H11&gt;F11,Calculation!$D$97,""))</f>
        <v/>
      </c>
      <c r="K11" s="380"/>
      <c r="L11" s="381"/>
      <c r="M11" s="382"/>
    </row>
    <row r="12" spans="1:13" ht="213">
      <c r="A12" s="2715"/>
      <c r="B12" s="2716"/>
      <c r="C12" s="2186"/>
      <c r="D12" s="2108" t="s">
        <v>1767</v>
      </c>
      <c r="E12" s="2186"/>
      <c r="F12" s="242">
        <f>IF(G12="na",0,1)</f>
        <v>1</v>
      </c>
      <c r="G12" s="228"/>
      <c r="H12" s="228"/>
      <c r="I12" s="2164"/>
      <c r="J12" s="1009" t="str">
        <f>IF(ISBLANK(G12),IF(H12&gt;F12,Calculation!$D$97,""),IF(G12="na","",IF(OR(G12="na",ISNUMBER(G12)),IF(G12+H12&gt;F12,Calculation!$D$97,""),Calculation!$D$98)))</f>
        <v/>
      </c>
      <c r="K12" s="380"/>
      <c r="L12" s="381"/>
      <c r="M12" s="382"/>
    </row>
    <row r="13" spans="1:13" ht="178.5" customHeight="1">
      <c r="A13" s="2715" t="s">
        <v>1508</v>
      </c>
      <c r="B13" s="2716" t="s">
        <v>322</v>
      </c>
      <c r="C13" s="2186" t="s">
        <v>1176</v>
      </c>
      <c r="D13" s="231" t="s">
        <v>1512</v>
      </c>
      <c r="E13" s="2186"/>
      <c r="F13" s="242">
        <v>4</v>
      </c>
      <c r="G13" s="454">
        <f>'Sewage Calculator'!E34</f>
        <v>0</v>
      </c>
      <c r="H13" s="228"/>
      <c r="I13" s="2164"/>
      <c r="J13" s="1009" t="str">
        <f>IF(OR(ISTEXT(G13)=TRUE,ISTEXT(H13)=TRUE),Calculation!$D$100,IF(G13+H13&gt;F13,Calculation!$D$97,""))</f>
        <v/>
      </c>
      <c r="K13" s="380"/>
      <c r="L13" s="381"/>
      <c r="M13" s="382"/>
    </row>
    <row r="14" spans="1:13" ht="128.25" customHeight="1">
      <c r="A14" s="2715"/>
      <c r="B14" s="2716"/>
      <c r="C14" s="2186"/>
      <c r="D14" s="231" t="s">
        <v>1107</v>
      </c>
      <c r="E14" s="2186"/>
      <c r="F14" s="242">
        <f>IF(G14="na",0,1)</f>
        <v>1</v>
      </c>
      <c r="G14" s="228"/>
      <c r="H14" s="228"/>
      <c r="I14" s="2164"/>
      <c r="J14" s="1009" t="str">
        <f>IF(ISBLANK(G14),IF(H14&gt;F14,Calculation!$D$97,""),IF(G14="na","",IF(OR(G14="na",ISNUMBER(G14)),IF(G14+H14&gt;F14,Calculation!$D$97,""),Calculation!$D$98)))</f>
        <v/>
      </c>
      <c r="K14" s="380"/>
      <c r="L14" s="381"/>
      <c r="M14" s="382"/>
    </row>
    <row r="15" spans="1:13" ht="142.5" customHeight="1">
      <c r="A15" s="249" t="s">
        <v>1509</v>
      </c>
      <c r="B15" s="266" t="s">
        <v>323</v>
      </c>
      <c r="C15" s="231" t="s">
        <v>1203</v>
      </c>
      <c r="D15" s="366" t="s">
        <v>889</v>
      </c>
      <c r="E15" s="231"/>
      <c r="F15" s="242">
        <v>1</v>
      </c>
      <c r="G15" s="228"/>
      <c r="H15" s="228"/>
      <c r="I15" s="2028"/>
      <c r="J15" s="1009" t="str">
        <f>IF(OR(ISTEXT(G15)=TRUE,ISTEXT(H15)=TRUE),Calculation!$D$100,IF(G15+H15&gt;F15,Calculation!$D$97,""))</f>
        <v/>
      </c>
      <c r="K15" s="380"/>
      <c r="L15" s="381"/>
      <c r="M15" s="382"/>
    </row>
    <row r="16" spans="1:13" ht="71.25" customHeight="1">
      <c r="A16" s="249" t="s">
        <v>1510</v>
      </c>
      <c r="B16" s="266" t="s">
        <v>324</v>
      </c>
      <c r="C16" s="231" t="s">
        <v>1204</v>
      </c>
      <c r="D16" s="366" t="s">
        <v>1599</v>
      </c>
      <c r="E16" s="231"/>
      <c r="F16" s="242">
        <v>1</v>
      </c>
      <c r="G16" s="228"/>
      <c r="H16" s="228"/>
      <c r="I16" s="2028"/>
      <c r="J16" s="1009" t="str">
        <f>IF(OR(ISTEXT(G16)=TRUE,ISTEXT(H16)=TRUE),Calculation!$D$100,IF(G16+H16&gt;F16,Calculation!$D$97,""))</f>
        <v/>
      </c>
      <c r="K16" s="380"/>
      <c r="L16" s="381"/>
      <c r="M16" s="382"/>
    </row>
    <row r="17" spans="1:13" ht="125.25" customHeight="1" thickBot="1">
      <c r="A17" s="849" t="s">
        <v>1511</v>
      </c>
      <c r="B17" s="326" t="s">
        <v>905</v>
      </c>
      <c r="C17" s="367" t="s">
        <v>590</v>
      </c>
      <c r="D17" s="367" t="s">
        <v>1475</v>
      </c>
      <c r="E17" s="850"/>
      <c r="F17" s="851">
        <f>IF(G17="na",0,1)</f>
        <v>1</v>
      </c>
      <c r="G17" s="342"/>
      <c r="H17" s="342"/>
      <c r="I17" s="2030"/>
      <c r="J17" s="1009" t="str">
        <f>IF(ISBLANK(G17),IF(H17&gt;F17,Calculation!$D$97,""),IF(G17="na","",IF(OR(G17="na",ISNUMBER(G17)),IF(G17+H17&gt;F17,Calculation!$D$97,""),Calculation!$D$98)))</f>
        <v/>
      </c>
      <c r="K17" s="380"/>
      <c r="L17" s="381"/>
      <c r="M17" s="382"/>
    </row>
    <row r="18" spans="1:13" ht="18.75" customHeight="1" thickBot="1">
      <c r="A18" s="532"/>
      <c r="B18" s="533"/>
      <c r="C18" s="533"/>
      <c r="D18" s="388" t="s">
        <v>729</v>
      </c>
      <c r="E18" s="534" t="s">
        <v>88</v>
      </c>
      <c r="F18" s="390">
        <f>SUM(F5:F17)</f>
        <v>17</v>
      </c>
      <c r="G18" s="390">
        <f>SUM(G5:G17)</f>
        <v>0</v>
      </c>
      <c r="H18" s="390">
        <f>SUM(H5:H17)</f>
        <v>0</v>
      </c>
      <c r="I18" s="848"/>
      <c r="J18" s="847"/>
      <c r="K18" s="377"/>
      <c r="L18" s="377"/>
    </row>
    <row r="19" spans="1:13">
      <c r="A19" s="372"/>
      <c r="F19" s="383"/>
      <c r="G19" s="383"/>
      <c r="H19" s="383"/>
      <c r="I19" s="384"/>
    </row>
    <row r="20" spans="1:13">
      <c r="A20" s="372"/>
      <c r="F20" s="383"/>
      <c r="G20" s="383"/>
      <c r="H20" s="383"/>
      <c r="I20" s="384"/>
    </row>
    <row r="21" spans="1:13">
      <c r="A21" s="372"/>
      <c r="F21" s="383"/>
      <c r="G21" s="383"/>
      <c r="H21" s="383"/>
      <c r="I21" s="384"/>
    </row>
    <row r="22" spans="1:13">
      <c r="A22" s="1005" t="str">
        <f>Calculation!$C$86</f>
        <v>Project Teams are to refer to the Green Star SA Office v1 Technical Manual for explicit credit criteria and documentation requirements.</v>
      </c>
      <c r="F22" s="383"/>
      <c r="G22" s="383"/>
      <c r="H22" s="383"/>
      <c r="I22" s="384"/>
    </row>
    <row r="23" spans="1:13">
      <c r="A23" s="1005" t="str">
        <f>Calculation!$C$87</f>
        <v>The Green Star Technical Clarifications (TC) and Credit Interpretation Request (CIR) rulings provide an essential source of information to all</v>
      </c>
      <c r="F23" s="383"/>
      <c r="G23" s="383"/>
      <c r="H23" s="383"/>
      <c r="I23" s="377"/>
    </row>
    <row r="24" spans="1:13">
      <c r="A24" s="1005" t="str">
        <f>Calculation!$C$88</f>
        <v>projects undertaking Green Star assessment. They are available on the GBCSA website http://www.gbcsa.org.za . Technical Clarifications</v>
      </c>
      <c r="F24" s="383"/>
      <c r="G24" s="383"/>
      <c r="H24" s="383"/>
      <c r="I24" s="377"/>
    </row>
    <row r="25" spans="1:13">
      <c r="A25" s="1005" t="str">
        <f>Calculation!$C$89</f>
        <v xml:space="preserve">often represent the GBCSA answers to technical queries and complement Green Star SA Technical Manuals. They do not amend but clarify </v>
      </c>
    </row>
    <row r="26" spans="1:13">
      <c r="A26" s="1005" t="str">
        <f>Calculation!$C$90</f>
        <v xml:space="preserve">Credit Criteria or Compliance Requirements. They are an extension of the Technical Manual; it is the responsibility of the project teams to stay </v>
      </c>
    </row>
    <row r="27" spans="1:13">
      <c r="A27" s="1005" t="str">
        <f>Calculation!$C$91</f>
        <v xml:space="preserve">up-to-date with this section of the GBCSA website. The CIR rulings offer alternative compliance options whenever those have been deemed </v>
      </c>
    </row>
    <row r="28" spans="1:13">
      <c r="A28" s="1005" t="str">
        <f>Calculation!$C$92</f>
        <v>equivalent in meeting the Aim of Credit.</v>
      </c>
    </row>
    <row r="29" spans="1:13">
      <c r="A29" s="1005"/>
    </row>
  </sheetData>
  <sheetProtection password="AD9B" sheet="1" objects="1" scenarios="1"/>
  <mergeCells count="16">
    <mergeCell ref="A13:A14"/>
    <mergeCell ref="B13:B14"/>
    <mergeCell ref="C13:C14"/>
    <mergeCell ref="A7:A8"/>
    <mergeCell ref="A10:A12"/>
    <mergeCell ref="B10:B12"/>
    <mergeCell ref="C10:C12"/>
    <mergeCell ref="B7:B8"/>
    <mergeCell ref="C7:C8"/>
    <mergeCell ref="J7:J8"/>
    <mergeCell ref="E7:E8"/>
    <mergeCell ref="E13:E14"/>
    <mergeCell ref="I13:I14"/>
    <mergeCell ref="E10:E12"/>
    <mergeCell ref="I10:I12"/>
    <mergeCell ref="I7:I8"/>
  </mergeCells>
  <phoneticPr fontId="0"/>
  <printOptions horizontalCentered="1"/>
  <pageMargins left="0.59055118110236227" right="0.59055118110236227" top="0.47244094488188981" bottom="0.47244094488188981" header="0.23622047244094491" footer="0.35433070866141736"/>
  <pageSetup paperSize="9" scale="65" fitToHeight="3" orientation="landscape" blackAndWhite="1" r:id="rId1"/>
  <headerFooter alignWithMargins="0">
    <oddHeader>&amp;LGreen Building Council of South Africa&amp;R&amp;T   &amp;D</oddHeader>
    <oddFooter>&amp;L&amp;F&amp;CPage &amp;P of &amp;N&amp;RCategory: &amp;A</oddFooter>
  </headerFooter>
  <rowBreaks count="2" manualBreakCount="2">
    <brk id="9" max="8" man="1"/>
    <brk id="14" max="8" man="1"/>
  </rowBreaks>
  <ignoredErrors>
    <ignoredError sqref="J12:J1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Button 1">
              <controlPr defaultSize="0" print="0" autoFill="0" autoPict="0" macro="[0]!GoToCreditSummary">
                <anchor moveWithCells="1" sizeWithCells="1">
                  <from>
                    <xdr:col>5</xdr:col>
                    <xdr:colOff>876300</xdr:colOff>
                    <xdr:row>18</xdr:row>
                    <xdr:rowOff>104775</xdr:rowOff>
                  </from>
                  <to>
                    <xdr:col>8</xdr:col>
                    <xdr:colOff>0</xdr:colOff>
                    <xdr:row>20</xdr:row>
                    <xdr:rowOff>57150</xdr:rowOff>
                  </to>
                </anchor>
              </controlPr>
            </control>
          </mc:Choice>
        </mc:AlternateContent>
        <mc:AlternateContent xmlns:mc="http://schemas.openxmlformats.org/markup-compatibility/2006">
          <mc:Choice Requires="x14">
            <control shapeId="41986" r:id="rId5" name="Button 2">
              <controlPr defaultSize="0" print="0" autoFill="0" autoPict="0" macro="[0]!GoToSewerage">
                <anchor moveWithCells="1" sizeWithCells="1">
                  <from>
                    <xdr:col>3</xdr:col>
                    <xdr:colOff>771525</xdr:colOff>
                    <xdr:row>12</xdr:row>
                    <xdr:rowOff>1828800</xdr:rowOff>
                  </from>
                  <to>
                    <xdr:col>3</xdr:col>
                    <xdr:colOff>3762375</xdr:colOff>
                    <xdr:row>12</xdr:row>
                    <xdr:rowOff>2085975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1">
    <pageSetUpPr fitToPage="1"/>
  </sheetPr>
  <dimension ref="A1:AP84"/>
  <sheetViews>
    <sheetView zoomScale="80" zoomScaleNormal="100" zoomScaleSheetLayoutView="100" workbookViewId="0">
      <pane ySplit="3" topLeftCell="A4" activePane="bottomLeft" state="frozen"/>
      <selection activeCell="D17" sqref="D17"/>
      <selection pane="bottomLeft" activeCell="A45" sqref="A45"/>
    </sheetView>
  </sheetViews>
  <sheetFormatPr defaultColWidth="7.875" defaultRowHeight="12.75"/>
  <cols>
    <col min="1" max="1" width="2.875" style="865" customWidth="1"/>
    <col min="2" max="2" width="5.375" style="865" customWidth="1"/>
    <col min="3" max="3" width="13.375" style="865" customWidth="1"/>
    <col min="4" max="4" width="19.75" style="865" customWidth="1"/>
    <col min="5" max="5" width="25" style="892" customWidth="1"/>
    <col min="6" max="6" width="6.25" style="852" customWidth="1"/>
    <col min="7" max="7" width="9.625" style="852" customWidth="1"/>
    <col min="8" max="8" width="7" style="693" hidden="1" customWidth="1"/>
    <col min="9" max="9" width="16.75" style="865" hidden="1" customWidth="1"/>
    <col min="10" max="10" width="16.875" style="865" hidden="1" customWidth="1"/>
    <col min="11" max="11" width="18" style="865" hidden="1" customWidth="1"/>
    <col min="12" max="12" width="15.75" style="865" hidden="1" customWidth="1"/>
    <col min="13" max="13" width="6.875" style="865" hidden="1" customWidth="1"/>
    <col min="14" max="14" width="8.375" style="865" hidden="1" customWidth="1"/>
    <col min="15" max="16" width="9.375" style="865" hidden="1" customWidth="1"/>
    <col min="17" max="17" width="9" style="865" hidden="1" customWidth="1"/>
    <col min="18" max="18" width="7.875" style="865" hidden="1" customWidth="1"/>
    <col min="19" max="41" width="7.875" style="865" customWidth="1"/>
    <col min="42" max="16384" width="7.875" style="865"/>
  </cols>
  <sheetData>
    <row r="1" spans="1:42" s="852" customFormat="1" ht="27" customHeight="1">
      <c r="B1" s="2752" t="str">
        <f>Calculation!N31</f>
        <v>Green Star SA - Office Design v1</v>
      </c>
      <c r="C1" s="2753"/>
      <c r="D1" s="2753"/>
      <c r="E1" s="2753"/>
      <c r="F1" s="2753"/>
      <c r="G1" s="855"/>
      <c r="H1" s="690"/>
      <c r="I1" s="854"/>
      <c r="J1" s="854"/>
      <c r="K1" s="854"/>
      <c r="L1" s="854"/>
      <c r="M1" s="854"/>
      <c r="N1" s="854"/>
      <c r="O1" s="854"/>
      <c r="P1" s="854"/>
      <c r="Q1" s="854"/>
      <c r="R1" s="854"/>
      <c r="S1" s="854"/>
      <c r="T1" s="854"/>
      <c r="U1" s="854"/>
      <c r="V1" s="854"/>
      <c r="W1" s="854"/>
      <c r="X1" s="854"/>
      <c r="Y1" s="854"/>
      <c r="Z1" s="854"/>
      <c r="AA1" s="854"/>
      <c r="AB1" s="854"/>
      <c r="AC1" s="854"/>
      <c r="AD1" s="855"/>
      <c r="AE1" s="855"/>
      <c r="AF1" s="855"/>
      <c r="AG1" s="855"/>
      <c r="AH1" s="855"/>
      <c r="AI1" s="855"/>
      <c r="AJ1" s="855"/>
      <c r="AK1" s="855"/>
      <c r="AL1" s="855"/>
      <c r="AM1" s="855"/>
      <c r="AN1" s="855"/>
      <c r="AO1" s="855"/>
      <c r="AP1" s="855"/>
    </row>
    <row r="2" spans="1:42" s="852" customFormat="1" ht="27" customHeight="1">
      <c r="B2" s="544" t="s">
        <v>269</v>
      </c>
      <c r="C2" s="545"/>
      <c r="D2" s="546"/>
      <c r="E2" s="344" t="s">
        <v>373</v>
      </c>
      <c r="F2" s="294">
        <f>E34</f>
        <v>0</v>
      </c>
      <c r="G2" s="910"/>
      <c r="H2" s="690"/>
      <c r="I2" s="854"/>
      <c r="J2" s="854"/>
      <c r="K2" s="854"/>
      <c r="L2" s="854"/>
      <c r="M2" s="854"/>
      <c r="N2" s="854"/>
      <c r="O2" s="854"/>
      <c r="P2" s="854"/>
      <c r="Q2" s="854"/>
      <c r="R2" s="854"/>
      <c r="S2" s="854"/>
      <c r="T2" s="854"/>
      <c r="U2" s="854"/>
      <c r="V2" s="854"/>
      <c r="W2" s="854"/>
      <c r="X2" s="854"/>
      <c r="Y2" s="854"/>
      <c r="Z2" s="854"/>
      <c r="AA2" s="854"/>
      <c r="AB2" s="854"/>
      <c r="AC2" s="854"/>
      <c r="AD2" s="855"/>
      <c r="AE2" s="855"/>
      <c r="AF2" s="855"/>
      <c r="AG2" s="855"/>
      <c r="AH2" s="855"/>
      <c r="AI2" s="855"/>
      <c r="AJ2" s="855"/>
      <c r="AK2" s="855"/>
      <c r="AL2" s="855"/>
      <c r="AM2" s="855"/>
      <c r="AN2" s="855"/>
      <c r="AO2" s="855"/>
      <c r="AP2" s="855"/>
    </row>
    <row r="3" spans="1:42" s="852" customFormat="1" ht="6" customHeight="1">
      <c r="B3" s="2753"/>
      <c r="C3" s="2753"/>
      <c r="D3" s="2753"/>
      <c r="E3" s="2753"/>
      <c r="F3" s="2753"/>
      <c r="G3" s="855"/>
      <c r="H3" s="690"/>
      <c r="I3" s="854"/>
      <c r="J3" s="854"/>
      <c r="K3" s="854"/>
      <c r="L3" s="854"/>
      <c r="M3" s="854"/>
      <c r="N3" s="854"/>
      <c r="O3" s="854"/>
      <c r="P3" s="854"/>
      <c r="Q3" s="854"/>
      <c r="R3" s="854"/>
      <c r="S3" s="854"/>
      <c r="T3" s="854"/>
      <c r="U3" s="854"/>
      <c r="V3" s="854"/>
      <c r="W3" s="854"/>
      <c r="X3" s="854"/>
      <c r="Y3" s="854"/>
      <c r="Z3" s="854"/>
      <c r="AA3" s="854"/>
      <c r="AB3" s="854"/>
      <c r="AC3" s="854"/>
      <c r="AD3" s="855"/>
      <c r="AE3" s="855"/>
      <c r="AF3" s="855"/>
      <c r="AG3" s="855"/>
      <c r="AH3" s="855"/>
      <c r="AI3" s="855"/>
      <c r="AJ3" s="855"/>
      <c r="AK3" s="855"/>
      <c r="AL3" s="855"/>
      <c r="AM3" s="855"/>
      <c r="AN3" s="855"/>
      <c r="AO3" s="855"/>
    </row>
    <row r="4" spans="1:42" s="852" customFormat="1" ht="21" hidden="1">
      <c r="B4" s="853"/>
      <c r="C4" s="2755"/>
      <c r="D4" s="2755"/>
      <c r="E4" s="856"/>
      <c r="F4" s="853"/>
      <c r="G4" s="911"/>
      <c r="H4" s="690"/>
      <c r="I4" s="854"/>
      <c r="J4" s="854"/>
      <c r="K4" s="854"/>
      <c r="L4" s="854"/>
      <c r="M4" s="854"/>
      <c r="N4" s="854"/>
      <c r="O4" s="854"/>
      <c r="P4" s="854"/>
      <c r="Q4" s="854"/>
      <c r="R4" s="854"/>
      <c r="S4" s="854"/>
      <c r="T4" s="854"/>
      <c r="U4" s="854"/>
      <c r="V4" s="854"/>
      <c r="W4" s="854"/>
      <c r="X4" s="854"/>
      <c r="Y4" s="854"/>
      <c r="Z4" s="854"/>
      <c r="AA4" s="854"/>
      <c r="AB4" s="854"/>
      <c r="AC4" s="854"/>
      <c r="AD4" s="855"/>
      <c r="AE4" s="855"/>
      <c r="AF4" s="855"/>
      <c r="AG4" s="855"/>
      <c r="AH4" s="855"/>
      <c r="AI4" s="855"/>
      <c r="AJ4" s="855"/>
      <c r="AK4" s="855"/>
      <c r="AL4" s="855"/>
      <c r="AM4" s="855"/>
      <c r="AN4" s="855"/>
      <c r="AO4" s="855"/>
      <c r="AP4" s="855"/>
    </row>
    <row r="5" spans="1:42" s="852" customFormat="1" ht="21" hidden="1">
      <c r="A5" s="855"/>
      <c r="B5" s="853"/>
      <c r="C5" s="853"/>
      <c r="D5" s="853"/>
      <c r="E5" s="853"/>
      <c r="F5" s="853"/>
      <c r="G5" s="911"/>
      <c r="H5" s="690"/>
      <c r="I5" s="854"/>
      <c r="J5" s="854"/>
      <c r="K5" s="854"/>
      <c r="L5" s="854"/>
      <c r="M5" s="854"/>
      <c r="N5" s="854"/>
      <c r="O5" s="854"/>
      <c r="P5" s="854"/>
      <c r="Q5" s="854"/>
      <c r="R5" s="854"/>
      <c r="S5" s="854"/>
      <c r="T5" s="854"/>
      <c r="U5" s="854"/>
      <c r="V5" s="854"/>
      <c r="W5" s="854"/>
      <c r="X5" s="854"/>
      <c r="Y5" s="854"/>
      <c r="Z5" s="854"/>
      <c r="AA5" s="854"/>
      <c r="AB5" s="854"/>
      <c r="AC5" s="854"/>
      <c r="AD5" s="855"/>
      <c r="AE5" s="855"/>
      <c r="AF5" s="855"/>
      <c r="AG5" s="855"/>
      <c r="AH5" s="855"/>
      <c r="AI5" s="855"/>
      <c r="AJ5" s="855"/>
      <c r="AK5" s="855"/>
      <c r="AL5" s="855"/>
      <c r="AM5" s="855"/>
      <c r="AN5" s="855"/>
      <c r="AO5" s="855"/>
      <c r="AP5" s="855"/>
    </row>
    <row r="6" spans="1:42" s="862" customFormat="1" ht="13.5" hidden="1">
      <c r="A6" s="857"/>
      <c r="B6" s="858"/>
      <c r="C6" s="2756"/>
      <c r="D6" s="2756"/>
      <c r="E6" s="859"/>
      <c r="F6" s="912"/>
      <c r="G6" s="913"/>
      <c r="H6" s="861"/>
      <c r="I6" s="860"/>
      <c r="J6" s="860"/>
      <c r="K6" s="860"/>
      <c r="L6" s="860"/>
      <c r="M6" s="860"/>
      <c r="N6" s="860"/>
      <c r="O6" s="860"/>
      <c r="P6" s="860"/>
      <c r="Q6" s="860"/>
      <c r="R6" s="860"/>
      <c r="S6" s="860"/>
      <c r="T6" s="860"/>
      <c r="U6" s="860"/>
      <c r="V6" s="860"/>
      <c r="W6" s="860"/>
      <c r="X6" s="860"/>
      <c r="Y6" s="860"/>
      <c r="Z6" s="860"/>
      <c r="AA6" s="860"/>
      <c r="AB6" s="860"/>
      <c r="AC6" s="860"/>
      <c r="AD6" s="857"/>
      <c r="AE6" s="857"/>
      <c r="AF6" s="857"/>
      <c r="AG6" s="857"/>
      <c r="AH6" s="857"/>
      <c r="AI6" s="857"/>
      <c r="AJ6" s="857"/>
      <c r="AK6" s="857"/>
      <c r="AL6" s="857"/>
      <c r="AM6" s="857"/>
      <c r="AN6" s="857"/>
      <c r="AO6" s="857"/>
      <c r="AP6" s="857"/>
    </row>
    <row r="7" spans="1:42" s="852" customFormat="1" ht="13.5" hidden="1">
      <c r="A7" s="855"/>
      <c r="B7" s="858"/>
      <c r="C7" s="863"/>
      <c r="D7" s="863"/>
      <c r="E7" s="864"/>
      <c r="F7" s="914"/>
      <c r="G7" s="915"/>
      <c r="H7" s="690"/>
      <c r="I7" s="854"/>
      <c r="J7" s="854"/>
      <c r="K7" s="854"/>
      <c r="L7" s="854"/>
      <c r="M7" s="854"/>
      <c r="N7" s="854"/>
      <c r="O7" s="854"/>
      <c r="P7" s="865"/>
      <c r="Q7" s="865"/>
      <c r="R7" s="865"/>
      <c r="S7" s="865"/>
      <c r="T7" s="865"/>
      <c r="U7" s="865"/>
      <c r="V7" s="865"/>
      <c r="W7" s="865"/>
      <c r="X7" s="865"/>
      <c r="Y7" s="865"/>
      <c r="Z7" s="865"/>
      <c r="AA7" s="865"/>
      <c r="AB7" s="865"/>
      <c r="AC7" s="865"/>
      <c r="AP7" s="855"/>
    </row>
    <row r="8" spans="1:42" ht="9.75" hidden="1" customHeight="1">
      <c r="B8" s="866"/>
      <c r="C8" s="690"/>
      <c r="D8" s="692"/>
      <c r="E8" s="692"/>
      <c r="F8" s="916"/>
      <c r="G8" s="915"/>
      <c r="H8" s="690"/>
      <c r="I8" s="2750"/>
      <c r="J8" s="2750"/>
      <c r="K8" s="689"/>
      <c r="L8" s="689"/>
      <c r="M8" s="689"/>
      <c r="N8" s="689"/>
      <c r="O8" s="689"/>
    </row>
    <row r="9" spans="1:42" s="852" customFormat="1" ht="15.75" customHeight="1">
      <c r="B9" s="855"/>
      <c r="F9" s="911"/>
      <c r="G9" s="915"/>
      <c r="H9" s="867"/>
      <c r="Q9" s="865"/>
      <c r="R9" s="865"/>
      <c r="S9" s="865"/>
      <c r="T9" s="865"/>
      <c r="U9" s="865"/>
      <c r="V9" s="865"/>
      <c r="W9" s="865"/>
      <c r="X9" s="865"/>
      <c r="Y9" s="865"/>
      <c r="Z9" s="865"/>
      <c r="AA9" s="865"/>
      <c r="AB9" s="865"/>
      <c r="AC9" s="865"/>
    </row>
    <row r="10" spans="1:42" ht="15.75">
      <c r="B10" s="854"/>
      <c r="C10" s="2754" t="s">
        <v>736</v>
      </c>
      <c r="D10" s="2754"/>
      <c r="E10" s="2754"/>
      <c r="F10" s="917"/>
      <c r="H10" s="690"/>
    </row>
    <row r="11" spans="1:42" ht="13.5" thickBot="1">
      <c r="B11" s="854"/>
      <c r="C11" s="855" t="s">
        <v>737</v>
      </c>
      <c r="D11" s="855"/>
      <c r="E11" s="868"/>
      <c r="F11" s="918"/>
      <c r="G11" s="915"/>
      <c r="H11" s="690"/>
    </row>
    <row r="12" spans="1:42" ht="62.25" customHeight="1" thickBot="1">
      <c r="B12" s="854"/>
      <c r="C12" s="2757" t="s">
        <v>797</v>
      </c>
      <c r="D12" s="2758"/>
      <c r="E12" s="2759"/>
      <c r="F12" s="917"/>
      <c r="H12" s="690"/>
    </row>
    <row r="13" spans="1:42" ht="14.25">
      <c r="B13" s="854"/>
      <c r="C13" s="2722"/>
      <c r="D13" s="2723"/>
      <c r="E13" s="904" t="s">
        <v>1133</v>
      </c>
      <c r="F13" s="918"/>
      <c r="G13" s="915"/>
      <c r="H13" s="690"/>
    </row>
    <row r="14" spans="1:42" ht="13.5" customHeight="1">
      <c r="B14" s="854"/>
      <c r="C14" s="2720" t="s">
        <v>147</v>
      </c>
      <c r="D14" s="2359"/>
      <c r="E14" s="301">
        <f>'Potable Water Calculator'!G54</f>
        <v>0</v>
      </c>
      <c r="F14" s="917"/>
      <c r="H14" s="690"/>
    </row>
    <row r="15" spans="1:42" ht="13.5" customHeight="1">
      <c r="B15" s="854"/>
      <c r="C15" s="2720" t="s">
        <v>739</v>
      </c>
      <c r="D15" s="2359" t="e">
        <f>#REF!</f>
        <v>#REF!</v>
      </c>
      <c r="E15" s="301">
        <f>'Potable Water Calculator'!G55</f>
        <v>0</v>
      </c>
      <c r="F15" s="855"/>
      <c r="H15" s="690"/>
      <c r="I15" s="854"/>
      <c r="J15" s="854"/>
      <c r="K15" s="854"/>
      <c r="L15" s="854"/>
      <c r="M15" s="854"/>
      <c r="N15" s="854"/>
      <c r="O15" s="854"/>
    </row>
    <row r="16" spans="1:42" ht="13.5" customHeight="1">
      <c r="B16" s="854"/>
      <c r="C16" s="2720" t="s">
        <v>1222</v>
      </c>
      <c r="D16" s="2359" t="e">
        <f>#REF!</f>
        <v>#REF!</v>
      </c>
      <c r="E16" s="301">
        <f>'Potable Water Calculator'!G56</f>
        <v>0</v>
      </c>
      <c r="F16" s="855"/>
      <c r="H16" s="690"/>
      <c r="I16" s="854"/>
      <c r="J16" s="854"/>
      <c r="K16" s="854"/>
      <c r="L16" s="854"/>
      <c r="M16" s="854"/>
      <c r="N16" s="854"/>
      <c r="O16" s="854"/>
    </row>
    <row r="17" spans="2:18" ht="13.5" customHeight="1">
      <c r="B17" s="854"/>
      <c r="C17" s="2720" t="s">
        <v>637</v>
      </c>
      <c r="D17" s="2359" t="e">
        <f>#REF!</f>
        <v>#REF!</v>
      </c>
      <c r="E17" s="301">
        <f>'Potable Water Calculator'!G57</f>
        <v>0</v>
      </c>
      <c r="F17" s="855"/>
      <c r="H17" s="690"/>
      <c r="I17" s="854"/>
      <c r="J17" s="854"/>
      <c r="K17" s="854"/>
      <c r="L17" s="854"/>
      <c r="M17" s="854"/>
      <c r="N17" s="854"/>
      <c r="O17" s="854"/>
    </row>
    <row r="18" spans="2:18" ht="26.25" customHeight="1" thickBot="1">
      <c r="B18" s="854"/>
      <c r="C18" s="2760" t="s">
        <v>796</v>
      </c>
      <c r="D18" s="2761"/>
      <c r="E18" s="353">
        <f>'Potable Water Calculator'!G52</f>
        <v>0</v>
      </c>
      <c r="F18" s="855"/>
      <c r="H18" s="690"/>
      <c r="I18" s="854"/>
      <c r="J18" s="854"/>
      <c r="K18" s="854"/>
      <c r="L18" s="854"/>
      <c r="M18" s="854"/>
      <c r="N18" s="854"/>
      <c r="O18" s="854"/>
    </row>
    <row r="19" spans="2:18" s="854" customFormat="1">
      <c r="C19" s="855"/>
      <c r="E19" s="868"/>
      <c r="F19" s="855"/>
      <c r="G19" s="855"/>
      <c r="H19" s="690"/>
    </row>
    <row r="20" spans="2:18">
      <c r="B20" s="905"/>
      <c r="C20" s="905"/>
      <c r="D20" s="905"/>
      <c r="E20" s="906"/>
      <c r="F20" s="855"/>
      <c r="H20" s="908"/>
      <c r="I20" s="905"/>
      <c r="J20" s="905"/>
      <c r="K20" s="905"/>
      <c r="L20" s="905"/>
      <c r="M20" s="905"/>
      <c r="N20" s="905"/>
      <c r="O20" s="905"/>
      <c r="P20" s="907"/>
      <c r="Q20" s="907"/>
      <c r="R20" s="907"/>
    </row>
    <row r="21" spans="2:18" ht="21.75" customHeight="1" thickBot="1">
      <c r="B21" s="905"/>
      <c r="C21" s="909" t="s">
        <v>270</v>
      </c>
      <c r="D21" s="905"/>
      <c r="E21" s="906"/>
      <c r="F21" s="919"/>
      <c r="H21" s="908"/>
      <c r="I21" s="905"/>
      <c r="J21" s="905"/>
      <c r="K21" s="905"/>
      <c r="L21" s="905"/>
      <c r="M21" s="905"/>
      <c r="N21" s="905"/>
      <c r="O21" s="905"/>
      <c r="P21" s="907"/>
      <c r="Q21" s="907"/>
      <c r="R21" s="907"/>
    </row>
    <row r="22" spans="2:18" ht="40.5" customHeight="1" thickBot="1">
      <c r="B22" s="854"/>
      <c r="C22" s="2726"/>
      <c r="D22" s="2727"/>
      <c r="E22" s="903" t="s">
        <v>1133</v>
      </c>
      <c r="F22" s="855"/>
      <c r="H22" s="690"/>
      <c r="I22" s="854"/>
      <c r="J22" s="854"/>
      <c r="K22" s="854"/>
      <c r="L22" s="854"/>
      <c r="M22" s="854"/>
      <c r="N22" s="854"/>
      <c r="O22" s="854"/>
    </row>
    <row r="23" spans="2:18" ht="30.75" customHeight="1">
      <c r="B23" s="854"/>
      <c r="C23" s="2722" t="s">
        <v>1149</v>
      </c>
      <c r="D23" s="2723"/>
      <c r="E23" s="920">
        <f>'Potable Water Calculator'!N105</f>
        <v>0</v>
      </c>
      <c r="F23" s="855"/>
      <c r="H23" s="690"/>
      <c r="I23" s="854"/>
      <c r="J23" s="854"/>
      <c r="K23" s="854"/>
      <c r="L23" s="854"/>
      <c r="M23" s="854"/>
      <c r="N23" s="854"/>
      <c r="O23" s="854"/>
    </row>
    <row r="24" spans="2:18" ht="28.5" customHeight="1">
      <c r="B24" s="854"/>
      <c r="C24" s="2720" t="s">
        <v>1150</v>
      </c>
      <c r="D24" s="2359"/>
      <c r="E24" s="301">
        <f>'Potable Water Calculator'!N121</f>
        <v>0</v>
      </c>
      <c r="F24" s="855"/>
      <c r="H24" s="690"/>
      <c r="I24" s="854"/>
      <c r="J24" s="854"/>
      <c r="K24" s="854"/>
      <c r="L24" s="854"/>
      <c r="M24" s="854"/>
      <c r="N24" s="854"/>
      <c r="O24" s="854"/>
    </row>
    <row r="25" spans="2:18" ht="26.25" customHeight="1" thickBot="1">
      <c r="B25" s="854"/>
      <c r="C25" s="2535" t="s">
        <v>271</v>
      </c>
      <c r="D25" s="2536"/>
      <c r="E25" s="353">
        <f>E23+E24</f>
        <v>0</v>
      </c>
      <c r="F25" s="855"/>
      <c r="H25" s="690"/>
      <c r="I25" s="854" t="s">
        <v>1200</v>
      </c>
      <c r="J25" s="869">
        <f>'Potable Water Calculator'!G48</f>
        <v>0</v>
      </c>
      <c r="K25" s="854" t="s">
        <v>1110</v>
      </c>
      <c r="L25" s="867"/>
      <c r="M25" s="867"/>
      <c r="N25" s="870"/>
      <c r="O25" s="854"/>
    </row>
    <row r="26" spans="2:18">
      <c r="B26" s="905"/>
      <c r="C26" s="905"/>
      <c r="D26" s="905"/>
      <c r="E26" s="906"/>
      <c r="F26" s="905"/>
      <c r="G26" s="907"/>
      <c r="H26" s="690"/>
      <c r="I26" s="854"/>
      <c r="J26" s="854"/>
      <c r="K26" s="854"/>
      <c r="L26" s="854"/>
      <c r="M26" s="854"/>
      <c r="N26" s="854"/>
      <c r="O26" s="854"/>
    </row>
    <row r="27" spans="2:18" s="854" customFormat="1">
      <c r="B27" s="905"/>
      <c r="C27" s="905"/>
      <c r="D27" s="905"/>
      <c r="E27" s="906"/>
      <c r="F27" s="905"/>
      <c r="G27" s="905"/>
      <c r="H27" s="690"/>
    </row>
    <row r="28" spans="2:18" ht="23.25" customHeight="1" thickBot="1">
      <c r="B28" s="905"/>
      <c r="C28" s="909" t="s">
        <v>1547</v>
      </c>
      <c r="D28" s="905"/>
      <c r="E28" s="906"/>
      <c r="F28" s="905"/>
      <c r="G28" s="907"/>
      <c r="H28" s="690"/>
      <c r="I28" s="854"/>
      <c r="J28" s="854"/>
      <c r="K28" s="854"/>
      <c r="L28" s="854"/>
      <c r="M28" s="854"/>
      <c r="N28" s="854"/>
      <c r="O28" s="854"/>
    </row>
    <row r="29" spans="2:18" ht="43.5" customHeight="1" thickBot="1">
      <c r="B29" s="854"/>
      <c r="C29" s="2722" t="s">
        <v>1148</v>
      </c>
      <c r="D29" s="2723"/>
      <c r="E29" s="2751"/>
      <c r="F29" s="855"/>
      <c r="H29" s="690"/>
      <c r="I29" s="854"/>
      <c r="J29" s="854"/>
      <c r="K29" s="854"/>
      <c r="L29" s="854"/>
      <c r="M29" s="854"/>
      <c r="N29" s="854"/>
      <c r="O29" s="854"/>
    </row>
    <row r="30" spans="2:18" ht="25.5" customHeight="1">
      <c r="B30" s="854"/>
      <c r="C30" s="2724"/>
      <c r="D30" s="2725"/>
      <c r="E30" s="904" t="s">
        <v>1133</v>
      </c>
      <c r="F30" s="855"/>
      <c r="H30" s="690"/>
      <c r="I30" s="854"/>
      <c r="J30" s="854"/>
      <c r="K30" s="871"/>
      <c r="L30" s="854"/>
      <c r="M30" s="854"/>
      <c r="N30" s="854"/>
      <c r="O30" s="854"/>
    </row>
    <row r="31" spans="2:18" ht="36" customHeight="1">
      <c r="B31" s="854"/>
      <c r="C31" s="2720" t="s">
        <v>1546</v>
      </c>
      <c r="D31" s="2728"/>
      <c r="E31" s="345">
        <f>E18</f>
        <v>0</v>
      </c>
      <c r="F31" s="855"/>
      <c r="H31" s="690"/>
      <c r="I31" s="854"/>
      <c r="J31" s="854"/>
      <c r="K31" s="871"/>
      <c r="L31" s="854"/>
      <c r="M31" s="854"/>
      <c r="N31" s="854"/>
      <c r="O31" s="854"/>
    </row>
    <row r="32" spans="2:18" ht="34.5" customHeight="1">
      <c r="B32" s="854"/>
      <c r="C32" s="2720" t="s">
        <v>499</v>
      </c>
      <c r="D32" s="2728"/>
      <c r="E32" s="345">
        <f>E25</f>
        <v>0</v>
      </c>
      <c r="F32" s="855"/>
      <c r="H32" s="690"/>
      <c r="I32" s="854"/>
      <c r="J32" s="854"/>
      <c r="K32" s="871"/>
      <c r="L32" s="854"/>
      <c r="M32" s="854"/>
      <c r="N32" s="854"/>
      <c r="O32" s="854"/>
    </row>
    <row r="33" spans="2:17" ht="26.25" customHeight="1">
      <c r="B33" s="854"/>
      <c r="C33" s="2748" t="s">
        <v>798</v>
      </c>
      <c r="D33" s="2749"/>
      <c r="E33" s="354">
        <f>ROUND(E31-E32,2)</f>
        <v>0</v>
      </c>
      <c r="F33" s="855"/>
      <c r="H33" s="690"/>
      <c r="I33" s="854"/>
      <c r="J33" s="854"/>
      <c r="K33" s="871"/>
      <c r="L33" s="854"/>
      <c r="M33" s="854"/>
      <c r="N33" s="854"/>
      <c r="O33" s="854"/>
    </row>
    <row r="34" spans="2:17" ht="27.75" customHeight="1">
      <c r="B34" s="854"/>
      <c r="C34" s="2739" t="s">
        <v>1406</v>
      </c>
      <c r="D34" s="2740"/>
      <c r="E34" s="346">
        <f>IF(E31&gt;0,VLOOKUP(J25,I47:L48,4),0)</f>
        <v>0</v>
      </c>
      <c r="F34" s="855"/>
      <c r="H34" s="690"/>
      <c r="I34" s="854"/>
      <c r="J34" s="854"/>
      <c r="K34" s="871"/>
      <c r="L34" s="854"/>
      <c r="M34" s="854"/>
      <c r="N34" s="854"/>
      <c r="O34" s="854"/>
    </row>
    <row r="35" spans="2:17" ht="13.5" thickBot="1">
      <c r="B35" s="854"/>
      <c r="C35" s="872"/>
      <c r="D35" s="872"/>
      <c r="E35" s="873"/>
      <c r="F35" s="855"/>
      <c r="H35" s="690"/>
      <c r="I35" s="854"/>
      <c r="J35" s="854"/>
      <c r="K35" s="854"/>
      <c r="L35" s="854"/>
      <c r="M35" s="854"/>
      <c r="N35" s="854"/>
      <c r="O35" s="854"/>
      <c r="P35" s="854"/>
      <c r="Q35" s="854"/>
    </row>
    <row r="36" spans="2:17" ht="14.25" customHeight="1">
      <c r="B36" s="854"/>
      <c r="C36" s="2732" t="s">
        <v>735</v>
      </c>
      <c r="D36" s="2734" t="s">
        <v>1142</v>
      </c>
      <c r="E36" s="2736" t="s">
        <v>901</v>
      </c>
      <c r="F36" s="855"/>
      <c r="H36" s="690"/>
      <c r="I36" s="874" t="s">
        <v>735</v>
      </c>
      <c r="J36" s="2729" t="s">
        <v>1198</v>
      </c>
      <c r="K36" s="2730"/>
      <c r="L36" s="2731"/>
      <c r="M36" s="875" t="s">
        <v>1142</v>
      </c>
      <c r="N36" s="876" t="s">
        <v>298</v>
      </c>
      <c r="O36" s="877" t="s">
        <v>1113</v>
      </c>
      <c r="P36" s="689"/>
      <c r="Q36" s="854"/>
    </row>
    <row r="37" spans="2:17" ht="14.25" customHeight="1">
      <c r="B37" s="854"/>
      <c r="C37" s="2733"/>
      <c r="D37" s="2735"/>
      <c r="E37" s="2737"/>
      <c r="F37" s="855"/>
      <c r="H37" s="690"/>
      <c r="I37" s="2746"/>
      <c r="J37" s="878" t="s">
        <v>822</v>
      </c>
      <c r="K37" s="879" t="s">
        <v>1111</v>
      </c>
      <c r="L37" s="880"/>
      <c r="M37" s="881"/>
      <c r="N37" s="879" t="s">
        <v>822</v>
      </c>
      <c r="O37" s="880" t="s">
        <v>1112</v>
      </c>
      <c r="P37" s="692"/>
      <c r="Q37" s="854"/>
    </row>
    <row r="38" spans="2:17" ht="14.25" customHeight="1">
      <c r="B38" s="854"/>
      <c r="C38" s="347">
        <v>0.9</v>
      </c>
      <c r="D38" s="348">
        <v>4</v>
      </c>
      <c r="E38" s="349">
        <f>HLOOKUP(J25,J38:K43,2)</f>
        <v>9.9999999999999978E-2</v>
      </c>
      <c r="F38" s="855"/>
      <c r="H38" s="690"/>
      <c r="I38" s="2747"/>
      <c r="J38" s="878">
        <v>0</v>
      </c>
      <c r="K38" s="879">
        <v>1</v>
      </c>
      <c r="L38" s="880"/>
      <c r="M38" s="881"/>
      <c r="N38" s="879"/>
      <c r="O38" s="880"/>
      <c r="P38" s="692"/>
      <c r="Q38" s="854"/>
    </row>
    <row r="39" spans="2:17" ht="14.25" customHeight="1">
      <c r="B39" s="854"/>
      <c r="C39" s="347">
        <v>0.7</v>
      </c>
      <c r="D39" s="348">
        <v>3</v>
      </c>
      <c r="E39" s="349">
        <f>HLOOKUP(J25,J38:L43,3)</f>
        <v>0.30000000000000004</v>
      </c>
      <c r="F39" s="855"/>
      <c r="H39" s="690"/>
      <c r="I39" s="882">
        <v>0.9</v>
      </c>
      <c r="J39" s="878">
        <f>(1-I39)*$J$43</f>
        <v>9.9999999999999978E-2</v>
      </c>
      <c r="K39" s="878">
        <f>(1-I39)*$K$43</f>
        <v>0.13999999999999996</v>
      </c>
      <c r="L39" s="880"/>
      <c r="M39" s="881">
        <v>4</v>
      </c>
      <c r="N39" s="883">
        <f t="shared" ref="N39:O42" si="0">IF($E$33&lt;=J39,1,0)</f>
        <v>1</v>
      </c>
      <c r="O39" s="884">
        <f t="shared" si="0"/>
        <v>1</v>
      </c>
      <c r="P39" s="691"/>
      <c r="Q39" s="854">
        <f>K39-J39</f>
        <v>3.999999999999998E-2</v>
      </c>
    </row>
    <row r="40" spans="2:17" ht="14.25" customHeight="1">
      <c r="B40" s="854"/>
      <c r="C40" s="347">
        <v>0.5</v>
      </c>
      <c r="D40" s="348">
        <v>2</v>
      </c>
      <c r="E40" s="349">
        <f>HLOOKUP(J25,J38:L43,4)</f>
        <v>0.5</v>
      </c>
      <c r="F40" s="855"/>
      <c r="H40" s="690"/>
      <c r="I40" s="882">
        <v>0.7</v>
      </c>
      <c r="J40" s="878">
        <f>(1-I40)*$J$43</f>
        <v>0.30000000000000004</v>
      </c>
      <c r="K40" s="878">
        <f>(1-I40)*$K$43</f>
        <v>0.42000000000000004</v>
      </c>
      <c r="L40" s="880"/>
      <c r="M40" s="881">
        <v>3</v>
      </c>
      <c r="N40" s="883">
        <f t="shared" si="0"/>
        <v>1</v>
      </c>
      <c r="O40" s="884">
        <f t="shared" si="0"/>
        <v>1</v>
      </c>
      <c r="P40" s="691"/>
      <c r="Q40" s="854">
        <f>K40-J40</f>
        <v>0.12</v>
      </c>
    </row>
    <row r="41" spans="2:17" ht="14.25" customHeight="1" thickBot="1">
      <c r="B41" s="854"/>
      <c r="C41" s="350">
        <v>0.3</v>
      </c>
      <c r="D41" s="351">
        <v>1</v>
      </c>
      <c r="E41" s="352">
        <f>HLOOKUP(J25,J38:L43,5)</f>
        <v>0.7</v>
      </c>
      <c r="F41" s="855"/>
      <c r="H41" s="885"/>
      <c r="I41" s="882">
        <v>0.5</v>
      </c>
      <c r="J41" s="878">
        <f>(1-I41)*$J$43</f>
        <v>0.5</v>
      </c>
      <c r="K41" s="878">
        <f>(1-I41)*$K$43</f>
        <v>0.7</v>
      </c>
      <c r="L41" s="880"/>
      <c r="M41" s="881">
        <v>2</v>
      </c>
      <c r="N41" s="883">
        <f t="shared" si="0"/>
        <v>1</v>
      </c>
      <c r="O41" s="884">
        <f t="shared" si="0"/>
        <v>1</v>
      </c>
      <c r="P41" s="691"/>
      <c r="Q41" s="854">
        <f>K41-J41</f>
        <v>0.19999999999999996</v>
      </c>
    </row>
    <row r="42" spans="2:17" ht="14.25" customHeight="1">
      <c r="B42" s="854"/>
      <c r="C42" s="854"/>
      <c r="D42" s="854"/>
      <c r="E42" s="868"/>
      <c r="F42" s="855"/>
      <c r="H42" s="690"/>
      <c r="I42" s="882">
        <v>0.3</v>
      </c>
      <c r="J42" s="878">
        <f>(1-I42)*$J$43</f>
        <v>0.7</v>
      </c>
      <c r="K42" s="878">
        <f>(1-I42)*$K$43</f>
        <v>0.97999999999999987</v>
      </c>
      <c r="L42" s="880"/>
      <c r="M42" s="881">
        <v>1</v>
      </c>
      <c r="N42" s="883">
        <f t="shared" si="0"/>
        <v>1</v>
      </c>
      <c r="O42" s="884">
        <f t="shared" si="0"/>
        <v>1</v>
      </c>
      <c r="P42" s="691"/>
      <c r="Q42" s="854">
        <f>K42-J42</f>
        <v>0.27999999999999992</v>
      </c>
    </row>
    <row r="43" spans="2:17" ht="14.25" customHeight="1" thickBot="1">
      <c r="B43" s="854"/>
      <c r="C43" s="854"/>
      <c r="D43" s="854"/>
      <c r="E43" s="854"/>
      <c r="F43" s="855"/>
      <c r="H43" s="885"/>
      <c r="I43" s="886" t="s">
        <v>299</v>
      </c>
      <c r="J43" s="887">
        <f>15/15</f>
        <v>1</v>
      </c>
      <c r="K43" s="888">
        <v>1.4</v>
      </c>
      <c r="L43" s="889"/>
      <c r="M43" s="890">
        <v>0</v>
      </c>
      <c r="N43" s="888">
        <v>0</v>
      </c>
      <c r="O43" s="889">
        <v>0</v>
      </c>
      <c r="P43" s="692"/>
      <c r="Q43" s="854"/>
    </row>
    <row r="44" spans="2:17" ht="31.5" customHeight="1" thickBot="1">
      <c r="B44" s="854"/>
      <c r="C44" s="854"/>
      <c r="D44" s="854"/>
      <c r="E44" s="868"/>
      <c r="F44" s="855"/>
      <c r="H44" s="690"/>
      <c r="I44" s="690"/>
      <c r="J44" s="690"/>
      <c r="K44" s="690"/>
      <c r="L44" s="690"/>
      <c r="M44" s="690"/>
      <c r="N44" s="694">
        <f>SUM(N39:N43)</f>
        <v>4</v>
      </c>
      <c r="O44" s="891">
        <f>SUM(O39:O43)</f>
        <v>4</v>
      </c>
      <c r="P44" s="689"/>
      <c r="Q44" s="854"/>
    </row>
    <row r="45" spans="2:17" ht="24" customHeight="1">
      <c r="B45" s="854"/>
      <c r="C45" s="854"/>
      <c r="D45" s="854"/>
      <c r="E45" s="868"/>
      <c r="F45" s="855"/>
      <c r="H45" s="885"/>
      <c r="I45" s="854"/>
      <c r="J45" s="854"/>
      <c r="K45" s="854"/>
      <c r="L45" s="854"/>
      <c r="M45" s="854"/>
      <c r="N45" s="854"/>
      <c r="O45" s="854"/>
    </row>
    <row r="46" spans="2:17" ht="18.75" customHeight="1">
      <c r="H46" s="885"/>
      <c r="I46" s="893" t="s">
        <v>1200</v>
      </c>
      <c r="J46" s="2721" t="s">
        <v>112</v>
      </c>
      <c r="K46" s="2721"/>
      <c r="L46" s="893" t="s">
        <v>1406</v>
      </c>
      <c r="M46" s="854"/>
      <c r="N46" s="854"/>
    </row>
    <row r="47" spans="2:17" ht="18.75" customHeight="1">
      <c r="H47" s="690"/>
      <c r="I47" s="894">
        <v>0</v>
      </c>
      <c r="J47" s="2741" t="s">
        <v>822</v>
      </c>
      <c r="K47" s="2742"/>
      <c r="L47" s="895">
        <f>N44</f>
        <v>4</v>
      </c>
      <c r="M47" s="854"/>
      <c r="N47" s="854"/>
    </row>
    <row r="48" spans="2:17" ht="18.75" customHeight="1">
      <c r="H48" s="690"/>
      <c r="I48" s="894">
        <v>1</v>
      </c>
      <c r="J48" s="2743" t="s">
        <v>1111</v>
      </c>
      <c r="K48" s="2744"/>
      <c r="L48" s="895">
        <f>O44</f>
        <v>4</v>
      </c>
      <c r="M48" s="854"/>
      <c r="N48" s="854"/>
    </row>
    <row r="49" spans="7:15" ht="18.75" customHeight="1">
      <c r="G49" s="855"/>
      <c r="H49" s="690"/>
      <c r="I49" s="896"/>
      <c r="J49" s="2745"/>
      <c r="K49" s="2745"/>
      <c r="L49" s="897"/>
      <c r="M49" s="854"/>
      <c r="N49" s="854"/>
    </row>
    <row r="50" spans="7:15" ht="18.75" customHeight="1">
      <c r="G50" s="855"/>
      <c r="H50" s="690"/>
      <c r="I50" s="854"/>
      <c r="J50" s="854"/>
      <c r="K50" s="854"/>
      <c r="L50" s="854"/>
      <c r="M50" s="854"/>
      <c r="N50" s="854"/>
    </row>
    <row r="51" spans="7:15" ht="18.75" customHeight="1">
      <c r="H51" s="690"/>
      <c r="I51" s="898"/>
      <c r="J51" s="898"/>
      <c r="K51" s="898"/>
      <c r="L51" s="854"/>
      <c r="M51" s="854"/>
      <c r="N51" s="854"/>
    </row>
    <row r="52" spans="7:15" ht="18.75" customHeight="1">
      <c r="H52" s="690"/>
      <c r="I52" s="898"/>
      <c r="J52" s="898"/>
      <c r="K52" s="898"/>
      <c r="L52" s="854"/>
      <c r="M52" s="854"/>
      <c r="N52" s="854"/>
      <c r="O52" s="854"/>
    </row>
    <row r="53" spans="7:15" ht="18.75" customHeight="1">
      <c r="H53" s="690"/>
      <c r="I53" s="898"/>
      <c r="J53" s="898"/>
      <c r="K53" s="898"/>
      <c r="L53" s="854"/>
      <c r="M53" s="854"/>
      <c r="N53" s="854"/>
      <c r="O53" s="854"/>
    </row>
    <row r="54" spans="7:15" ht="18.75" customHeight="1">
      <c r="H54" s="690"/>
      <c r="I54" s="898"/>
      <c r="J54" s="898"/>
      <c r="K54" s="898"/>
      <c r="L54" s="854"/>
      <c r="M54" s="854"/>
      <c r="N54" s="854"/>
      <c r="O54" s="854"/>
    </row>
    <row r="55" spans="7:15">
      <c r="H55" s="690"/>
      <c r="I55" s="898"/>
      <c r="J55" s="898"/>
      <c r="K55" s="899"/>
      <c r="L55" s="854"/>
      <c r="M55" s="854"/>
      <c r="N55" s="854"/>
      <c r="O55" s="854"/>
    </row>
    <row r="56" spans="7:15">
      <c r="H56" s="690"/>
      <c r="I56" s="898"/>
      <c r="J56" s="898"/>
      <c r="K56" s="899"/>
      <c r="L56" s="854"/>
      <c r="M56" s="854"/>
      <c r="N56" s="854"/>
      <c r="O56" s="854"/>
    </row>
    <row r="57" spans="7:15">
      <c r="H57" s="690"/>
      <c r="I57" s="854"/>
      <c r="J57" s="854"/>
      <c r="K57" s="854"/>
      <c r="L57" s="854"/>
      <c r="M57" s="854"/>
      <c r="N57" s="854"/>
      <c r="O57" s="854"/>
    </row>
    <row r="58" spans="7:15">
      <c r="H58" s="690"/>
      <c r="I58" s="854"/>
      <c r="J58" s="854"/>
      <c r="K58" s="854"/>
      <c r="L58" s="854"/>
      <c r="M58" s="854"/>
      <c r="N58" s="854"/>
      <c r="O58" s="854"/>
    </row>
    <row r="59" spans="7:15">
      <c r="H59" s="690"/>
      <c r="I59" s="854"/>
      <c r="J59" s="854"/>
      <c r="K59" s="854"/>
      <c r="L59" s="854"/>
      <c r="M59" s="854"/>
      <c r="N59" s="854"/>
      <c r="O59" s="854"/>
    </row>
    <row r="60" spans="7:15">
      <c r="H60" s="690"/>
      <c r="I60" s="854"/>
      <c r="J60" s="854"/>
      <c r="K60" s="854"/>
      <c r="L60" s="854"/>
      <c r="M60" s="854"/>
      <c r="N60" s="854"/>
      <c r="O60" s="854"/>
    </row>
    <row r="61" spans="7:15">
      <c r="H61" s="690"/>
      <c r="I61" s="854"/>
      <c r="J61" s="854"/>
      <c r="K61" s="854"/>
      <c r="L61" s="854"/>
      <c r="M61" s="854"/>
      <c r="N61" s="854"/>
      <c r="O61" s="854"/>
    </row>
    <row r="62" spans="7:15">
      <c r="H62" s="690"/>
      <c r="I62" s="854"/>
      <c r="J62" s="854"/>
      <c r="K62" s="854"/>
      <c r="L62" s="854"/>
      <c r="M62" s="854"/>
      <c r="N62" s="854"/>
      <c r="O62" s="854"/>
    </row>
    <row r="63" spans="7:15">
      <c r="G63" s="855"/>
      <c r="H63" s="690"/>
      <c r="I63" s="900"/>
      <c r="J63" s="900"/>
      <c r="K63" s="854"/>
      <c r="L63" s="854"/>
      <c r="M63" s="854"/>
      <c r="N63" s="854"/>
      <c r="O63" s="854"/>
    </row>
    <row r="64" spans="7:15" ht="13.5" customHeight="1">
      <c r="G64" s="855"/>
      <c r="H64" s="900"/>
      <c r="I64" s="901"/>
      <c r="J64" s="669"/>
      <c r="K64" s="854"/>
      <c r="L64" s="854"/>
      <c r="M64" s="854"/>
      <c r="N64" s="854"/>
      <c r="O64" s="854"/>
    </row>
    <row r="65" spans="7:15" ht="21" customHeight="1">
      <c r="G65" s="855"/>
      <c r="H65" s="900"/>
      <c r="I65" s="900"/>
      <c r="J65" s="900"/>
      <c r="K65" s="854"/>
      <c r="L65" s="854"/>
      <c r="M65" s="854"/>
      <c r="N65" s="854"/>
      <c r="O65" s="854"/>
    </row>
    <row r="66" spans="7:15" ht="129" customHeight="1">
      <c r="G66" s="855"/>
      <c r="H66" s="900"/>
      <c r="I66" s="669"/>
      <c r="J66" s="854"/>
      <c r="K66" s="854"/>
      <c r="L66" s="854"/>
      <c r="M66" s="854"/>
      <c r="N66" s="854"/>
    </row>
    <row r="67" spans="7:15">
      <c r="G67" s="855"/>
      <c r="H67" s="900"/>
      <c r="I67" s="669"/>
      <c r="J67" s="854"/>
      <c r="K67" s="854"/>
      <c r="L67" s="854"/>
    </row>
    <row r="68" spans="7:15">
      <c r="G68" s="855"/>
      <c r="H68" s="900"/>
      <c r="I68" s="2738"/>
      <c r="J68" s="2738"/>
      <c r="K68" s="669"/>
      <c r="L68" s="854"/>
    </row>
    <row r="69" spans="7:15" ht="12.75" customHeight="1">
      <c r="G69" s="855"/>
      <c r="H69" s="900"/>
      <c r="I69" s="2718"/>
      <c r="J69" s="2718"/>
      <c r="K69" s="902"/>
      <c r="L69" s="854"/>
    </row>
    <row r="70" spans="7:15" ht="13.5" customHeight="1">
      <c r="G70" s="855"/>
      <c r="H70" s="900"/>
      <c r="I70" s="2719"/>
      <c r="J70" s="2719"/>
      <c r="K70" s="902"/>
      <c r="L70" s="854"/>
    </row>
    <row r="71" spans="7:15" ht="21" customHeight="1">
      <c r="G71" s="855"/>
      <c r="H71" s="690"/>
      <c r="I71" s="854"/>
      <c r="J71" s="854"/>
      <c r="K71" s="854"/>
      <c r="L71" s="854"/>
    </row>
    <row r="72" spans="7:15" ht="21" customHeight="1">
      <c r="G72" s="855"/>
      <c r="H72" s="690"/>
      <c r="I72" s="854"/>
      <c r="J72" s="854"/>
      <c r="K72" s="854"/>
      <c r="L72" s="854"/>
    </row>
    <row r="73" spans="7:15">
      <c r="G73" s="855"/>
      <c r="H73" s="690"/>
      <c r="I73" s="854"/>
      <c r="J73" s="854"/>
      <c r="K73" s="854"/>
      <c r="L73" s="854"/>
    </row>
    <row r="74" spans="7:15">
      <c r="H74" s="690"/>
      <c r="I74" s="854"/>
      <c r="J74" s="854"/>
      <c r="K74" s="854"/>
      <c r="L74" s="854"/>
      <c r="M74" s="854"/>
      <c r="N74" s="854"/>
    </row>
    <row r="75" spans="7:15">
      <c r="H75" s="690"/>
      <c r="I75" s="854"/>
      <c r="J75" s="854"/>
      <c r="K75" s="854"/>
      <c r="L75" s="854"/>
      <c r="M75" s="854"/>
      <c r="N75" s="854"/>
    </row>
    <row r="76" spans="7:15">
      <c r="H76" s="690"/>
      <c r="I76" s="854"/>
      <c r="J76" s="854"/>
      <c r="K76" s="854"/>
      <c r="L76" s="854"/>
      <c r="M76" s="854"/>
      <c r="N76" s="854"/>
      <c r="O76" s="854"/>
    </row>
    <row r="77" spans="7:15">
      <c r="H77" s="690"/>
      <c r="I77" s="854"/>
      <c r="J77" s="854"/>
      <c r="K77" s="854"/>
      <c r="L77" s="854"/>
      <c r="M77" s="854"/>
      <c r="N77" s="854"/>
      <c r="O77" s="854"/>
    </row>
    <row r="78" spans="7:15">
      <c r="H78" s="690"/>
      <c r="I78" s="854"/>
      <c r="J78" s="854"/>
      <c r="K78" s="854"/>
      <c r="L78" s="854"/>
      <c r="M78" s="854"/>
      <c r="N78" s="854"/>
      <c r="O78" s="854"/>
    </row>
    <row r="79" spans="7:15">
      <c r="H79" s="690"/>
      <c r="I79" s="854"/>
      <c r="J79" s="854"/>
      <c r="K79" s="854"/>
      <c r="L79" s="854"/>
      <c r="M79" s="854"/>
      <c r="N79" s="854"/>
      <c r="O79" s="854"/>
    </row>
    <row r="80" spans="7:15">
      <c r="H80" s="690"/>
      <c r="I80" s="854"/>
      <c r="J80" s="854"/>
      <c r="K80" s="854"/>
      <c r="L80" s="854"/>
      <c r="M80" s="854"/>
      <c r="N80" s="854"/>
      <c r="O80" s="854"/>
    </row>
    <row r="81" spans="8:15">
      <c r="H81" s="690"/>
      <c r="I81" s="854"/>
      <c r="J81" s="854"/>
      <c r="K81" s="854"/>
      <c r="L81" s="854"/>
      <c r="M81" s="854"/>
      <c r="N81" s="854"/>
      <c r="O81" s="854"/>
    </row>
    <row r="82" spans="8:15">
      <c r="H82" s="690"/>
      <c r="M82" s="854"/>
      <c r="N82" s="854"/>
      <c r="O82" s="854"/>
    </row>
    <row r="83" spans="8:15">
      <c r="M83" s="854"/>
      <c r="N83" s="854"/>
      <c r="O83" s="854"/>
    </row>
    <row r="84" spans="8:15">
      <c r="N84" s="854"/>
      <c r="O84" s="854"/>
    </row>
  </sheetData>
  <sheetProtection password="AD9B" sheet="1" objects="1" scenarios="1"/>
  <mergeCells count="35">
    <mergeCell ref="I8:J8"/>
    <mergeCell ref="C29:E29"/>
    <mergeCell ref="C24:D24"/>
    <mergeCell ref="B1:F1"/>
    <mergeCell ref="B3:F3"/>
    <mergeCell ref="C10:E10"/>
    <mergeCell ref="C4:D4"/>
    <mergeCell ref="C6:D6"/>
    <mergeCell ref="C12:E12"/>
    <mergeCell ref="C13:D13"/>
    <mergeCell ref="C14:D14"/>
    <mergeCell ref="C15:D15"/>
    <mergeCell ref="C18:D18"/>
    <mergeCell ref="J47:K47"/>
    <mergeCell ref="J48:K48"/>
    <mergeCell ref="J49:K49"/>
    <mergeCell ref="I37:I38"/>
    <mergeCell ref="C32:D32"/>
    <mergeCell ref="C33:D33"/>
    <mergeCell ref="I69:J69"/>
    <mergeCell ref="I70:J70"/>
    <mergeCell ref="C16:D16"/>
    <mergeCell ref="C17:D17"/>
    <mergeCell ref="J46:K46"/>
    <mergeCell ref="C23:D23"/>
    <mergeCell ref="C30:D30"/>
    <mergeCell ref="C22:D22"/>
    <mergeCell ref="C31:D31"/>
    <mergeCell ref="C25:D25"/>
    <mergeCell ref="J36:L36"/>
    <mergeCell ref="C36:C37"/>
    <mergeCell ref="D36:D37"/>
    <mergeCell ref="E36:E37"/>
    <mergeCell ref="I68:J68"/>
    <mergeCell ref="C34:D34"/>
  </mergeCells>
  <phoneticPr fontId="7" type="noConversion"/>
  <printOptions horizontalCentered="1"/>
  <pageMargins left="0.59055118110236227" right="0.59055118110236227" top="0.47244094488188981" bottom="0.47244094488188981" header="0.23622047244094491" footer="0.35433070866141736"/>
  <pageSetup paperSize="9" scale="95" orientation="portrait" blackAndWhite="1" r:id="rId1"/>
  <headerFooter alignWithMargins="0">
    <oddHeader>&amp;LGreen Building Council of South Africa&amp;R&amp;T   &amp;D</oddHeader>
    <oddFooter>&amp;L&amp;F&amp;CPage &amp;P of &amp;N&amp;RCategory: Emissions (&amp;A)</oddFooter>
  </headerFooter>
  <rowBreaks count="1" manualBreakCount="1">
    <brk id="45" min="1" max="15" man="1"/>
  </rowBreaks>
  <colBreaks count="1" manualBreakCount="1">
    <brk id="6"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57347" r:id="rId4" name="Button 3">
              <controlPr defaultSize="0" print="0" autoFill="0" autoPict="0" macro="[0]!GoToEmissions">
                <anchor moveWithCells="1" sizeWithCells="1">
                  <from>
                    <xdr:col>3</xdr:col>
                    <xdr:colOff>400050</xdr:colOff>
                    <xdr:row>42</xdr:row>
                    <xdr:rowOff>38100</xdr:rowOff>
                  </from>
                  <to>
                    <xdr:col>4</xdr:col>
                    <xdr:colOff>1895475</xdr:colOff>
                    <xdr:row>43</xdr:row>
                    <xdr:rowOff>114300</xdr:rowOff>
                  </to>
                </anchor>
              </controlPr>
            </control>
          </mc:Choice>
        </mc:AlternateContent>
        <mc:AlternateContent xmlns:mc="http://schemas.openxmlformats.org/markup-compatibility/2006">
          <mc:Choice Requires="x14">
            <control shapeId="57412" r:id="rId5" name="Button 68">
              <controlPr defaultSize="0" print="0" autoFill="0" autoPict="0" macro="[0]!GoToEmissions">
                <anchor moveWithCells="1" sizeWithCells="1">
                  <from>
                    <xdr:col>3</xdr:col>
                    <xdr:colOff>400050</xdr:colOff>
                    <xdr:row>42</xdr:row>
                    <xdr:rowOff>38100</xdr:rowOff>
                  </from>
                  <to>
                    <xdr:col>4</xdr:col>
                    <xdr:colOff>1895475</xdr:colOff>
                    <xdr:row>43</xdr:row>
                    <xdr:rowOff>114300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K19"/>
  <sheetViews>
    <sheetView zoomScale="80" zoomScaleNormal="85" zoomScaleSheetLayoutView="85" workbookViewId="0">
      <pane xSplit="2" ySplit="4" topLeftCell="C5" activePane="bottomRight" state="frozen"/>
      <selection activeCell="D17" sqref="D17"/>
      <selection pane="topRight" activeCell="D17" sqref="D17"/>
      <selection pane="bottomLeft" activeCell="D17" sqref="D17"/>
      <selection pane="bottomRight" activeCell="A42" sqref="A42"/>
    </sheetView>
  </sheetViews>
  <sheetFormatPr defaultColWidth="7.875" defaultRowHeight="12.75"/>
  <cols>
    <col min="1" max="1" width="7.25" style="728" customWidth="1"/>
    <col min="2" max="2" width="15.125" style="728" customWidth="1"/>
    <col min="3" max="3" width="25.625" style="728" customWidth="1"/>
    <col min="4" max="4" width="64.875" style="728" customWidth="1"/>
    <col min="5" max="7" width="12.625" style="734" customWidth="1"/>
    <col min="8" max="8" width="31" style="728" customWidth="1"/>
    <col min="9" max="9" width="10.875" style="928" customWidth="1"/>
    <col min="10" max="11" width="8.875" style="728" customWidth="1"/>
    <col min="12" max="29" width="7.875" style="728"/>
    <col min="30" max="31" width="7.875" style="925"/>
    <col min="32" max="36" width="7.875" style="926"/>
    <col min="37" max="37" width="7.875" style="927"/>
    <col min="38" max="16384" width="7.875" style="728"/>
  </cols>
  <sheetData>
    <row r="1" spans="1:37" s="1136" customFormat="1" ht="24" customHeight="1" thickBot="1">
      <c r="A1" s="402" t="str">
        <f>Calculation!N31</f>
        <v>Green Star SA - Office Design v1</v>
      </c>
      <c r="D1" s="1010"/>
      <c r="E1" s="439"/>
      <c r="F1" s="997" t="s">
        <v>483</v>
      </c>
      <c r="G1" s="998" t="s">
        <v>1544</v>
      </c>
      <c r="H1" s="999" t="s">
        <v>1543</v>
      </c>
      <c r="I1" s="1000"/>
      <c r="AD1" s="1137"/>
      <c r="AE1" s="1137"/>
      <c r="AF1" s="1138"/>
      <c r="AG1" s="1138"/>
      <c r="AH1" s="1138"/>
      <c r="AI1" s="1138"/>
      <c r="AJ1" s="1138"/>
      <c r="AK1" s="1139"/>
    </row>
    <row r="2" spans="1:37" s="434" customFormat="1" ht="30" customHeight="1" thickBot="1">
      <c r="A2" s="725" t="s">
        <v>87</v>
      </c>
      <c r="B2" s="384"/>
      <c r="C2" s="384"/>
      <c r="D2" s="996" t="s">
        <v>485</v>
      </c>
      <c r="E2" s="1002">
        <f>E8</f>
        <v>5</v>
      </c>
      <c r="F2" s="1003">
        <f>F8</f>
        <v>0</v>
      </c>
      <c r="G2" s="1002">
        <f>G8</f>
        <v>0</v>
      </c>
      <c r="H2" s="1004">
        <f>'Credit Summary'!K99</f>
        <v>0</v>
      </c>
      <c r="I2" s="1000"/>
      <c r="AD2" s="921"/>
      <c r="AE2" s="921"/>
      <c r="AF2" s="922"/>
      <c r="AG2" s="922"/>
      <c r="AH2" s="922"/>
      <c r="AI2" s="922"/>
      <c r="AJ2" s="922"/>
      <c r="AK2" s="923"/>
    </row>
    <row r="3" spans="1:37" s="434" customFormat="1" ht="19.5" customHeight="1" thickBot="1">
      <c r="A3" s="374" t="s">
        <v>1217</v>
      </c>
      <c r="B3" s="375"/>
      <c r="C3" s="376" t="str">
        <f>IF('Building Input'!$C$5=0,"",'Building Input'!$C$5)</f>
        <v/>
      </c>
      <c r="D3" s="372"/>
      <c r="E3" s="439"/>
      <c r="F3" s="1132" t="str">
        <f>IF(OR((I3=Calculation!$D$97),(I3=Calculation!$D$98),((F2+G2)&gt;E2)),Calculation!$D$99,"")</f>
        <v/>
      </c>
      <c r="G3" s="439"/>
      <c r="H3" s="1001"/>
      <c r="I3" s="1008" t="str">
        <f>T(J5:J17)</f>
        <v/>
      </c>
      <c r="AD3" s="921"/>
      <c r="AE3" s="921"/>
      <c r="AF3" s="922"/>
      <c r="AG3" s="922"/>
      <c r="AH3" s="922"/>
      <c r="AI3" s="922"/>
      <c r="AJ3" s="922"/>
      <c r="AK3" s="923"/>
    </row>
    <row r="4" spans="1:37" ht="33" customHeight="1" thickBot="1">
      <c r="A4" s="929" t="s">
        <v>1219</v>
      </c>
      <c r="B4" s="930" t="s">
        <v>1220</v>
      </c>
      <c r="C4" s="930" t="s">
        <v>1221</v>
      </c>
      <c r="D4" s="930" t="s">
        <v>489</v>
      </c>
      <c r="E4" s="931" t="s">
        <v>490</v>
      </c>
      <c r="F4" s="931" t="s">
        <v>518</v>
      </c>
      <c r="G4" s="931" t="s">
        <v>519</v>
      </c>
      <c r="H4" s="932" t="s">
        <v>520</v>
      </c>
      <c r="I4" s="924"/>
      <c r="J4" s="727"/>
      <c r="K4" s="727"/>
    </row>
    <row r="5" spans="1:37" ht="231" customHeight="1">
      <c r="A5" s="281" t="s">
        <v>97</v>
      </c>
      <c r="B5" s="933" t="s">
        <v>98</v>
      </c>
      <c r="C5" s="330" t="s">
        <v>317</v>
      </c>
      <c r="D5" s="331" t="s">
        <v>1443</v>
      </c>
      <c r="E5" s="2762">
        <v>5</v>
      </c>
      <c r="F5" s="282"/>
      <c r="G5" s="282"/>
      <c r="H5" s="2032"/>
      <c r="I5" s="1009" t="str">
        <f>IF(OR(ISTEXT(F5)=TRUE,ISTEXT(G5)=TRUE),Calculation!$D$100,IF(F5+G5&gt;5,Calculation!$D$97,""))</f>
        <v/>
      </c>
      <c r="J5" s="729"/>
      <c r="K5" s="730"/>
      <c r="L5" s="731"/>
    </row>
    <row r="6" spans="1:37" ht="167.25" customHeight="1">
      <c r="A6" s="283" t="s">
        <v>74</v>
      </c>
      <c r="B6" s="934" t="s">
        <v>1341</v>
      </c>
      <c r="C6" s="332" t="s">
        <v>1342</v>
      </c>
      <c r="D6" s="333" t="s">
        <v>1057</v>
      </c>
      <c r="E6" s="2763"/>
      <c r="F6" s="284"/>
      <c r="G6" s="284"/>
      <c r="H6" s="2028"/>
      <c r="I6" s="1009" t="str">
        <f>IF(OR(ISTEXT(F6)=TRUE,ISTEXT(G6)=TRUE),Calculation!$D$100,IF(F6+G6&gt;5,Calculation!$D$97,""))</f>
        <v/>
      </c>
      <c r="J6" s="729"/>
      <c r="K6" s="730"/>
      <c r="L6" s="731"/>
    </row>
    <row r="7" spans="1:37" ht="132.75" customHeight="1" thickBot="1">
      <c r="A7" s="285" t="s">
        <v>75</v>
      </c>
      <c r="B7" s="935" t="s">
        <v>76</v>
      </c>
      <c r="C7" s="334" t="s">
        <v>1129</v>
      </c>
      <c r="D7" s="335" t="s">
        <v>1058</v>
      </c>
      <c r="E7" s="2764"/>
      <c r="F7" s="286"/>
      <c r="G7" s="286"/>
      <c r="H7" s="2031"/>
      <c r="I7" s="1009" t="str">
        <f>IF(OR(ISTEXT(F7)=TRUE,ISTEXT(G7)=TRUE),Calculation!$D$100,IF(F7+G7&gt;5,Calculation!$D$97,""))</f>
        <v/>
      </c>
      <c r="J7" s="727"/>
      <c r="K7" s="727"/>
    </row>
    <row r="8" spans="1:37" ht="18.75" customHeight="1" thickBot="1">
      <c r="A8" s="532"/>
      <c r="B8" s="533"/>
      <c r="C8" s="533"/>
      <c r="D8" s="388" t="s">
        <v>729</v>
      </c>
      <c r="E8" s="390">
        <f>SUM(E5:E7)</f>
        <v>5</v>
      </c>
      <c r="F8" s="390">
        <f>SUM(F5:F7)</f>
        <v>0</v>
      </c>
      <c r="G8" s="390">
        <f>SUM(G5:G7)</f>
        <v>0</v>
      </c>
      <c r="H8" s="535"/>
      <c r="I8" s="2765"/>
      <c r="J8" s="727"/>
      <c r="K8" s="727"/>
    </row>
    <row r="9" spans="1:37">
      <c r="A9" s="372"/>
      <c r="E9" s="733"/>
      <c r="F9" s="733"/>
      <c r="G9" s="733"/>
      <c r="H9" s="372"/>
      <c r="I9" s="2765"/>
    </row>
    <row r="10" spans="1:37" ht="15.75" customHeight="1">
      <c r="A10" s="372"/>
      <c r="E10" s="733"/>
      <c r="F10" s="733"/>
      <c r="G10" s="733"/>
      <c r="H10" s="372"/>
      <c r="I10" s="2765"/>
    </row>
    <row r="11" spans="1:37">
      <c r="A11" s="372"/>
      <c r="E11" s="733"/>
      <c r="F11" s="733"/>
      <c r="G11" s="733"/>
      <c r="H11" s="372"/>
      <c r="I11" s="2765"/>
    </row>
    <row r="12" spans="1:37">
      <c r="A12" s="1005" t="str">
        <f>Calculation!$C$86</f>
        <v>Project Teams are to refer to the Green Star SA Office v1 Technical Manual for explicit credit criteria and documentation requirements.</v>
      </c>
      <c r="E12" s="733"/>
      <c r="F12" s="733"/>
      <c r="G12" s="733"/>
      <c r="H12" s="372"/>
      <c r="I12" s="2765"/>
    </row>
    <row r="13" spans="1:37">
      <c r="A13" s="1005" t="str">
        <f>Calculation!$C$87</f>
        <v>The Green Star Technical Clarifications (TC) and Credit Interpretation Request (CIR) rulings provide an essential source of information to all</v>
      </c>
      <c r="I13" s="2765"/>
    </row>
    <row r="14" spans="1:37">
      <c r="A14" s="1005" t="str">
        <f>Calculation!$C$88</f>
        <v>projects undertaking Green Star assessment. They are available on the GBCSA website http://www.gbcsa.org.za . Technical Clarifications</v>
      </c>
      <c r="I14" s="2765"/>
    </row>
    <row r="15" spans="1:37">
      <c r="A15" s="1005" t="str">
        <f>Calculation!$C$89</f>
        <v xml:space="preserve">often represent the GBCSA answers to technical queries and complement Green Star SA Technical Manuals. They do not amend but clarify </v>
      </c>
      <c r="I15" s="2765"/>
    </row>
    <row r="16" spans="1:37">
      <c r="A16" s="1005" t="str">
        <f>Calculation!$C$90</f>
        <v xml:space="preserve">Credit Criteria or Compliance Requirements. They are an extension of the Technical Manual; it is the responsibility of the project teams to stay </v>
      </c>
      <c r="I16" s="2765"/>
    </row>
    <row r="17" spans="1:9">
      <c r="A17" s="1005" t="str">
        <f>Calculation!$C$91</f>
        <v xml:space="preserve">up-to-date with this section of the GBCSA website. The CIR rulings offer alternative compliance options whenever those have been deemed </v>
      </c>
      <c r="I17" s="2765"/>
    </row>
    <row r="18" spans="1:9">
      <c r="A18" s="1005" t="str">
        <f>Calculation!$C$92</f>
        <v>equivalent in meeting the Aim of Credit.</v>
      </c>
      <c r="I18" s="2765"/>
    </row>
    <row r="19" spans="1:9">
      <c r="A19" s="1005"/>
      <c r="I19" s="2765"/>
    </row>
  </sheetData>
  <sheetProtection password="AD9B" sheet="1" objects="1" scenarios="1"/>
  <mergeCells count="2">
    <mergeCell ref="E5:E7"/>
    <mergeCell ref="I8:I19"/>
  </mergeCells>
  <phoneticPr fontId="0"/>
  <printOptions horizontalCentered="1"/>
  <pageMargins left="0.59055118110236227" right="0.59055118110236227" top="0.47244094488188981" bottom="0.47244094488188981" header="0.23622047244094491" footer="0.35433070866141736"/>
  <pageSetup paperSize="9" scale="62" orientation="landscape" blackAndWhite="1" r:id="rId1"/>
  <headerFooter alignWithMargins="0">
    <oddHeader>&amp;LGreen Building Council of South Africa&amp;R&amp;T   &amp;D</oddHeader>
    <oddFooter>&amp;L&amp;F&amp;CPage &amp;P of &amp;N&amp;RCategory: &amp;A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Button 1">
              <controlPr defaultSize="0" print="0" autoFill="0" autoPict="0" macro="[0]!GoToCreditSummary">
                <anchor moveWithCells="1" sizeWithCells="1">
                  <from>
                    <xdr:col>4</xdr:col>
                    <xdr:colOff>876300</xdr:colOff>
                    <xdr:row>8</xdr:row>
                    <xdr:rowOff>104775</xdr:rowOff>
                  </from>
                  <to>
                    <xdr:col>7</xdr:col>
                    <xdr:colOff>0</xdr:colOff>
                    <xdr:row>10</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113"/>
  <sheetViews>
    <sheetView zoomScale="80" zoomScaleNormal="80" zoomScaleSheetLayoutView="85" workbookViewId="0">
      <pane ySplit="3" topLeftCell="A4" activePane="bottomLeft" state="frozen"/>
      <selection activeCell="D17" sqref="D17"/>
      <selection pane="bottomLeft" activeCell="A119" sqref="A119"/>
    </sheetView>
  </sheetViews>
  <sheetFormatPr defaultColWidth="10.75" defaultRowHeight="12.75"/>
  <cols>
    <col min="1" max="1" width="9.625" style="422" customWidth="1"/>
    <col min="2" max="2" width="37.625" style="422" customWidth="1"/>
    <col min="3" max="3" width="7.75" style="422" customWidth="1"/>
    <col min="4" max="4" width="10.625" style="421" customWidth="1"/>
    <col min="5" max="5" width="11.375" style="421" customWidth="1"/>
    <col min="6" max="6" width="0.625" style="423" customWidth="1"/>
    <col min="7" max="7" width="11.375" style="421" customWidth="1"/>
    <col min="8" max="8" width="0.625" style="966" customWidth="1"/>
    <col min="9" max="11" width="11.375" style="421" customWidth="1"/>
    <col min="12" max="17" width="10.75" style="959"/>
    <col min="18" max="16384" width="10.75" style="422"/>
  </cols>
  <sheetData>
    <row r="1" spans="1:17" s="401" customFormat="1" ht="42" customHeight="1">
      <c r="A1" s="396" t="str">
        <f>Calculation!N31</f>
        <v>Green Star SA - Office Design v1</v>
      </c>
      <c r="B1" s="397"/>
      <c r="C1" s="397"/>
      <c r="D1" s="398"/>
      <c r="E1" s="398"/>
      <c r="F1" s="399"/>
      <c r="G1" s="400" t="s">
        <v>1144</v>
      </c>
      <c r="H1" s="960"/>
      <c r="I1" s="400"/>
      <c r="J1" s="400"/>
      <c r="K1" s="400"/>
      <c r="L1" s="957"/>
      <c r="M1" s="957"/>
      <c r="N1" s="957"/>
      <c r="O1" s="957"/>
      <c r="P1" s="957"/>
      <c r="Q1" s="957"/>
    </row>
    <row r="2" spans="1:17" s="401" customFormat="1" ht="23.25">
      <c r="A2" s="402" t="str">
        <f>IF('Building Input'!$C$5=0,"",'Building Input'!$C$5)</f>
        <v/>
      </c>
      <c r="B2" s="397"/>
      <c r="C2" s="397"/>
      <c r="D2" s="398"/>
      <c r="E2" s="398"/>
      <c r="F2" s="399"/>
      <c r="G2" s="400"/>
      <c r="H2" s="960"/>
      <c r="I2" s="400"/>
      <c r="J2" s="400"/>
      <c r="K2" s="400"/>
      <c r="L2" s="957"/>
      <c r="M2" s="957"/>
      <c r="N2" s="957"/>
      <c r="O2" s="957"/>
      <c r="P2" s="957"/>
      <c r="Q2" s="957"/>
    </row>
    <row r="3" spans="1:17" s="404" customFormat="1" ht="56.25" customHeight="1">
      <c r="A3" s="424" t="s">
        <v>1602</v>
      </c>
      <c r="B3" s="425" t="s">
        <v>1220</v>
      </c>
      <c r="C3" s="425" t="s">
        <v>521</v>
      </c>
      <c r="D3" s="426" t="s">
        <v>1405</v>
      </c>
      <c r="E3" s="427" t="s">
        <v>1406</v>
      </c>
      <c r="F3" s="403"/>
      <c r="G3" s="428" t="s">
        <v>519</v>
      </c>
      <c r="H3" s="961"/>
      <c r="I3" s="428" t="s">
        <v>1243</v>
      </c>
      <c r="J3" s="428" t="s">
        <v>1603</v>
      </c>
      <c r="K3" s="428" t="s">
        <v>1242</v>
      </c>
      <c r="L3" s="958"/>
      <c r="M3" s="958"/>
      <c r="N3" s="958"/>
      <c r="O3" s="958"/>
      <c r="P3" s="958"/>
      <c r="Q3" s="958"/>
    </row>
    <row r="4" spans="1:17" s="404" customFormat="1" ht="5.0999999999999996" customHeight="1">
      <c r="A4" s="405"/>
      <c r="B4" s="405"/>
      <c r="C4" s="405"/>
      <c r="D4" s="406"/>
      <c r="E4" s="406"/>
      <c r="F4" s="403"/>
      <c r="G4" s="406"/>
      <c r="H4" s="961"/>
      <c r="I4" s="406"/>
      <c r="J4" s="406"/>
      <c r="K4" s="406"/>
      <c r="L4" s="958"/>
      <c r="M4" s="958"/>
      <c r="N4" s="958"/>
      <c r="O4" s="958"/>
      <c r="P4" s="958"/>
      <c r="Q4" s="958"/>
    </row>
    <row r="5" spans="1:17" s="404" customFormat="1" ht="18.75" customHeight="1">
      <c r="A5" s="430" t="s">
        <v>89</v>
      </c>
      <c r="B5" s="431"/>
      <c r="C5" s="431"/>
      <c r="D5" s="432"/>
      <c r="E5" s="433"/>
      <c r="F5" s="407"/>
      <c r="G5" s="429"/>
      <c r="H5" s="962"/>
      <c r="I5" s="958"/>
      <c r="J5" s="958"/>
      <c r="K5" s="958"/>
      <c r="L5" s="958"/>
      <c r="M5" s="958"/>
      <c r="N5" s="958"/>
      <c r="O5" s="958"/>
      <c r="P5" s="958"/>
      <c r="Q5" s="958"/>
    </row>
    <row r="6" spans="1:17" s="404" customFormat="1" ht="15" customHeight="1">
      <c r="A6" s="302"/>
      <c r="B6" s="303" t="str">
        <f>Management!B5</f>
        <v>Green Star SA Accredited Professional</v>
      </c>
      <c r="C6" s="303" t="str">
        <f>Management!A5</f>
        <v>Man-1</v>
      </c>
      <c r="D6" s="304">
        <f>Management!F5</f>
        <v>2</v>
      </c>
      <c r="E6" s="305">
        <f>Management!G5</f>
        <v>0</v>
      </c>
      <c r="F6" s="408"/>
      <c r="G6" s="306">
        <f>Management!H5</f>
        <v>0</v>
      </c>
      <c r="H6" s="963" t="str">
        <f>Management!J5</f>
        <v/>
      </c>
      <c r="I6" s="958"/>
      <c r="J6" s="958"/>
      <c r="K6" s="958"/>
      <c r="L6" s="958"/>
      <c r="M6" s="958"/>
      <c r="N6" s="958"/>
      <c r="O6" s="958"/>
      <c r="P6" s="958"/>
      <c r="Q6" s="958"/>
    </row>
    <row r="7" spans="1:17" s="404" customFormat="1" ht="15" customHeight="1">
      <c r="A7" s="302"/>
      <c r="B7" s="303" t="str">
        <f>Management!B6</f>
        <v>Commissioning  Clauses</v>
      </c>
      <c r="C7" s="303" t="str">
        <f>Management!A6</f>
        <v>Man-2</v>
      </c>
      <c r="D7" s="304">
        <f>Management!F6+Management!F7</f>
        <v>2</v>
      </c>
      <c r="E7" s="305">
        <f>IF(OR(Management!G6="na",Management!G7="na"),"na",Management!G6+Management!G7)</f>
        <v>0</v>
      </c>
      <c r="F7" s="408"/>
      <c r="G7" s="306">
        <f>Management!H6+Management!H7</f>
        <v>0</v>
      </c>
      <c r="H7" s="963" t="str">
        <f>IF(OR(Management!J6="ERROR", Management!J7="ERROR"),"ERROR","")</f>
        <v/>
      </c>
      <c r="I7" s="958"/>
      <c r="J7" s="958"/>
      <c r="K7" s="958"/>
      <c r="L7" s="958"/>
      <c r="M7" s="958"/>
      <c r="N7" s="958"/>
      <c r="O7" s="958"/>
      <c r="P7" s="958"/>
      <c r="Q7" s="958"/>
    </row>
    <row r="8" spans="1:17" s="404" customFormat="1" ht="15" customHeight="1">
      <c r="A8" s="302"/>
      <c r="B8" s="303" t="str">
        <f>Management!B8</f>
        <v>Building Tuning</v>
      </c>
      <c r="C8" s="303" t="str">
        <f>Management!A8</f>
        <v>Man-3</v>
      </c>
      <c r="D8" s="304">
        <f>Management!F8</f>
        <v>2</v>
      </c>
      <c r="E8" s="305">
        <f>Management!G8</f>
        <v>0</v>
      </c>
      <c r="F8" s="408"/>
      <c r="G8" s="306">
        <f>Management!H8</f>
        <v>0</v>
      </c>
      <c r="H8" s="963" t="str">
        <f>Management!J8</f>
        <v/>
      </c>
      <c r="I8" s="958"/>
      <c r="J8" s="958"/>
      <c r="K8" s="958"/>
      <c r="L8" s="958"/>
      <c r="M8" s="958"/>
      <c r="N8" s="958"/>
      <c r="O8" s="958"/>
      <c r="P8" s="958"/>
      <c r="Q8" s="958"/>
    </row>
    <row r="9" spans="1:17" s="404" customFormat="1" ht="15" customHeight="1">
      <c r="A9" s="302"/>
      <c r="B9" s="303" t="str">
        <f>Management!B9</f>
        <v>Independent Commissioning Agent</v>
      </c>
      <c r="C9" s="303" t="str">
        <f>Management!A9</f>
        <v>Man-4</v>
      </c>
      <c r="D9" s="304">
        <f>Management!F9</f>
        <v>1</v>
      </c>
      <c r="E9" s="305">
        <f>Management!G9</f>
        <v>0</v>
      </c>
      <c r="F9" s="408"/>
      <c r="G9" s="306">
        <f>Management!H9</f>
        <v>0</v>
      </c>
      <c r="H9" s="963" t="str">
        <f>Management!J9</f>
        <v/>
      </c>
      <c r="I9" s="958"/>
      <c r="J9" s="958"/>
      <c r="K9" s="958"/>
      <c r="L9" s="958"/>
      <c r="M9" s="958"/>
      <c r="N9" s="958"/>
      <c r="O9" s="958"/>
      <c r="P9" s="958"/>
      <c r="Q9" s="958"/>
    </row>
    <row r="10" spans="1:17" s="404" customFormat="1" ht="15" customHeight="1">
      <c r="A10" s="302"/>
      <c r="B10" s="303" t="str">
        <f>Management!B10</f>
        <v>Building Users' Guide</v>
      </c>
      <c r="C10" s="303" t="str">
        <f>Management!A10</f>
        <v>Man-5</v>
      </c>
      <c r="D10" s="304">
        <f>Management!F10</f>
        <v>1</v>
      </c>
      <c r="E10" s="305">
        <f>Management!G10</f>
        <v>0</v>
      </c>
      <c r="F10" s="408"/>
      <c r="G10" s="306">
        <f>Management!H10</f>
        <v>0</v>
      </c>
      <c r="H10" s="963" t="str">
        <f>Management!J10</f>
        <v/>
      </c>
      <c r="I10" s="958"/>
      <c r="J10" s="958"/>
      <c r="K10" s="958"/>
      <c r="L10" s="958"/>
      <c r="M10" s="958"/>
      <c r="N10" s="958"/>
      <c r="O10" s="958"/>
      <c r="P10" s="958"/>
      <c r="Q10" s="958"/>
    </row>
    <row r="11" spans="1:17" s="404" customFormat="1" ht="15" customHeight="1">
      <c r="A11" s="302"/>
      <c r="B11" s="303" t="str">
        <f>Management!B11</f>
        <v>Environmental Management</v>
      </c>
      <c r="C11" s="303" t="str">
        <f>Management!A11</f>
        <v>Man-6</v>
      </c>
      <c r="D11" s="304">
        <f>Management!F11+Management!F12</f>
        <v>2</v>
      </c>
      <c r="E11" s="305">
        <f>Management!G11+Management!G12</f>
        <v>0</v>
      </c>
      <c r="F11" s="408"/>
      <c r="G11" s="306">
        <f>Management!H11+Management!H12</f>
        <v>0</v>
      </c>
      <c r="H11" s="963" t="str">
        <f>Management!J11</f>
        <v/>
      </c>
      <c r="I11" s="958"/>
      <c r="J11" s="958"/>
      <c r="K11" s="958"/>
      <c r="L11" s="958"/>
      <c r="M11" s="958"/>
      <c r="N11" s="958"/>
      <c r="O11" s="958"/>
      <c r="P11" s="958"/>
      <c r="Q11" s="958"/>
    </row>
    <row r="12" spans="1:17" s="404" customFormat="1" ht="15" customHeight="1">
      <c r="A12" s="302"/>
      <c r="B12" s="303" t="str">
        <f>Management!B13</f>
        <v>Waste Management</v>
      </c>
      <c r="C12" s="303" t="str">
        <f>Management!A13</f>
        <v>Man-7</v>
      </c>
      <c r="D12" s="304">
        <f>Management!F13</f>
        <v>3</v>
      </c>
      <c r="E12" s="305">
        <f>Management!G13</f>
        <v>0</v>
      </c>
      <c r="F12" s="408"/>
      <c r="G12" s="306">
        <f>Management!H13</f>
        <v>0</v>
      </c>
      <c r="H12" s="963" t="str">
        <f>Management!J13</f>
        <v/>
      </c>
      <c r="I12" s="958"/>
      <c r="J12" s="958"/>
      <c r="K12" s="958"/>
      <c r="L12" s="958"/>
      <c r="M12" s="958"/>
      <c r="N12" s="958"/>
      <c r="O12" s="958"/>
      <c r="P12" s="958"/>
      <c r="Q12" s="958"/>
    </row>
    <row r="13" spans="1:17" s="404" customFormat="1" ht="15" customHeight="1">
      <c r="A13" s="302"/>
      <c r="B13" s="303" t="str">
        <f>Management!B14</f>
        <v>Airtightness Testing</v>
      </c>
      <c r="C13" s="303" t="str">
        <f>Management!A14</f>
        <v>Man-8</v>
      </c>
      <c r="D13" s="304">
        <f>Management!F14</f>
        <v>1</v>
      </c>
      <c r="E13" s="305">
        <f>Management!G14</f>
        <v>0</v>
      </c>
      <c r="F13" s="408"/>
      <c r="G13" s="307">
        <f>Management!H14</f>
        <v>0</v>
      </c>
      <c r="H13" s="963" t="str">
        <f>Management!J14</f>
        <v/>
      </c>
      <c r="I13" s="958"/>
      <c r="J13" s="958"/>
      <c r="K13" s="958"/>
      <c r="L13" s="958"/>
      <c r="M13" s="958"/>
      <c r="N13" s="958"/>
      <c r="O13" s="958"/>
      <c r="P13" s="958"/>
      <c r="Q13" s="958"/>
    </row>
    <row r="14" spans="1:17" s="404" customFormat="1" ht="15" customHeight="1">
      <c r="A14" s="308"/>
      <c r="B14" s="309"/>
      <c r="C14" s="310" t="s">
        <v>967</v>
      </c>
      <c r="D14" s="311">
        <f>Management!F15</f>
        <v>14</v>
      </c>
      <c r="E14" s="312">
        <f>Management!G15</f>
        <v>0</v>
      </c>
      <c r="F14" s="407"/>
      <c r="G14" s="313">
        <f>Management!H15</f>
        <v>0</v>
      </c>
      <c r="H14" s="962"/>
      <c r="I14" s="360">
        <f>E14/D14</f>
        <v>0</v>
      </c>
      <c r="J14" s="360">
        <v>0.09</v>
      </c>
      <c r="K14" s="359">
        <f>I14*J14*100</f>
        <v>0</v>
      </c>
      <c r="L14" s="958"/>
      <c r="M14" s="958"/>
      <c r="N14" s="958"/>
      <c r="O14" s="958"/>
      <c r="P14" s="958"/>
      <c r="Q14" s="958"/>
    </row>
    <row r="15" spans="1:17" s="404" customFormat="1" ht="5.0999999999999996" customHeight="1">
      <c r="A15" s="408"/>
      <c r="B15" s="408"/>
      <c r="C15" s="408"/>
      <c r="D15" s="407"/>
      <c r="E15" s="407"/>
      <c r="F15" s="407"/>
      <c r="G15" s="407"/>
      <c r="H15" s="962"/>
      <c r="I15" s="407"/>
      <c r="J15" s="407"/>
      <c r="K15" s="407"/>
      <c r="L15" s="958"/>
      <c r="M15" s="958"/>
      <c r="N15" s="958"/>
      <c r="O15" s="958"/>
      <c r="P15" s="958"/>
      <c r="Q15" s="958"/>
    </row>
    <row r="16" spans="1:17" s="404" customFormat="1" ht="18.75" customHeight="1">
      <c r="A16" s="430" t="s">
        <v>90</v>
      </c>
      <c r="B16" s="431"/>
      <c r="C16" s="431"/>
      <c r="D16" s="432"/>
      <c r="E16" s="433"/>
      <c r="F16" s="407"/>
      <c r="G16" s="429"/>
      <c r="H16" s="962"/>
      <c r="I16" s="958"/>
      <c r="J16" s="958"/>
      <c r="K16" s="958"/>
      <c r="L16" s="958"/>
      <c r="M16" s="958"/>
      <c r="N16" s="958"/>
      <c r="O16" s="958"/>
      <c r="P16" s="958"/>
      <c r="Q16" s="958"/>
    </row>
    <row r="17" spans="1:17" s="404" customFormat="1" ht="15" customHeight="1">
      <c r="A17" s="314"/>
      <c r="B17" s="315" t="str">
        <f>IEQ!B5</f>
        <v>Ventilation Rates</v>
      </c>
      <c r="C17" s="315" t="str">
        <f>IEQ!A5</f>
        <v>IEQ-1</v>
      </c>
      <c r="D17" s="316">
        <f>IEQ!F5</f>
        <v>3</v>
      </c>
      <c r="E17" s="317">
        <f>IEQ!G5</f>
        <v>0</v>
      </c>
      <c r="F17" s="407"/>
      <c r="G17" s="318">
        <f>IEQ!H5</f>
        <v>0</v>
      </c>
      <c r="H17" s="962" t="str">
        <f>IEQ!J5</f>
        <v/>
      </c>
      <c r="I17" s="958"/>
      <c r="J17" s="958"/>
      <c r="K17" s="958"/>
      <c r="L17" s="958"/>
      <c r="M17" s="958"/>
      <c r="N17" s="958"/>
      <c r="O17" s="958"/>
      <c r="P17" s="958"/>
      <c r="Q17" s="958"/>
    </row>
    <row r="18" spans="1:17" s="404" customFormat="1" ht="15" customHeight="1">
      <c r="A18" s="319"/>
      <c r="B18" s="320" t="str">
        <f>IEQ!B6</f>
        <v>Air Change Effectiveness</v>
      </c>
      <c r="C18" s="320" t="str">
        <f>IEQ!A6</f>
        <v>IEQ-2</v>
      </c>
      <c r="D18" s="321">
        <f>IEQ!F6</f>
        <v>2</v>
      </c>
      <c r="E18" s="322">
        <f>IEQ!G6</f>
        <v>0</v>
      </c>
      <c r="F18" s="408"/>
      <c r="G18" s="306">
        <f>IEQ!H6</f>
        <v>0</v>
      </c>
      <c r="H18" s="963" t="str">
        <f>IEQ!J6</f>
        <v/>
      </c>
      <c r="I18" s="958"/>
      <c r="J18" s="958"/>
      <c r="K18" s="958"/>
      <c r="L18" s="958"/>
      <c r="M18" s="958"/>
      <c r="N18" s="958"/>
      <c r="O18" s="958"/>
      <c r="P18" s="958"/>
      <c r="Q18" s="958"/>
    </row>
    <row r="19" spans="1:17" s="404" customFormat="1" ht="15" customHeight="1">
      <c r="A19" s="319"/>
      <c r="B19" s="320" t="str">
        <f>IEQ!B8</f>
        <v>Carbon Dioxide Monitoring and Control</v>
      </c>
      <c r="C19" s="320" t="str">
        <f>IEQ!A8</f>
        <v>IEQ-3</v>
      </c>
      <c r="D19" s="321">
        <f>IEQ!F8</f>
        <v>1</v>
      </c>
      <c r="E19" s="322">
        <f>IEQ!G8</f>
        <v>0</v>
      </c>
      <c r="F19" s="408"/>
      <c r="G19" s="306">
        <f>IEQ!H8</f>
        <v>0</v>
      </c>
      <c r="H19" s="963" t="str">
        <f>IEQ!J8</f>
        <v/>
      </c>
      <c r="I19" s="958"/>
      <c r="J19" s="958"/>
      <c r="K19" s="958"/>
      <c r="L19" s="958"/>
      <c r="M19" s="958"/>
      <c r="N19" s="958"/>
      <c r="O19" s="958"/>
      <c r="P19" s="958"/>
      <c r="Q19" s="958"/>
    </row>
    <row r="20" spans="1:17" s="404" customFormat="1" ht="15" customHeight="1">
      <c r="A20" s="319"/>
      <c r="B20" s="320" t="str">
        <f>IEQ!B9</f>
        <v>Daylight</v>
      </c>
      <c r="C20" s="320" t="str">
        <f>IEQ!A9</f>
        <v>IEQ-4</v>
      </c>
      <c r="D20" s="321">
        <f>IEQ!F9</f>
        <v>3</v>
      </c>
      <c r="E20" s="322">
        <f>IEQ!G9</f>
        <v>0</v>
      </c>
      <c r="F20" s="408"/>
      <c r="G20" s="306">
        <f>IEQ!H9</f>
        <v>0</v>
      </c>
      <c r="H20" s="963" t="str">
        <f>IEQ!J9</f>
        <v/>
      </c>
      <c r="I20" s="958"/>
      <c r="J20" s="958"/>
      <c r="K20" s="958"/>
      <c r="L20" s="958"/>
      <c r="M20" s="958"/>
      <c r="N20" s="958"/>
      <c r="O20" s="958"/>
      <c r="P20" s="958"/>
      <c r="Q20" s="958"/>
    </row>
    <row r="21" spans="1:17" s="404" customFormat="1" ht="15" customHeight="1">
      <c r="A21" s="319"/>
      <c r="B21" s="320" t="str">
        <f>IEQ!B10</f>
        <v>Daylight Glare Control</v>
      </c>
      <c r="C21" s="320" t="str">
        <f>IEQ!A10</f>
        <v>IEQ-5</v>
      </c>
      <c r="D21" s="321">
        <f>IEQ!F10</f>
        <v>1</v>
      </c>
      <c r="E21" s="322">
        <f>IEQ!G10</f>
        <v>0</v>
      </c>
      <c r="F21" s="408"/>
      <c r="G21" s="306">
        <f>IEQ!H10</f>
        <v>0</v>
      </c>
      <c r="H21" s="963" t="str">
        <f>IEQ!J10</f>
        <v/>
      </c>
      <c r="I21" s="958"/>
      <c r="J21" s="958"/>
      <c r="K21" s="958"/>
      <c r="L21" s="958"/>
      <c r="M21" s="958"/>
      <c r="N21" s="958"/>
      <c r="O21" s="958"/>
      <c r="P21" s="958"/>
      <c r="Q21" s="958"/>
    </row>
    <row r="22" spans="1:17" s="404" customFormat="1" ht="15" customHeight="1">
      <c r="A22" s="319"/>
      <c r="B22" s="320" t="str">
        <f>IEQ!B11</f>
        <v>High Frequency Ballasts</v>
      </c>
      <c r="C22" s="320" t="str">
        <f>IEQ!A11</f>
        <v>IEQ-6</v>
      </c>
      <c r="D22" s="321">
        <f>IEQ!F11</f>
        <v>1</v>
      </c>
      <c r="E22" s="322">
        <f>IEQ!G11</f>
        <v>0</v>
      </c>
      <c r="F22" s="408"/>
      <c r="G22" s="306">
        <f>IEQ!H11</f>
        <v>0</v>
      </c>
      <c r="H22" s="963" t="str">
        <f>IEQ!J11</f>
        <v/>
      </c>
      <c r="I22" s="958"/>
      <c r="J22" s="958"/>
      <c r="K22" s="958"/>
      <c r="L22" s="958"/>
      <c r="M22" s="958"/>
      <c r="N22" s="958"/>
      <c r="O22" s="958"/>
      <c r="P22" s="958"/>
      <c r="Q22" s="958"/>
    </row>
    <row r="23" spans="1:17" s="404" customFormat="1" ht="15" customHeight="1">
      <c r="A23" s="319"/>
      <c r="B23" s="320" t="str">
        <f>IEQ!B12</f>
        <v>Electric Lighting Levels</v>
      </c>
      <c r="C23" s="320" t="str">
        <f>IEQ!A12</f>
        <v>IEQ-7</v>
      </c>
      <c r="D23" s="321">
        <f>IEQ!F12</f>
        <v>1</v>
      </c>
      <c r="E23" s="322">
        <f>IEQ!G12</f>
        <v>0</v>
      </c>
      <c r="F23" s="408"/>
      <c r="G23" s="306">
        <f>IEQ!H12</f>
        <v>0</v>
      </c>
      <c r="H23" s="963" t="str">
        <f>IEQ!J12</f>
        <v/>
      </c>
      <c r="I23" s="958"/>
      <c r="J23" s="958"/>
      <c r="K23" s="958"/>
      <c r="L23" s="958"/>
      <c r="M23" s="958"/>
      <c r="N23" s="958"/>
      <c r="O23" s="958"/>
      <c r="P23" s="958"/>
      <c r="Q23" s="958"/>
    </row>
    <row r="24" spans="1:17" s="404" customFormat="1" ht="15" customHeight="1">
      <c r="A24" s="319"/>
      <c r="B24" s="320" t="str">
        <f>IEQ!B13</f>
        <v>External Views</v>
      </c>
      <c r="C24" s="320" t="str">
        <f>IEQ!A13</f>
        <v>IEQ-8</v>
      </c>
      <c r="D24" s="321">
        <f>IEQ!F13</f>
        <v>2</v>
      </c>
      <c r="E24" s="322">
        <f>IEQ!G13</f>
        <v>0</v>
      </c>
      <c r="F24" s="408"/>
      <c r="G24" s="306">
        <f>IEQ!H13</f>
        <v>0</v>
      </c>
      <c r="H24" s="963" t="str">
        <f>IEQ!J13</f>
        <v/>
      </c>
      <c r="I24" s="958"/>
      <c r="J24" s="958"/>
      <c r="K24" s="958"/>
      <c r="L24" s="958"/>
      <c r="M24" s="958"/>
      <c r="N24" s="958"/>
      <c r="O24" s="958"/>
      <c r="P24" s="958"/>
      <c r="Q24" s="958"/>
    </row>
    <row r="25" spans="1:17" s="404" customFormat="1" ht="15" customHeight="1">
      <c r="A25" s="319"/>
      <c r="B25" s="320" t="str">
        <f>IEQ!B14</f>
        <v>Thermal Comfort</v>
      </c>
      <c r="C25" s="320" t="str">
        <f>IEQ!A14</f>
        <v>IEQ-9</v>
      </c>
      <c r="D25" s="321">
        <f>IEQ!F14</f>
        <v>2</v>
      </c>
      <c r="E25" s="322">
        <f>IEQ!G14</f>
        <v>0</v>
      </c>
      <c r="F25" s="408"/>
      <c r="G25" s="306">
        <f>IEQ!H14</f>
        <v>0</v>
      </c>
      <c r="H25" s="963" t="str">
        <f>IEQ!J14</f>
        <v/>
      </c>
      <c r="I25" s="958"/>
      <c r="J25" s="958"/>
      <c r="K25" s="958"/>
      <c r="L25" s="958"/>
      <c r="M25" s="958"/>
      <c r="N25" s="958"/>
      <c r="O25" s="958"/>
      <c r="P25" s="958"/>
      <c r="Q25" s="958"/>
    </row>
    <row r="26" spans="1:17" s="404" customFormat="1" ht="15" customHeight="1">
      <c r="A26" s="319"/>
      <c r="B26" s="320" t="str">
        <f>IEQ!B16</f>
        <v>Individual Comfort Control</v>
      </c>
      <c r="C26" s="320" t="str">
        <f>IEQ!A16</f>
        <v>IEQ-10</v>
      </c>
      <c r="D26" s="321">
        <f>IEQ!F16</f>
        <v>2</v>
      </c>
      <c r="E26" s="322">
        <f>IEQ!G16</f>
        <v>0</v>
      </c>
      <c r="F26" s="408"/>
      <c r="G26" s="306">
        <f>IEQ!H16</f>
        <v>0</v>
      </c>
      <c r="H26" s="963" t="str">
        <f>IEQ!J16</f>
        <v/>
      </c>
      <c r="I26" s="958"/>
      <c r="J26" s="958"/>
      <c r="K26" s="958"/>
      <c r="L26" s="958"/>
      <c r="M26" s="958"/>
      <c r="N26" s="958"/>
      <c r="O26" s="958"/>
      <c r="P26" s="958"/>
      <c r="Q26" s="958"/>
    </row>
    <row r="27" spans="1:17" s="404" customFormat="1" ht="15" customHeight="1">
      <c r="A27" s="319"/>
      <c r="B27" s="320" t="str">
        <f>IEQ!B17</f>
        <v>Hazardous Materials</v>
      </c>
      <c r="C27" s="320" t="str">
        <f>IEQ!A17</f>
        <v>IEQ - 11</v>
      </c>
      <c r="D27" s="321">
        <f>IEQ!F17</f>
        <v>1</v>
      </c>
      <c r="E27" s="322">
        <f>IEQ!G17</f>
        <v>0</v>
      </c>
      <c r="F27" s="408"/>
      <c r="G27" s="306">
        <f>IEQ!H17</f>
        <v>0</v>
      </c>
      <c r="H27" s="963" t="str">
        <f>IEQ!J17</f>
        <v/>
      </c>
      <c r="I27" s="958"/>
      <c r="J27" s="958"/>
      <c r="K27" s="958"/>
      <c r="L27" s="958"/>
      <c r="M27" s="958"/>
      <c r="N27" s="958"/>
      <c r="O27" s="958"/>
      <c r="P27" s="958"/>
      <c r="Q27" s="958"/>
    </row>
    <row r="28" spans="1:17" s="404" customFormat="1" ht="15" customHeight="1">
      <c r="A28" s="319"/>
      <c r="B28" s="320" t="str">
        <f>IEQ!B18</f>
        <v>Internal Noise Levels</v>
      </c>
      <c r="C28" s="320" t="str">
        <f>IEQ!A18</f>
        <v>IEQ-12</v>
      </c>
      <c r="D28" s="321">
        <f>IEQ!F18</f>
        <v>2</v>
      </c>
      <c r="E28" s="322">
        <f>IEQ!G18</f>
        <v>0</v>
      </c>
      <c r="F28" s="408"/>
      <c r="G28" s="306">
        <f>IEQ!H18</f>
        <v>0</v>
      </c>
      <c r="H28" s="963" t="str">
        <f>IEQ!J18</f>
        <v/>
      </c>
      <c r="I28" s="958"/>
      <c r="J28" s="958"/>
      <c r="K28" s="958"/>
      <c r="L28" s="958"/>
      <c r="M28" s="958"/>
      <c r="N28" s="958"/>
      <c r="O28" s="958"/>
      <c r="P28" s="958"/>
      <c r="Q28" s="958"/>
    </row>
    <row r="29" spans="1:17" s="404" customFormat="1" ht="15" customHeight="1">
      <c r="A29" s="319"/>
      <c r="B29" s="320" t="str">
        <f>IEQ!B19</f>
        <v xml:space="preserve">Volatile Organic Compounds </v>
      </c>
      <c r="C29" s="320" t="str">
        <f>IEQ!A19</f>
        <v>IEQ-13</v>
      </c>
      <c r="D29" s="321">
        <f>IEQ!F19+IEQ!F20+IEQ!F21</f>
        <v>3</v>
      </c>
      <c r="E29" s="322">
        <f>IF(IEQ!G21="na",IEQ!G19+IEQ!G20,IEQ!G19+IEQ!G20+IEQ!G21)</f>
        <v>0</v>
      </c>
      <c r="F29" s="408"/>
      <c r="G29" s="306">
        <f>IEQ!H19+IEQ!H20+IEQ!H21</f>
        <v>0</v>
      </c>
      <c r="H29" s="963" t="str">
        <f>IF(OR(IEQ!J19="ERROR",IEQ!J20="ERROR",IEQ!J21="ERROR"),"ERROR","")</f>
        <v/>
      </c>
      <c r="I29" s="958"/>
      <c r="J29" s="958"/>
      <c r="K29" s="958"/>
      <c r="L29" s="958"/>
      <c r="M29" s="958"/>
      <c r="N29" s="958"/>
      <c r="O29" s="958"/>
      <c r="P29" s="958"/>
      <c r="Q29" s="958"/>
    </row>
    <row r="30" spans="1:17" s="404" customFormat="1" ht="15" customHeight="1">
      <c r="A30" s="319"/>
      <c r="B30" s="320" t="str">
        <f>IEQ!B22</f>
        <v>Formaldehyde Minimisation</v>
      </c>
      <c r="C30" s="320" t="str">
        <f>IEQ!A22</f>
        <v>IEQ-14</v>
      </c>
      <c r="D30" s="321">
        <f>IEQ!F22</f>
        <v>1</v>
      </c>
      <c r="E30" s="322">
        <f>IEQ!G22</f>
        <v>0</v>
      </c>
      <c r="F30" s="408"/>
      <c r="G30" s="306">
        <f>IEQ!H22</f>
        <v>0</v>
      </c>
      <c r="H30" s="963" t="str">
        <f>IEQ!J22</f>
        <v/>
      </c>
      <c r="I30" s="958"/>
      <c r="J30" s="958"/>
      <c r="K30" s="958"/>
      <c r="L30" s="958"/>
      <c r="M30" s="958"/>
      <c r="N30" s="958"/>
      <c r="O30" s="958"/>
      <c r="P30" s="958"/>
      <c r="Q30" s="958"/>
    </row>
    <row r="31" spans="1:17" s="404" customFormat="1" ht="15" customHeight="1">
      <c r="A31" s="319"/>
      <c r="B31" s="320" t="str">
        <f>IEQ!B23</f>
        <v>Mould Prevention</v>
      </c>
      <c r="C31" s="320" t="str">
        <f>IEQ!A23</f>
        <v>IEQ-15</v>
      </c>
      <c r="D31" s="321">
        <f>IEQ!F23</f>
        <v>1</v>
      </c>
      <c r="E31" s="322">
        <f>IEQ!G23</f>
        <v>0</v>
      </c>
      <c r="F31" s="408"/>
      <c r="G31" s="306">
        <f>IEQ!H23</f>
        <v>0</v>
      </c>
      <c r="H31" s="963" t="str">
        <f>IEQ!J23</f>
        <v/>
      </c>
      <c r="I31" s="958"/>
      <c r="J31" s="958"/>
      <c r="K31" s="958"/>
      <c r="L31" s="958"/>
      <c r="M31" s="958"/>
      <c r="N31" s="958"/>
      <c r="O31" s="958"/>
      <c r="P31" s="958"/>
      <c r="Q31" s="958"/>
    </row>
    <row r="32" spans="1:17" s="404" customFormat="1" ht="15" customHeight="1">
      <c r="A32" s="319"/>
      <c r="B32" s="320" t="str">
        <f>IEQ!B24</f>
        <v>Tenant Exhaust Riser</v>
      </c>
      <c r="C32" s="320" t="str">
        <f>IEQ!A24</f>
        <v>IEQ-16</v>
      </c>
      <c r="D32" s="321">
        <f>IEQ!F24</f>
        <v>1</v>
      </c>
      <c r="E32" s="322">
        <f>IEQ!G24</f>
        <v>0</v>
      </c>
      <c r="F32" s="408"/>
      <c r="G32" s="306">
        <f>IEQ!H24</f>
        <v>0</v>
      </c>
      <c r="H32" s="963" t="str">
        <f>IEQ!J24</f>
        <v/>
      </c>
      <c r="I32" s="958"/>
      <c r="J32" s="958"/>
      <c r="K32" s="958"/>
      <c r="L32" s="958"/>
      <c r="M32" s="958"/>
      <c r="N32" s="958"/>
      <c r="O32" s="958"/>
      <c r="P32" s="958"/>
      <c r="Q32" s="958"/>
    </row>
    <row r="33" spans="1:17" s="404" customFormat="1" ht="15" customHeight="1">
      <c r="A33" s="319"/>
      <c r="B33" s="320" t="str">
        <f>IEQ!B25</f>
        <v>Environmental Tobacco Smoke (ETS) Avoidance</v>
      </c>
      <c r="C33" s="320" t="str">
        <f>IEQ!A25</f>
        <v>IEQ-17</v>
      </c>
      <c r="D33" s="321">
        <f>IEQ!F25</f>
        <v>1</v>
      </c>
      <c r="E33" s="322">
        <f>IEQ!G25</f>
        <v>0</v>
      </c>
      <c r="F33" s="408"/>
      <c r="G33" s="306">
        <f>IEQ!H25</f>
        <v>0</v>
      </c>
      <c r="H33" s="963" t="str">
        <f>IEQ!J25</f>
        <v/>
      </c>
      <c r="I33" s="958"/>
      <c r="J33" s="958"/>
      <c r="K33" s="958"/>
      <c r="L33" s="958"/>
      <c r="M33" s="958"/>
      <c r="N33" s="958"/>
      <c r="O33" s="958"/>
      <c r="P33" s="958"/>
      <c r="Q33" s="958"/>
    </row>
    <row r="34" spans="1:17" s="404" customFormat="1" ht="15" customHeight="1">
      <c r="A34" s="323"/>
      <c r="B34" s="324"/>
      <c r="C34" s="310" t="s">
        <v>967</v>
      </c>
      <c r="D34" s="311">
        <f>IEQ!F26</f>
        <v>28</v>
      </c>
      <c r="E34" s="312">
        <f>IEQ!G26</f>
        <v>0</v>
      </c>
      <c r="F34" s="409"/>
      <c r="G34" s="325">
        <f>IEQ!H26</f>
        <v>0</v>
      </c>
      <c r="H34" s="962"/>
      <c r="I34" s="360">
        <f>E34/D34</f>
        <v>0</v>
      </c>
      <c r="J34" s="360">
        <v>0.15</v>
      </c>
      <c r="K34" s="359">
        <f>I34*J34*100</f>
        <v>0</v>
      </c>
      <c r="L34" s="958"/>
      <c r="M34" s="958"/>
      <c r="N34" s="958"/>
      <c r="O34" s="958"/>
      <c r="P34" s="958"/>
      <c r="Q34" s="958"/>
    </row>
    <row r="35" spans="1:17" s="404" customFormat="1" ht="5.0999999999999996" customHeight="1">
      <c r="A35" s="408"/>
      <c r="B35" s="408"/>
      <c r="C35" s="408"/>
      <c r="D35" s="407"/>
      <c r="E35" s="407"/>
      <c r="F35" s="409"/>
      <c r="G35" s="407"/>
      <c r="H35" s="962"/>
      <c r="I35" s="407"/>
      <c r="J35" s="407"/>
      <c r="K35" s="407"/>
      <c r="L35" s="958"/>
      <c r="M35" s="958"/>
      <c r="N35" s="958"/>
      <c r="O35" s="958"/>
      <c r="P35" s="958"/>
      <c r="Q35" s="958"/>
    </row>
    <row r="36" spans="1:17" s="404" customFormat="1" ht="15.75">
      <c r="A36" s="430" t="s">
        <v>91</v>
      </c>
      <c r="B36" s="431"/>
      <c r="C36" s="431"/>
      <c r="D36" s="432"/>
      <c r="E36" s="433"/>
      <c r="F36" s="409"/>
      <c r="G36" s="429"/>
      <c r="H36" s="962"/>
      <c r="I36" s="958"/>
      <c r="J36" s="958"/>
      <c r="K36" s="958"/>
      <c r="L36" s="958"/>
      <c r="M36" s="958"/>
      <c r="N36" s="958"/>
      <c r="O36" s="958"/>
      <c r="P36" s="958"/>
      <c r="Q36" s="958"/>
    </row>
    <row r="37" spans="1:17" s="404" customFormat="1" ht="15" customHeight="1">
      <c r="A37" s="302"/>
      <c r="B37" s="303" t="str">
        <f>Energy!B5</f>
        <v>Conditional Requirement</v>
      </c>
      <c r="C37" s="303" t="str">
        <f>Energy!A5</f>
        <v xml:space="preserve">Ene- </v>
      </c>
      <c r="D37" s="304" t="str">
        <f>"0"</f>
        <v>0</v>
      </c>
      <c r="E37" s="1961" t="str">
        <f>'Energy Calculator'!I5</f>
        <v>Not Achieved</v>
      </c>
      <c r="F37" s="408"/>
      <c r="G37" s="943">
        <f>Energy!H5</f>
        <v>0</v>
      </c>
      <c r="H37" s="963">
        <f>Energy!J5</f>
        <v>0</v>
      </c>
      <c r="I37" s="958"/>
      <c r="J37" s="958"/>
      <c r="K37" s="958"/>
      <c r="L37" s="958"/>
      <c r="M37" s="958"/>
      <c r="N37" s="958"/>
      <c r="O37" s="958"/>
      <c r="P37" s="958"/>
      <c r="Q37" s="958"/>
    </row>
    <row r="38" spans="1:17" s="404" customFormat="1" ht="15" customHeight="1">
      <c r="A38" s="302"/>
      <c r="B38" s="303" t="str">
        <f>Energy!B6</f>
        <v>Greenhouse Gas Emissions</v>
      </c>
      <c r="C38" s="303" t="str">
        <f>Energy!A6</f>
        <v>Ene-1</v>
      </c>
      <c r="D38" s="304">
        <f>Energy!F6</f>
        <v>20</v>
      </c>
      <c r="E38" s="936">
        <f>Energy!G6</f>
        <v>0</v>
      </c>
      <c r="F38" s="408"/>
      <c r="G38" s="943">
        <f>Energy!H6</f>
        <v>0</v>
      </c>
      <c r="H38" s="963" t="str">
        <f>IF(OR(Energy!J6="ERROR",Energy!J7="ERROR"),"ERROR","")</f>
        <v/>
      </c>
      <c r="I38" s="958"/>
      <c r="J38" s="958"/>
      <c r="K38" s="958"/>
      <c r="L38" s="958"/>
      <c r="M38" s="958"/>
      <c r="N38" s="958"/>
      <c r="O38" s="958"/>
      <c r="P38" s="958"/>
      <c r="Q38" s="958"/>
    </row>
    <row r="39" spans="1:17" s="404" customFormat="1" ht="15" customHeight="1">
      <c r="A39" s="302"/>
      <c r="B39" s="303" t="str">
        <f>Energy!B8</f>
        <v>Energy Sub-metering</v>
      </c>
      <c r="C39" s="303" t="str">
        <f>Energy!A8</f>
        <v>Ene-2</v>
      </c>
      <c r="D39" s="304">
        <f>Energy!F8+Energy!F9</f>
        <v>2</v>
      </c>
      <c r="E39" s="305">
        <f>IF(OR(Energy!G8="na",Energy!G9="na"),"na",Energy!G8+Energy!G9)</f>
        <v>0</v>
      </c>
      <c r="F39" s="408"/>
      <c r="G39" s="943">
        <f>Energy!H8+Energy!H9</f>
        <v>0</v>
      </c>
      <c r="H39" s="963" t="str">
        <f>IF(OR(Energy!J8="ERROR",Energy!J9="ERROR"),"ERROR","")</f>
        <v/>
      </c>
      <c r="I39" s="958"/>
      <c r="J39" s="958"/>
      <c r="K39" s="958"/>
      <c r="L39" s="958"/>
      <c r="M39" s="958"/>
      <c r="N39" s="958"/>
      <c r="O39" s="958"/>
      <c r="P39" s="958"/>
      <c r="Q39" s="958"/>
    </row>
    <row r="40" spans="1:17" s="404" customFormat="1" ht="15" customHeight="1">
      <c r="A40" s="302"/>
      <c r="B40" s="303" t="str">
        <f>Energy!B10</f>
        <v>Lighting Power Density </v>
      </c>
      <c r="C40" s="303" t="str">
        <f>Energy!A10</f>
        <v>Ene-3</v>
      </c>
      <c r="D40" s="304">
        <f>Energy!F10</f>
        <v>4</v>
      </c>
      <c r="E40" s="305">
        <f>Energy!G10</f>
        <v>0</v>
      </c>
      <c r="F40" s="408"/>
      <c r="G40" s="943">
        <f>Energy!H10</f>
        <v>0</v>
      </c>
      <c r="H40" s="963" t="str">
        <f>Energy!J10</f>
        <v/>
      </c>
      <c r="I40" s="958"/>
      <c r="J40" s="958"/>
      <c r="K40" s="958"/>
      <c r="L40" s="958"/>
      <c r="M40" s="958"/>
      <c r="N40" s="958"/>
      <c r="O40" s="958"/>
      <c r="P40" s="958"/>
      <c r="Q40" s="958"/>
    </row>
    <row r="41" spans="1:17" s="404" customFormat="1" ht="15" customHeight="1">
      <c r="A41" s="302"/>
      <c r="B41" s="303" t="str">
        <f>Energy!B11</f>
        <v>Lighting Zoning</v>
      </c>
      <c r="C41" s="303" t="str">
        <f>Energy!A11</f>
        <v>Ene-4</v>
      </c>
      <c r="D41" s="304">
        <f>Energy!F11+Energy!F12</f>
        <v>2</v>
      </c>
      <c r="E41" s="305">
        <f>IF(OR(Energy!G11="na",Energy!G12="na"),"na",Energy!G11+Energy!G12)</f>
        <v>0</v>
      </c>
      <c r="F41" s="408"/>
      <c r="G41" s="943">
        <f>Energy!H11+Energy!H12</f>
        <v>0</v>
      </c>
      <c r="H41" s="963" t="str">
        <f>IF(OR(Energy!J11="ERROR",Energy!J12="ERROR"),"ERROR","")</f>
        <v/>
      </c>
      <c r="I41" s="958"/>
      <c r="J41" s="958"/>
      <c r="K41" s="958"/>
      <c r="L41" s="958"/>
      <c r="M41" s="958"/>
      <c r="N41" s="958"/>
      <c r="O41" s="958"/>
      <c r="P41" s="958"/>
      <c r="Q41" s="958"/>
    </row>
    <row r="42" spans="1:17" s="404" customFormat="1" ht="15" customHeight="1">
      <c r="A42" s="302"/>
      <c r="B42" s="303" t="str">
        <f>Energy!B13</f>
        <v xml:space="preserve">Peak Energy Demand Reduction </v>
      </c>
      <c r="C42" s="303" t="str">
        <f>Energy!A13</f>
        <v>Ene-5</v>
      </c>
      <c r="D42" s="304">
        <f>Energy!F13</f>
        <v>2</v>
      </c>
      <c r="E42" s="305">
        <f>Energy!G13</f>
        <v>0</v>
      </c>
      <c r="F42" s="408"/>
      <c r="G42" s="943">
        <f>Energy!H13</f>
        <v>0</v>
      </c>
      <c r="H42" s="963" t="str">
        <f>Energy!J13</f>
        <v/>
      </c>
      <c r="I42" s="958"/>
      <c r="J42" s="958"/>
      <c r="K42" s="958"/>
      <c r="L42" s="958"/>
      <c r="M42" s="958"/>
      <c r="N42" s="958"/>
      <c r="O42" s="958"/>
      <c r="P42" s="958"/>
      <c r="Q42" s="958"/>
    </row>
    <row r="43" spans="1:17" s="404" customFormat="1" ht="15" customHeight="1">
      <c r="A43" s="308"/>
      <c r="B43" s="309"/>
      <c r="C43" s="310" t="s">
        <v>967</v>
      </c>
      <c r="D43" s="311">
        <f>Energy!F14</f>
        <v>30</v>
      </c>
      <c r="E43" s="312">
        <f>Energy!G14</f>
        <v>0</v>
      </c>
      <c r="F43" s="410"/>
      <c r="G43" s="325">
        <f>Energy!H14</f>
        <v>0</v>
      </c>
      <c r="H43" s="962"/>
      <c r="I43" s="950">
        <f>E43/D43</f>
        <v>0</v>
      </c>
      <c r="J43" s="950">
        <v>0.25</v>
      </c>
      <c r="K43" s="359">
        <f>I43*J43*100</f>
        <v>0</v>
      </c>
      <c r="L43" s="958"/>
      <c r="M43" s="958"/>
      <c r="N43" s="958"/>
      <c r="O43" s="958"/>
      <c r="P43" s="958"/>
      <c r="Q43" s="958"/>
    </row>
    <row r="44" spans="1:17" s="404" customFormat="1" ht="4.5" customHeight="1">
      <c r="A44" s="408"/>
      <c r="B44" s="408"/>
      <c r="C44" s="408"/>
      <c r="D44" s="407"/>
      <c r="E44" s="407"/>
      <c r="F44" s="409"/>
      <c r="G44" s="407"/>
      <c r="H44" s="962"/>
      <c r="I44" s="407"/>
      <c r="J44" s="407"/>
      <c r="K44" s="407"/>
      <c r="L44" s="958"/>
      <c r="M44" s="958"/>
      <c r="N44" s="958"/>
      <c r="O44" s="958"/>
      <c r="P44" s="958"/>
      <c r="Q44" s="958"/>
    </row>
    <row r="45" spans="1:17" s="404" customFormat="1" ht="16.5" thickBot="1">
      <c r="A45" s="938" t="s">
        <v>1218</v>
      </c>
      <c r="B45" s="939"/>
      <c r="C45" s="939"/>
      <c r="D45" s="940"/>
      <c r="E45" s="941"/>
      <c r="F45" s="409"/>
      <c r="G45" s="937"/>
      <c r="H45" s="962"/>
      <c r="I45" s="958"/>
      <c r="J45" s="958"/>
      <c r="K45" s="958"/>
      <c r="L45" s="958"/>
      <c r="M45" s="958"/>
      <c r="N45" s="958"/>
      <c r="O45" s="958"/>
      <c r="P45" s="958"/>
      <c r="Q45" s="958"/>
    </row>
    <row r="46" spans="1:17" s="404" customFormat="1" ht="15" customHeight="1">
      <c r="A46" s="944"/>
      <c r="B46" s="945" t="str">
        <f>Transport!B5</f>
        <v>Provision of Car Parking</v>
      </c>
      <c r="C46" s="945" t="str">
        <f>Transport!A5</f>
        <v>Tra-1</v>
      </c>
      <c r="D46" s="946">
        <f>Transport!F5</f>
        <v>2</v>
      </c>
      <c r="E46" s="947">
        <f>Transport!G5</f>
        <v>0</v>
      </c>
      <c r="F46" s="408"/>
      <c r="G46" s="948">
        <f>Transport!H5</f>
        <v>0</v>
      </c>
      <c r="H46" s="963" t="str">
        <f>Transport!J5</f>
        <v/>
      </c>
      <c r="I46" s="958"/>
      <c r="J46" s="958"/>
      <c r="K46" s="958"/>
      <c r="L46" s="958"/>
      <c r="M46" s="958"/>
      <c r="N46" s="958"/>
      <c r="O46" s="958"/>
      <c r="P46" s="958"/>
      <c r="Q46" s="958"/>
    </row>
    <row r="47" spans="1:17" s="404" customFormat="1" ht="15" customHeight="1">
      <c r="A47" s="302"/>
      <c r="B47" s="303" t="str">
        <f>Transport!B6</f>
        <v>Fuel-Efficient Transport</v>
      </c>
      <c r="C47" s="303" t="str">
        <f>Transport!A6</f>
        <v>Tra-2</v>
      </c>
      <c r="D47" s="304">
        <f>Transport!F6</f>
        <v>2</v>
      </c>
      <c r="E47" s="305">
        <f>Transport!G6</f>
        <v>0</v>
      </c>
      <c r="F47" s="408"/>
      <c r="G47" s="943">
        <f>Transport!H6</f>
        <v>0</v>
      </c>
      <c r="H47" s="963" t="str">
        <f>Transport!J6</f>
        <v/>
      </c>
      <c r="I47" s="958"/>
      <c r="J47" s="958"/>
      <c r="K47" s="958"/>
      <c r="L47" s="958"/>
      <c r="M47" s="958"/>
      <c r="N47" s="958"/>
      <c r="O47" s="958"/>
      <c r="P47" s="958"/>
      <c r="Q47" s="958"/>
    </row>
    <row r="48" spans="1:17" s="404" customFormat="1" ht="15" customHeight="1">
      <c r="A48" s="302"/>
      <c r="B48" s="303" t="str">
        <f>Transport!B7</f>
        <v>Cyclist Facilities</v>
      </c>
      <c r="C48" s="303" t="str">
        <f>Transport!A7</f>
        <v>Tra-3</v>
      </c>
      <c r="D48" s="304">
        <f>Transport!F7+Transport!F8</f>
        <v>3</v>
      </c>
      <c r="E48" s="305">
        <f>Transport!G7+Transport!G8</f>
        <v>0</v>
      </c>
      <c r="F48" s="408"/>
      <c r="G48" s="943">
        <f>Transport!H7+Transport!H8</f>
        <v>0</v>
      </c>
      <c r="H48" s="963" t="str">
        <f>IF(OR(Transport!J7="ERROR",Transport!J8="ERROR"),"ERROR","")</f>
        <v/>
      </c>
      <c r="I48" s="958"/>
      <c r="J48" s="958"/>
      <c r="K48" s="958"/>
      <c r="L48" s="958"/>
      <c r="M48" s="958"/>
      <c r="N48" s="958"/>
      <c r="O48" s="958"/>
      <c r="P48" s="958"/>
      <c r="Q48" s="958"/>
    </row>
    <row r="49" spans="1:17" s="404" customFormat="1" ht="15" customHeight="1">
      <c r="A49" s="302"/>
      <c r="B49" s="303" t="str">
        <f>Transport!B9</f>
        <v>Commuting Mass Transport</v>
      </c>
      <c r="C49" s="303" t="str">
        <f>Transport!A9</f>
        <v>Tra-4</v>
      </c>
      <c r="D49" s="304">
        <f>Transport!F9</f>
        <v>5</v>
      </c>
      <c r="E49" s="305">
        <f>Transport!G9</f>
        <v>0</v>
      </c>
      <c r="F49" s="408"/>
      <c r="G49" s="943">
        <f>Transport!H9</f>
        <v>0</v>
      </c>
      <c r="H49" s="963" t="str">
        <f>Transport!J9</f>
        <v/>
      </c>
      <c r="I49" s="958"/>
      <c r="J49" s="958"/>
      <c r="K49" s="958"/>
      <c r="L49" s="958"/>
      <c r="M49" s="958"/>
      <c r="N49" s="958"/>
      <c r="O49" s="958"/>
      <c r="P49" s="958"/>
      <c r="Q49" s="958"/>
    </row>
    <row r="50" spans="1:17" s="404" customFormat="1" ht="15" customHeight="1">
      <c r="A50" s="302"/>
      <c r="B50" s="303" t="str">
        <f>Transport!B10</f>
        <v>Local Connectivity</v>
      </c>
      <c r="C50" s="303" t="str">
        <f>Transport!A10</f>
        <v>Tra-5</v>
      </c>
      <c r="D50" s="304">
        <f>Transport!F10</f>
        <v>2</v>
      </c>
      <c r="E50" s="305">
        <f>Transport!G10</f>
        <v>0</v>
      </c>
      <c r="F50" s="408"/>
      <c r="G50" s="949">
        <f>Transport!H10</f>
        <v>0</v>
      </c>
      <c r="H50" s="963" t="str">
        <f>Transport!J10</f>
        <v/>
      </c>
      <c r="I50" s="958"/>
      <c r="J50" s="958"/>
      <c r="K50" s="958"/>
      <c r="L50" s="958"/>
      <c r="M50" s="958"/>
      <c r="N50" s="958"/>
      <c r="O50" s="958"/>
      <c r="P50" s="958"/>
      <c r="Q50" s="958"/>
    </row>
    <row r="51" spans="1:17" s="404" customFormat="1" ht="15" customHeight="1">
      <c r="A51" s="308"/>
      <c r="B51" s="309"/>
      <c r="C51" s="310" t="s">
        <v>967</v>
      </c>
      <c r="D51" s="311">
        <f>Transport!F11</f>
        <v>14</v>
      </c>
      <c r="E51" s="312">
        <f>Transport!G11</f>
        <v>0</v>
      </c>
      <c r="F51" s="409"/>
      <c r="G51" s="313">
        <f>Transport!H11</f>
        <v>0</v>
      </c>
      <c r="H51" s="962"/>
      <c r="I51" s="950">
        <f>E51/D51</f>
        <v>0</v>
      </c>
      <c r="J51" s="950">
        <v>0.09</v>
      </c>
      <c r="K51" s="359">
        <f>I51*J51*100</f>
        <v>0</v>
      </c>
      <c r="L51" s="958"/>
      <c r="M51" s="958"/>
      <c r="N51" s="958"/>
      <c r="O51" s="958"/>
      <c r="P51" s="958"/>
      <c r="Q51" s="958"/>
    </row>
    <row r="52" spans="1:17" s="404" customFormat="1" ht="5.0999999999999996" customHeight="1">
      <c r="A52" s="408"/>
      <c r="B52" s="408"/>
      <c r="C52" s="408"/>
      <c r="D52" s="407"/>
      <c r="E52" s="407"/>
      <c r="F52" s="409"/>
      <c r="G52" s="407"/>
      <c r="H52" s="962"/>
      <c r="I52" s="407"/>
      <c r="J52" s="407"/>
      <c r="K52" s="407"/>
      <c r="L52" s="958"/>
      <c r="M52" s="958"/>
      <c r="N52" s="958"/>
      <c r="O52" s="958"/>
      <c r="P52" s="958"/>
      <c r="Q52" s="958"/>
    </row>
    <row r="53" spans="1:17" s="404" customFormat="1" ht="15.75">
      <c r="A53" s="430" t="s">
        <v>92</v>
      </c>
      <c r="B53" s="431"/>
      <c r="C53" s="431"/>
      <c r="D53" s="432"/>
      <c r="E53" s="433"/>
      <c r="F53" s="409"/>
      <c r="G53" s="429"/>
      <c r="H53" s="962"/>
      <c r="I53" s="958"/>
      <c r="J53" s="958"/>
      <c r="K53" s="958"/>
      <c r="L53" s="958"/>
      <c r="M53" s="958"/>
      <c r="N53" s="958"/>
      <c r="O53" s="958"/>
      <c r="P53" s="958"/>
      <c r="Q53" s="958"/>
    </row>
    <row r="54" spans="1:17" s="404" customFormat="1" ht="15" customHeight="1">
      <c r="A54" s="302"/>
      <c r="B54" s="303" t="str">
        <f>Water!B5</f>
        <v>Occupant Amenity Water</v>
      </c>
      <c r="C54" s="303" t="str">
        <f>Water!A5</f>
        <v>Wat-1</v>
      </c>
      <c r="D54" s="304">
        <f>Water!F5</f>
        <v>5</v>
      </c>
      <c r="E54" s="305">
        <f>Water!G5</f>
        <v>0</v>
      </c>
      <c r="F54" s="408"/>
      <c r="G54" s="943">
        <f>Water!H5</f>
        <v>0</v>
      </c>
      <c r="H54" s="963" t="str">
        <f>Water!J5</f>
        <v/>
      </c>
      <c r="I54" s="958"/>
      <c r="J54" s="958"/>
      <c r="K54" s="958"/>
      <c r="L54" s="958"/>
      <c r="M54" s="958"/>
      <c r="N54" s="958"/>
      <c r="O54" s="958"/>
      <c r="P54" s="958"/>
      <c r="Q54" s="958"/>
    </row>
    <row r="55" spans="1:17" s="404" customFormat="1" ht="15" customHeight="1">
      <c r="A55" s="302"/>
      <c r="B55" s="303" t="str">
        <f>Water!B6</f>
        <v>Water Meters</v>
      </c>
      <c r="C55" s="303" t="str">
        <f>Water!A6</f>
        <v>Wat-2</v>
      </c>
      <c r="D55" s="304">
        <f>Water!F6</f>
        <v>2</v>
      </c>
      <c r="E55" s="305">
        <f>Water!G6</f>
        <v>0</v>
      </c>
      <c r="F55" s="408"/>
      <c r="G55" s="943">
        <f>Water!H6</f>
        <v>0</v>
      </c>
      <c r="H55" s="963" t="str">
        <f>Water!J6</f>
        <v/>
      </c>
      <c r="I55" s="958"/>
      <c r="J55" s="958"/>
      <c r="K55" s="958"/>
      <c r="L55" s="958"/>
      <c r="M55" s="958"/>
      <c r="N55" s="958"/>
      <c r="O55" s="958"/>
      <c r="P55" s="958"/>
      <c r="Q55" s="958"/>
    </row>
    <row r="56" spans="1:17" s="404" customFormat="1" ht="15" customHeight="1">
      <c r="A56" s="302"/>
      <c r="B56" s="303" t="str">
        <f>Water!B7</f>
        <v>Landscape Irrigation</v>
      </c>
      <c r="C56" s="303" t="str">
        <f>Water!A7</f>
        <v>Wat-3</v>
      </c>
      <c r="D56" s="304">
        <f>Water!F7+Water!F8</f>
        <v>3</v>
      </c>
      <c r="E56" s="305">
        <f>IF(AND(Water!G7="na",Water!G8="na"),"na",IF(Water!G7="na","na",IF(Water!G8="na",Water!G7,Water!G7+Water!G8)))</f>
        <v>0</v>
      </c>
      <c r="F56" s="408"/>
      <c r="G56" s="943">
        <f>Water!H7+Water!H8</f>
        <v>0</v>
      </c>
      <c r="H56" s="963" t="str">
        <f>IF(OR(Water!J7="ERROR",Water!J8="ERROR"),"ERROR","")</f>
        <v/>
      </c>
      <c r="I56" s="958"/>
      <c r="J56" s="958"/>
      <c r="K56" s="958"/>
      <c r="L56" s="958"/>
      <c r="M56" s="958"/>
      <c r="N56" s="958"/>
      <c r="O56" s="958"/>
      <c r="P56" s="958"/>
      <c r="Q56" s="958"/>
    </row>
    <row r="57" spans="1:17" s="404" customFormat="1" ht="15" customHeight="1">
      <c r="A57" s="302"/>
      <c r="B57" s="303" t="str">
        <f>Water!B9</f>
        <v>Heat Rejection Water</v>
      </c>
      <c r="C57" s="303" t="str">
        <f>Water!A9</f>
        <v>Wat-4</v>
      </c>
      <c r="D57" s="304">
        <f>Water!F9</f>
        <v>4</v>
      </c>
      <c r="E57" s="305">
        <f>Water!G9</f>
        <v>0</v>
      </c>
      <c r="F57" s="408"/>
      <c r="G57" s="943">
        <f>Water!H9</f>
        <v>0</v>
      </c>
      <c r="H57" s="963" t="str">
        <f>Water!J9</f>
        <v/>
      </c>
      <c r="I57" s="958"/>
      <c r="J57" s="958"/>
      <c r="K57" s="958"/>
      <c r="L57" s="958"/>
      <c r="M57" s="958"/>
      <c r="N57" s="958"/>
      <c r="O57" s="958"/>
      <c r="P57" s="958"/>
      <c r="Q57" s="958"/>
    </row>
    <row r="58" spans="1:17" s="404" customFormat="1" ht="15" customHeight="1">
      <c r="A58" s="302"/>
      <c r="B58" s="303" t="str">
        <f>Water!B10</f>
        <v>Fire System Water Consumption</v>
      </c>
      <c r="C58" s="303" t="str">
        <f>Water!A10</f>
        <v>Wat-5</v>
      </c>
      <c r="D58" s="304">
        <f>Water!F10</f>
        <v>1</v>
      </c>
      <c r="E58" s="305">
        <f>Water!G10</f>
        <v>0</v>
      </c>
      <c r="F58" s="408"/>
      <c r="G58" s="949">
        <f>Water!H10</f>
        <v>0</v>
      </c>
      <c r="H58" s="963" t="str">
        <f>Water!J10</f>
        <v/>
      </c>
      <c r="I58" s="958"/>
      <c r="J58" s="958"/>
      <c r="K58" s="958"/>
      <c r="L58" s="958"/>
      <c r="M58" s="958"/>
      <c r="N58" s="958"/>
      <c r="O58" s="958"/>
      <c r="P58" s="958"/>
      <c r="Q58" s="958"/>
    </row>
    <row r="59" spans="1:17" s="404" customFormat="1" ht="15" customHeight="1">
      <c r="A59" s="308"/>
      <c r="B59" s="309"/>
      <c r="C59" s="310" t="s">
        <v>967</v>
      </c>
      <c r="D59" s="311">
        <f>Water!F11</f>
        <v>15</v>
      </c>
      <c r="E59" s="312">
        <f>Water!G11</f>
        <v>0</v>
      </c>
      <c r="F59" s="409"/>
      <c r="G59" s="313">
        <f>Water!H11</f>
        <v>0</v>
      </c>
      <c r="H59" s="962"/>
      <c r="I59" s="950">
        <f>E59/D59</f>
        <v>0</v>
      </c>
      <c r="J59" s="950">
        <v>0.14000000000000001</v>
      </c>
      <c r="K59" s="359">
        <f>I59*J59*100</f>
        <v>0</v>
      </c>
      <c r="L59" s="958"/>
      <c r="M59" s="958"/>
      <c r="N59" s="958"/>
      <c r="O59" s="958"/>
      <c r="P59" s="958"/>
      <c r="Q59" s="958"/>
    </row>
    <row r="60" spans="1:17" s="404" customFormat="1" ht="5.0999999999999996" customHeight="1">
      <c r="A60" s="408"/>
      <c r="B60" s="408"/>
      <c r="C60" s="408"/>
      <c r="D60" s="407"/>
      <c r="E60" s="407"/>
      <c r="F60" s="409"/>
      <c r="G60" s="407"/>
      <c r="H60" s="962"/>
      <c r="I60" s="411"/>
      <c r="J60" s="411"/>
      <c r="K60" s="407"/>
      <c r="L60" s="958"/>
      <c r="M60" s="958"/>
      <c r="N60" s="958"/>
      <c r="O60" s="958"/>
      <c r="P60" s="958"/>
      <c r="Q60" s="958"/>
    </row>
    <row r="61" spans="1:17" s="404" customFormat="1" ht="15.75">
      <c r="A61" s="430" t="s">
        <v>93</v>
      </c>
      <c r="B61" s="431"/>
      <c r="C61" s="431"/>
      <c r="D61" s="432"/>
      <c r="E61" s="433"/>
      <c r="F61" s="409"/>
      <c r="G61" s="942"/>
      <c r="H61" s="962"/>
      <c r="I61" s="958"/>
      <c r="J61" s="958"/>
      <c r="K61" s="958"/>
      <c r="L61" s="958"/>
      <c r="M61" s="958"/>
      <c r="N61" s="958"/>
      <c r="O61" s="958"/>
      <c r="P61" s="958"/>
      <c r="Q61" s="958"/>
    </row>
    <row r="62" spans="1:17" s="404" customFormat="1" ht="15" customHeight="1">
      <c r="A62" s="302"/>
      <c r="B62" s="303" t="str">
        <f>Materials!B5</f>
        <v>Recycling Waste Storage</v>
      </c>
      <c r="C62" s="303" t="str">
        <f>Materials!A5</f>
        <v>Mat-1</v>
      </c>
      <c r="D62" s="304">
        <f>Materials!F5</f>
        <v>2</v>
      </c>
      <c r="E62" s="305">
        <f>Materials!G5</f>
        <v>0</v>
      </c>
      <c r="F62" s="408"/>
      <c r="G62" s="951">
        <f>Materials!H5</f>
        <v>0</v>
      </c>
      <c r="H62" s="963" t="str">
        <f>Materials!J5</f>
        <v/>
      </c>
      <c r="I62" s="958"/>
      <c r="J62" s="958"/>
      <c r="K62" s="958"/>
      <c r="L62" s="958"/>
      <c r="M62" s="958"/>
      <c r="N62" s="958"/>
      <c r="O62" s="958"/>
      <c r="P62" s="958"/>
      <c r="Q62" s="958"/>
    </row>
    <row r="63" spans="1:17" s="404" customFormat="1" ht="15" customHeight="1">
      <c r="A63" s="302"/>
      <c r="B63" s="303" t="str">
        <f>Materials!B6</f>
        <v xml:space="preserve">Building Reuse </v>
      </c>
      <c r="C63" s="303" t="str">
        <f>Materials!A6</f>
        <v>Mat-2</v>
      </c>
      <c r="D63" s="304">
        <f>Materials!F6</f>
        <v>5</v>
      </c>
      <c r="E63" s="305">
        <f>Materials!G6</f>
        <v>0</v>
      </c>
      <c r="F63" s="408"/>
      <c r="G63" s="943">
        <f>Materials!H6</f>
        <v>0</v>
      </c>
      <c r="H63" s="963" t="str">
        <f>Materials!J6</f>
        <v/>
      </c>
      <c r="I63" s="958"/>
      <c r="J63" s="958"/>
      <c r="K63" s="958"/>
      <c r="L63" s="958"/>
      <c r="M63" s="958"/>
      <c r="N63" s="958"/>
      <c r="O63" s="958"/>
      <c r="P63" s="958"/>
      <c r="Q63" s="958"/>
    </row>
    <row r="64" spans="1:17" s="404" customFormat="1" ht="15" customHeight="1">
      <c r="A64" s="302"/>
      <c r="B64" s="303" t="str">
        <f>Materials!B7</f>
        <v>Reused Materials</v>
      </c>
      <c r="C64" s="303" t="str">
        <f>Materials!A7</f>
        <v>Mat-3</v>
      </c>
      <c r="D64" s="304">
        <f>Materials!F7</f>
        <v>1</v>
      </c>
      <c r="E64" s="305">
        <f>Materials!G7</f>
        <v>0</v>
      </c>
      <c r="F64" s="408"/>
      <c r="G64" s="943">
        <f>Materials!H7</f>
        <v>0</v>
      </c>
      <c r="H64" s="963" t="str">
        <f>Materials!J7</f>
        <v/>
      </c>
      <c r="I64" s="958"/>
      <c r="J64" s="958"/>
      <c r="K64" s="958"/>
      <c r="L64" s="958"/>
      <c r="M64" s="958"/>
      <c r="N64" s="958"/>
      <c r="O64" s="958"/>
      <c r="P64" s="958"/>
      <c r="Q64" s="958"/>
    </row>
    <row r="65" spans="1:17" s="404" customFormat="1" ht="15" customHeight="1">
      <c r="A65" s="302"/>
      <c r="B65" s="303" t="str">
        <f>Materials!B8</f>
        <v>Shell and Core or Integrated Fit-out</v>
      </c>
      <c r="C65" s="303" t="str">
        <f>Materials!A8</f>
        <v>Mat-4</v>
      </c>
      <c r="D65" s="304">
        <f>Materials!F8</f>
        <v>1</v>
      </c>
      <c r="E65" s="305">
        <f>Materials!G8</f>
        <v>0</v>
      </c>
      <c r="F65" s="408"/>
      <c r="G65" s="943">
        <f>Materials!H8</f>
        <v>0</v>
      </c>
      <c r="H65" s="963" t="str">
        <f>Materials!J8</f>
        <v/>
      </c>
      <c r="I65" s="958"/>
      <c r="J65" s="958"/>
      <c r="K65" s="958"/>
      <c r="L65" s="958"/>
      <c r="M65" s="958"/>
      <c r="N65" s="958"/>
      <c r="O65" s="958"/>
      <c r="P65" s="958"/>
      <c r="Q65" s="958"/>
    </row>
    <row r="66" spans="1:17" s="404" customFormat="1" ht="15" customHeight="1">
      <c r="A66" s="302"/>
      <c r="B66" s="303" t="str">
        <f>Materials!B9</f>
        <v>Concrete</v>
      </c>
      <c r="C66" s="303" t="str">
        <f>Materials!A9</f>
        <v>Mat-5</v>
      </c>
      <c r="D66" s="304">
        <f>Materials!F9+Materials!F10</f>
        <v>3</v>
      </c>
      <c r="E66" s="305">
        <f>IF(OR(Materials!G9="na",Materials!G10="na"),"na",Materials!G9+Materials!G10)</f>
        <v>0</v>
      </c>
      <c r="F66" s="408"/>
      <c r="G66" s="943">
        <f>Materials!H9+Materials!H10</f>
        <v>0</v>
      </c>
      <c r="H66" s="963" t="str">
        <f>IF(OR(Materials!J9="ERROR",Materials!J10="ERROR"),"ERROR","")</f>
        <v/>
      </c>
      <c r="I66" s="958"/>
      <c r="J66" s="958"/>
      <c r="K66" s="958"/>
      <c r="L66" s="958"/>
      <c r="M66" s="958"/>
      <c r="N66" s="958"/>
      <c r="O66" s="958"/>
      <c r="P66" s="958"/>
      <c r="Q66" s="958"/>
    </row>
    <row r="67" spans="1:17" s="404" customFormat="1" ht="15" customHeight="1">
      <c r="A67" s="302"/>
      <c r="B67" s="303" t="str">
        <f>Materials!B11</f>
        <v>Steel</v>
      </c>
      <c r="C67" s="303" t="str">
        <f>Materials!A11</f>
        <v>Mat-6</v>
      </c>
      <c r="D67" s="304">
        <f>Materials!F11</f>
        <v>3</v>
      </c>
      <c r="E67" s="305">
        <f>Materials!G11</f>
        <v>0</v>
      </c>
      <c r="F67" s="408"/>
      <c r="G67" s="943">
        <f>Materials!H11</f>
        <v>0</v>
      </c>
      <c r="H67" s="963" t="str">
        <f>Materials!J11</f>
        <v/>
      </c>
      <c r="I67" s="958"/>
      <c r="J67" s="958"/>
      <c r="K67" s="958"/>
      <c r="L67" s="958"/>
      <c r="M67" s="958"/>
      <c r="N67" s="958"/>
      <c r="O67" s="958"/>
      <c r="P67" s="958"/>
      <c r="Q67" s="958"/>
    </row>
    <row r="68" spans="1:17" s="404" customFormat="1" ht="15" customHeight="1">
      <c r="A68" s="302"/>
      <c r="B68" s="303" t="str">
        <f>Materials!B13</f>
        <v>PVC Minimisation</v>
      </c>
      <c r="C68" s="303" t="str">
        <f>Materials!A13</f>
        <v>Mat-7</v>
      </c>
      <c r="D68" s="304">
        <f>Materials!F13</f>
        <v>1</v>
      </c>
      <c r="E68" s="305">
        <f>Materials!G13</f>
        <v>0</v>
      </c>
      <c r="F68" s="408"/>
      <c r="G68" s="943">
        <f>Materials!H13</f>
        <v>0</v>
      </c>
      <c r="H68" s="963" t="str">
        <f>Materials!J13</f>
        <v/>
      </c>
      <c r="I68" s="958"/>
      <c r="J68" s="958"/>
      <c r="K68" s="958"/>
      <c r="L68" s="958"/>
      <c r="M68" s="958"/>
      <c r="N68" s="958"/>
      <c r="O68" s="958"/>
      <c r="P68" s="958"/>
      <c r="Q68" s="958"/>
    </row>
    <row r="69" spans="1:17" s="404" customFormat="1" ht="15" customHeight="1">
      <c r="A69" s="302"/>
      <c r="B69" s="303" t="str">
        <f>Materials!B14</f>
        <v>Sustainable Timber</v>
      </c>
      <c r="C69" s="303" t="str">
        <f>Materials!A14</f>
        <v>Mat-8</v>
      </c>
      <c r="D69" s="304">
        <f>Materials!F14</f>
        <v>2</v>
      </c>
      <c r="E69" s="305">
        <f>Materials!G14</f>
        <v>0</v>
      </c>
      <c r="F69" s="408"/>
      <c r="G69" s="943">
        <f>Materials!H14</f>
        <v>0</v>
      </c>
      <c r="H69" s="963" t="str">
        <f>Materials!J14</f>
        <v/>
      </c>
      <c r="I69" s="958"/>
      <c r="J69" s="958"/>
      <c r="K69" s="958"/>
      <c r="L69" s="958"/>
      <c r="M69" s="958"/>
      <c r="N69" s="958"/>
      <c r="O69" s="958"/>
      <c r="P69" s="958"/>
      <c r="Q69" s="958"/>
    </row>
    <row r="70" spans="1:17" s="404" customFormat="1" ht="15" customHeight="1">
      <c r="A70" s="302"/>
      <c r="B70" s="303" t="str">
        <f>Materials!B15</f>
        <v>Design for Disassembly</v>
      </c>
      <c r="C70" s="303" t="str">
        <f>Materials!A15</f>
        <v>Mat-9</v>
      </c>
      <c r="D70" s="304">
        <f>Materials!F15</f>
        <v>1</v>
      </c>
      <c r="E70" s="305">
        <f>Materials!G15</f>
        <v>0</v>
      </c>
      <c r="F70" s="408"/>
      <c r="G70" s="943">
        <f>Materials!H15</f>
        <v>0</v>
      </c>
      <c r="H70" s="963" t="str">
        <f>Materials!J15</f>
        <v/>
      </c>
      <c r="I70" s="958"/>
      <c r="J70" s="958"/>
      <c r="K70" s="958"/>
      <c r="L70" s="958"/>
      <c r="M70" s="958"/>
      <c r="N70" s="958"/>
      <c r="O70" s="958"/>
      <c r="P70" s="958"/>
      <c r="Q70" s="958"/>
    </row>
    <row r="71" spans="1:17" s="404" customFormat="1" ht="15" customHeight="1">
      <c r="A71" s="302"/>
      <c r="B71" s="303" t="str">
        <f>Materials!B16</f>
        <v>Dematerialisation</v>
      </c>
      <c r="C71" s="303" t="str">
        <f>Materials!A16</f>
        <v>Mat-10</v>
      </c>
      <c r="D71" s="304">
        <f>Materials!F16</f>
        <v>1</v>
      </c>
      <c r="E71" s="305">
        <f>Materials!G16</f>
        <v>0</v>
      </c>
      <c r="F71" s="408"/>
      <c r="G71" s="943">
        <f>Materials!H16</f>
        <v>0</v>
      </c>
      <c r="H71" s="963" t="str">
        <f>Materials!J16</f>
        <v/>
      </c>
      <c r="I71" s="958"/>
      <c r="J71" s="958"/>
      <c r="K71" s="958"/>
      <c r="L71" s="958"/>
      <c r="M71" s="958"/>
      <c r="N71" s="958"/>
      <c r="O71" s="958"/>
      <c r="P71" s="958"/>
      <c r="Q71" s="958"/>
    </row>
    <row r="72" spans="1:17" s="404" customFormat="1" ht="15" customHeight="1">
      <c r="A72" s="302"/>
      <c r="B72" s="303" t="str">
        <f>Materials!B23</f>
        <v>Local Sourcing</v>
      </c>
      <c r="C72" s="303" t="str">
        <f>Materials!A23</f>
        <v>Mat-11</v>
      </c>
      <c r="D72" s="304">
        <f>Materials!F23</f>
        <v>2</v>
      </c>
      <c r="E72" s="305">
        <f>Materials!G23</f>
        <v>0</v>
      </c>
      <c r="F72" s="408"/>
      <c r="G72" s="949">
        <f>Materials!H23</f>
        <v>0</v>
      </c>
      <c r="H72" s="963" t="str">
        <f>Materials!J23</f>
        <v/>
      </c>
      <c r="I72" s="958"/>
      <c r="J72" s="958"/>
      <c r="K72" s="958"/>
      <c r="L72" s="958"/>
      <c r="M72" s="958"/>
      <c r="N72" s="958"/>
      <c r="O72" s="958"/>
      <c r="P72" s="958"/>
      <c r="Q72" s="958"/>
    </row>
    <row r="73" spans="1:17" s="404" customFormat="1" ht="15" customHeight="1">
      <c r="A73" s="308"/>
      <c r="B73" s="309"/>
      <c r="C73" s="310" t="s">
        <v>967</v>
      </c>
      <c r="D73" s="311">
        <f>Materials!F24</f>
        <v>22</v>
      </c>
      <c r="E73" s="312">
        <f>Materials!G24</f>
        <v>0</v>
      </c>
      <c r="F73" s="409"/>
      <c r="G73" s="313">
        <f>Materials!H24</f>
        <v>0</v>
      </c>
      <c r="H73" s="962"/>
      <c r="I73" s="950">
        <f>E73/D73</f>
        <v>0</v>
      </c>
      <c r="J73" s="950">
        <v>0.13</v>
      </c>
      <c r="K73" s="359">
        <f>I73*J73*100</f>
        <v>0</v>
      </c>
      <c r="L73" s="958"/>
      <c r="M73" s="958"/>
      <c r="N73" s="958"/>
      <c r="O73" s="958"/>
      <c r="P73" s="958"/>
      <c r="Q73" s="958"/>
    </row>
    <row r="74" spans="1:17" s="404" customFormat="1" ht="5.0999999999999996" customHeight="1">
      <c r="A74" s="408"/>
      <c r="B74" s="408"/>
      <c r="C74" s="408"/>
      <c r="D74" s="407"/>
      <c r="E74" s="407"/>
      <c r="F74" s="409"/>
      <c r="G74" s="407"/>
      <c r="H74" s="962"/>
      <c r="I74" s="407"/>
      <c r="J74" s="407"/>
      <c r="K74" s="407"/>
      <c r="L74" s="958"/>
      <c r="M74" s="958"/>
      <c r="N74" s="958"/>
      <c r="O74" s="958"/>
      <c r="P74" s="958"/>
      <c r="Q74" s="958"/>
    </row>
    <row r="75" spans="1:17" s="404" customFormat="1" ht="15.75">
      <c r="A75" s="430" t="s">
        <v>390</v>
      </c>
      <c r="B75" s="431"/>
      <c r="C75" s="431"/>
      <c r="D75" s="432"/>
      <c r="E75" s="433"/>
      <c r="F75" s="409"/>
      <c r="G75" s="429"/>
      <c r="H75" s="962"/>
      <c r="I75" s="958"/>
      <c r="J75" s="958"/>
      <c r="K75" s="958"/>
      <c r="L75" s="958"/>
      <c r="M75" s="958"/>
      <c r="N75" s="958"/>
      <c r="O75" s="958"/>
      <c r="P75" s="958"/>
      <c r="Q75" s="958"/>
    </row>
    <row r="76" spans="1:17" s="404" customFormat="1" ht="15" customHeight="1">
      <c r="A76" s="302"/>
      <c r="B76" s="303" t="str">
        <f>'Land Use &amp; Ecology'!B5</f>
        <v>Conditional Requirement</v>
      </c>
      <c r="C76" s="303" t="str">
        <f>'Land Use &amp; Ecology'!A5</f>
        <v xml:space="preserve">Eco- </v>
      </c>
      <c r="D76" s="304" t="str">
        <f>"0"</f>
        <v>0</v>
      </c>
      <c r="E76" s="1961" t="str">
        <f>IF('Land Use &amp; Ecology'!Q19="Yes","Achieved","Not Achieved")</f>
        <v>Not Achieved</v>
      </c>
      <c r="F76" s="408"/>
      <c r="G76" s="943" t="str">
        <f>"0"</f>
        <v>0</v>
      </c>
      <c r="H76" s="963">
        <f>'Land Use &amp; Ecology'!J5</f>
        <v>0</v>
      </c>
      <c r="I76" s="958"/>
      <c r="J76" s="958"/>
      <c r="K76" s="958"/>
      <c r="L76" s="958"/>
      <c r="M76" s="958"/>
      <c r="N76" s="958"/>
      <c r="O76" s="958"/>
      <c r="P76" s="958"/>
      <c r="Q76" s="958"/>
    </row>
    <row r="77" spans="1:17" s="404" customFormat="1" ht="15" customHeight="1">
      <c r="A77" s="302"/>
      <c r="B77" s="303" t="str">
        <f>'Land Use &amp; Ecology'!B8</f>
        <v>Topsoil</v>
      </c>
      <c r="C77" s="303" t="str">
        <f>'Land Use &amp; Ecology'!A8</f>
        <v>Eco-1</v>
      </c>
      <c r="D77" s="304">
        <f>'Land Use &amp; Ecology'!F8</f>
        <v>1</v>
      </c>
      <c r="E77" s="305">
        <f>'Land Use &amp; Ecology'!G8</f>
        <v>0</v>
      </c>
      <c r="F77" s="408"/>
      <c r="G77" s="943">
        <f>'Land Use &amp; Ecology'!H8</f>
        <v>0</v>
      </c>
      <c r="H77" s="963" t="str">
        <f>'Land Use &amp; Ecology'!J8</f>
        <v/>
      </c>
      <c r="I77" s="958"/>
      <c r="J77" s="958"/>
      <c r="K77" s="958"/>
      <c r="L77" s="958"/>
      <c r="M77" s="958"/>
      <c r="N77" s="958"/>
      <c r="O77" s="958"/>
      <c r="P77" s="958"/>
      <c r="Q77" s="958"/>
    </row>
    <row r="78" spans="1:17" s="404" customFormat="1" ht="15" customHeight="1">
      <c r="A78" s="302"/>
      <c r="B78" s="303" t="str">
        <f>'Land Use &amp; Ecology'!B9</f>
        <v>Reuse of Land</v>
      </c>
      <c r="C78" s="303" t="str">
        <f>'Land Use &amp; Ecology'!A9</f>
        <v>Eco-2</v>
      </c>
      <c r="D78" s="304">
        <f>'Land Use &amp; Ecology'!F9</f>
        <v>2</v>
      </c>
      <c r="E78" s="305">
        <f>'Land Use &amp; Ecology'!G9</f>
        <v>0</v>
      </c>
      <c r="F78" s="408"/>
      <c r="G78" s="943">
        <f>'Land Use &amp; Ecology'!H9</f>
        <v>0</v>
      </c>
      <c r="H78" s="963" t="str">
        <f>'Land Use &amp; Ecology'!J9</f>
        <v/>
      </c>
      <c r="I78" s="958"/>
      <c r="J78" s="958"/>
      <c r="K78" s="958"/>
      <c r="L78" s="958"/>
      <c r="M78" s="958"/>
      <c r="N78" s="958"/>
      <c r="O78" s="958"/>
      <c r="P78" s="958"/>
      <c r="Q78" s="958"/>
    </row>
    <row r="79" spans="1:17" s="404" customFormat="1" ht="15" customHeight="1">
      <c r="A79" s="302"/>
      <c r="B79" s="303" t="str">
        <f>'Land Use &amp; Ecology'!B10</f>
        <v>Reclaimed Contaminated Land</v>
      </c>
      <c r="C79" s="303" t="str">
        <f>'Land Use &amp; Ecology'!A10</f>
        <v>Eco-3</v>
      </c>
      <c r="D79" s="304">
        <f>'Land Use &amp; Ecology'!F10</f>
        <v>2</v>
      </c>
      <c r="E79" s="305">
        <f>'Land Use &amp; Ecology'!G10</f>
        <v>0</v>
      </c>
      <c r="F79" s="408"/>
      <c r="G79" s="943">
        <f>'Land Use &amp; Ecology'!H10</f>
        <v>0</v>
      </c>
      <c r="H79" s="963" t="str">
        <f>'Land Use &amp; Ecology'!J10</f>
        <v/>
      </c>
      <c r="I79" s="958"/>
      <c r="J79" s="958"/>
      <c r="K79" s="958"/>
      <c r="L79" s="958"/>
      <c r="M79" s="958"/>
      <c r="N79" s="958"/>
      <c r="O79" s="958"/>
      <c r="P79" s="958"/>
      <c r="Q79" s="958"/>
    </row>
    <row r="80" spans="1:17" s="404" customFormat="1" ht="15" customHeight="1">
      <c r="A80" s="302"/>
      <c r="B80" s="303" t="str">
        <f>'Land Use &amp; Ecology'!B11</f>
        <v>Change of Ecological Value</v>
      </c>
      <c r="C80" s="303" t="str">
        <f>'Land Use &amp; Ecology'!A11</f>
        <v>Eco-4</v>
      </c>
      <c r="D80" s="304">
        <f>'Land Use &amp; Ecology'!F11</f>
        <v>4</v>
      </c>
      <c r="E80" s="305">
        <f>'Land Use &amp; Ecology'!G11</f>
        <v>0</v>
      </c>
      <c r="F80" s="408"/>
      <c r="G80" s="949">
        <f>'Land Use &amp; Ecology'!H11</f>
        <v>0</v>
      </c>
      <c r="H80" s="963" t="str">
        <f>'Land Use &amp; Ecology'!J11</f>
        <v/>
      </c>
      <c r="I80" s="958"/>
      <c r="J80" s="958"/>
      <c r="K80" s="958"/>
      <c r="L80" s="958"/>
      <c r="M80" s="958"/>
      <c r="N80" s="958"/>
      <c r="O80" s="958"/>
      <c r="P80" s="958"/>
      <c r="Q80" s="958"/>
    </row>
    <row r="81" spans="1:17" s="404" customFormat="1" ht="15" customHeight="1">
      <c r="A81" s="308"/>
      <c r="B81" s="309"/>
      <c r="C81" s="310" t="s">
        <v>967</v>
      </c>
      <c r="D81" s="311">
        <f>'Land Use &amp; Ecology'!F12</f>
        <v>9</v>
      </c>
      <c r="E81" s="312">
        <f>'Land Use &amp; Ecology'!G12</f>
        <v>0</v>
      </c>
      <c r="F81" s="409"/>
      <c r="G81" s="313">
        <f>'Land Use &amp; Ecology'!H12</f>
        <v>0</v>
      </c>
      <c r="H81" s="962"/>
      <c r="I81" s="950">
        <f>E81/D81</f>
        <v>0</v>
      </c>
      <c r="J81" s="950">
        <v>7.0000000000000007E-2</v>
      </c>
      <c r="K81" s="359">
        <f>I81*J81*100</f>
        <v>0</v>
      </c>
      <c r="L81" s="958"/>
      <c r="M81" s="958"/>
      <c r="N81" s="958"/>
      <c r="O81" s="958"/>
      <c r="P81" s="958"/>
      <c r="Q81" s="958"/>
    </row>
    <row r="82" spans="1:17" s="404" customFormat="1" ht="5.0999999999999996" customHeight="1">
      <c r="A82" s="408"/>
      <c r="B82" s="408"/>
      <c r="C82" s="408"/>
      <c r="D82" s="407"/>
      <c r="E82" s="407"/>
      <c r="F82" s="409"/>
      <c r="G82" s="407"/>
      <c r="H82" s="962"/>
      <c r="I82" s="407"/>
      <c r="J82" s="407"/>
      <c r="K82" s="407"/>
      <c r="L82" s="958"/>
      <c r="M82" s="958"/>
      <c r="N82" s="958"/>
      <c r="O82" s="958"/>
      <c r="P82" s="958"/>
      <c r="Q82" s="958"/>
    </row>
    <row r="83" spans="1:17" s="404" customFormat="1" ht="16.5" customHeight="1">
      <c r="A83" s="430" t="s">
        <v>391</v>
      </c>
      <c r="B83" s="431"/>
      <c r="C83" s="431"/>
      <c r="D83" s="432"/>
      <c r="E83" s="433"/>
      <c r="F83" s="409"/>
      <c r="G83" s="429"/>
      <c r="H83" s="962"/>
      <c r="I83" s="958"/>
      <c r="J83" s="958"/>
      <c r="K83" s="958"/>
      <c r="L83" s="958"/>
      <c r="M83" s="958"/>
      <c r="N83" s="958"/>
      <c r="O83" s="958"/>
      <c r="P83" s="958"/>
      <c r="Q83" s="958"/>
    </row>
    <row r="84" spans="1:17" s="404" customFormat="1" ht="15" customHeight="1">
      <c r="A84" s="302"/>
      <c r="B84" s="303" t="str">
        <f>Emissions!B5</f>
        <v>Refrigerant / Gaseous ODP</v>
      </c>
      <c r="C84" s="303" t="str">
        <f>Emissions!A5</f>
        <v>Emi-1</v>
      </c>
      <c r="D84" s="304">
        <f>Emissions!F5</f>
        <v>1</v>
      </c>
      <c r="E84" s="305">
        <f>Emissions!G5</f>
        <v>0</v>
      </c>
      <c r="F84" s="408"/>
      <c r="G84" s="943">
        <f>Emissions!H5</f>
        <v>0</v>
      </c>
      <c r="H84" s="963" t="str">
        <f>Emissions!J5</f>
        <v/>
      </c>
      <c r="I84" s="958"/>
      <c r="J84" s="958"/>
      <c r="K84" s="958"/>
      <c r="L84" s="958"/>
      <c r="M84" s="958"/>
      <c r="N84" s="958"/>
      <c r="O84" s="958"/>
      <c r="P84" s="958"/>
      <c r="Q84" s="958"/>
    </row>
    <row r="85" spans="1:17" s="404" customFormat="1" ht="15" customHeight="1">
      <c r="A85" s="302"/>
      <c r="B85" s="303" t="str">
        <f>Emissions!B6</f>
        <v>Refrigerant GWP</v>
      </c>
      <c r="C85" s="303" t="str">
        <f>Emissions!A6</f>
        <v>Emi-2</v>
      </c>
      <c r="D85" s="304">
        <f>Emissions!F6</f>
        <v>2</v>
      </c>
      <c r="E85" s="305">
        <f>Emissions!G6</f>
        <v>0</v>
      </c>
      <c r="F85" s="408"/>
      <c r="G85" s="943">
        <f>Emissions!H6</f>
        <v>0</v>
      </c>
      <c r="H85" s="963" t="str">
        <f>Emissions!J6</f>
        <v/>
      </c>
      <c r="I85" s="958"/>
      <c r="J85" s="958"/>
      <c r="K85" s="958"/>
      <c r="L85" s="958"/>
      <c r="M85" s="958"/>
      <c r="N85" s="958"/>
      <c r="O85" s="958"/>
      <c r="P85" s="958"/>
      <c r="Q85" s="958"/>
    </row>
    <row r="86" spans="1:17" s="404" customFormat="1" ht="15" customHeight="1">
      <c r="A86" s="302"/>
      <c r="B86" s="303" t="str">
        <f>Emissions!B7</f>
        <v>Refrigerant Leaks</v>
      </c>
      <c r="C86" s="303" t="str">
        <f>Emissions!A7</f>
        <v>Emi-3</v>
      </c>
      <c r="D86" s="304">
        <f>Emissions!F7+Emissions!F8</f>
        <v>2</v>
      </c>
      <c r="E86" s="305">
        <f>IF(OR(Emissions!G7="na",Emissions!G8="na"),"na",Emissions!G7+Emissions!G8)</f>
        <v>0</v>
      </c>
      <c r="F86" s="408"/>
      <c r="G86" s="943">
        <f>Emissions!H7+Emissions!H8</f>
        <v>0</v>
      </c>
      <c r="H86" s="963" t="str">
        <f>IF(OR(Emissions!J7="ERROR",Emissions!J8="ERROR"),"ERROR","")</f>
        <v/>
      </c>
      <c r="I86" s="958"/>
      <c r="J86" s="958"/>
      <c r="K86" s="958"/>
      <c r="L86" s="958"/>
      <c r="M86" s="958"/>
      <c r="N86" s="958"/>
      <c r="O86" s="958"/>
      <c r="P86" s="958"/>
      <c r="Q86" s="958"/>
    </row>
    <row r="87" spans="1:17" s="404" customFormat="1" ht="15" customHeight="1">
      <c r="A87" s="302"/>
      <c r="B87" s="303" t="str">
        <f>Emissions!B9</f>
        <v>Insulant ODP</v>
      </c>
      <c r="C87" s="303" t="str">
        <f>Emissions!A9</f>
        <v>Emi-4</v>
      </c>
      <c r="D87" s="304">
        <f>Emissions!F9</f>
        <v>1</v>
      </c>
      <c r="E87" s="305">
        <f>Emissions!G9</f>
        <v>0</v>
      </c>
      <c r="F87" s="408"/>
      <c r="G87" s="943">
        <f>Emissions!H9</f>
        <v>0</v>
      </c>
      <c r="H87" s="963" t="str">
        <f>Emissions!J9</f>
        <v/>
      </c>
      <c r="I87" s="958"/>
      <c r="J87" s="958"/>
      <c r="K87" s="958"/>
      <c r="L87" s="958"/>
      <c r="M87" s="958"/>
      <c r="N87" s="958"/>
      <c r="O87" s="958"/>
      <c r="P87" s="958"/>
      <c r="Q87" s="958"/>
    </row>
    <row r="88" spans="1:17" s="404" customFormat="1" ht="15" customHeight="1">
      <c r="A88" s="302"/>
      <c r="B88" s="303" t="str">
        <f>Emissions!B10</f>
        <v>Watercourse Pollution</v>
      </c>
      <c r="C88" s="303" t="str">
        <f>Emissions!A10</f>
        <v>Emi-5</v>
      </c>
      <c r="D88" s="304">
        <f>Emissions!F10+Emissions!F11+Emissions!F12</f>
        <v>3</v>
      </c>
      <c r="E88" s="305">
        <f>IF(Emissions!G12="na",Emissions!G10+Emissions!G11,Emissions!G10+Emissions!G11+Emissions!G12)</f>
        <v>0</v>
      </c>
      <c r="F88" s="408"/>
      <c r="G88" s="943">
        <f>Emissions!H10+Emissions!H11+Emissions!H12</f>
        <v>0</v>
      </c>
      <c r="H88" s="963" t="str">
        <f>IF(OR(Emissions!J10="ERROR",Emissions!J12="ERROR"),"ERROR","")</f>
        <v/>
      </c>
      <c r="I88" s="958"/>
      <c r="J88" s="958"/>
      <c r="K88" s="958"/>
      <c r="L88" s="958"/>
      <c r="M88" s="958"/>
      <c r="N88" s="958"/>
      <c r="O88" s="958"/>
      <c r="P88" s="958"/>
      <c r="Q88" s="958"/>
    </row>
    <row r="89" spans="1:17" s="404" customFormat="1" ht="15" customHeight="1">
      <c r="A89" s="302"/>
      <c r="B89" s="303" t="str">
        <f>Emissions!B13</f>
        <v>Discharge to Sewer</v>
      </c>
      <c r="C89" s="303" t="str">
        <f>Emissions!A13</f>
        <v>Emi-6</v>
      </c>
      <c r="D89" s="304">
        <f>Emissions!F13+Emissions!F14</f>
        <v>5</v>
      </c>
      <c r="E89" s="305">
        <f>IF(Emissions!G14="na",Emissions!G13,Emissions!G13+Emissions!G14)</f>
        <v>0</v>
      </c>
      <c r="F89" s="408"/>
      <c r="G89" s="943">
        <f>Emissions!H13+Emissions!H14</f>
        <v>0</v>
      </c>
      <c r="H89" s="963" t="str">
        <f>IF(OR(Emissions!J13="ERROR",Emissions!J14="ERROR"),"ERROR","")</f>
        <v/>
      </c>
      <c r="I89" s="958"/>
      <c r="J89" s="958"/>
      <c r="K89" s="958"/>
      <c r="L89" s="958"/>
      <c r="M89" s="958"/>
      <c r="N89" s="958"/>
      <c r="O89" s="958"/>
      <c r="P89" s="958"/>
      <c r="Q89" s="958"/>
    </row>
    <row r="90" spans="1:17" s="404" customFormat="1" ht="15" customHeight="1">
      <c r="A90" s="302"/>
      <c r="B90" s="303" t="str">
        <f>Emissions!B15</f>
        <v>Light Pollution</v>
      </c>
      <c r="C90" s="303" t="str">
        <f>Emissions!A15</f>
        <v>Emi-7</v>
      </c>
      <c r="D90" s="304">
        <f>Emissions!F15</f>
        <v>1</v>
      </c>
      <c r="E90" s="305">
        <f>Emissions!G15</f>
        <v>0</v>
      </c>
      <c r="F90" s="408"/>
      <c r="G90" s="943">
        <f>Emissions!H15</f>
        <v>0</v>
      </c>
      <c r="H90" s="963" t="str">
        <f>Emissions!J15</f>
        <v/>
      </c>
      <c r="I90" s="958"/>
      <c r="J90" s="958"/>
      <c r="K90" s="958"/>
      <c r="L90" s="958"/>
      <c r="M90" s="958"/>
      <c r="N90" s="958"/>
      <c r="O90" s="958"/>
      <c r="P90" s="958"/>
      <c r="Q90" s="958"/>
    </row>
    <row r="91" spans="1:17" s="404" customFormat="1" ht="15" customHeight="1">
      <c r="A91" s="302"/>
      <c r="B91" s="303" t="str">
        <f>Emissions!B16</f>
        <v>Legionella</v>
      </c>
      <c r="C91" s="303" t="str">
        <f>Emissions!A16</f>
        <v>Emi-8</v>
      </c>
      <c r="D91" s="304">
        <f>Emissions!F16</f>
        <v>1</v>
      </c>
      <c r="E91" s="305">
        <f>Emissions!G16</f>
        <v>0</v>
      </c>
      <c r="F91" s="408"/>
      <c r="G91" s="943">
        <f>Emissions!H16</f>
        <v>0</v>
      </c>
      <c r="H91" s="963" t="str">
        <f>Emissions!J16</f>
        <v/>
      </c>
      <c r="I91" s="958"/>
      <c r="J91" s="958"/>
      <c r="K91" s="958"/>
      <c r="L91" s="958"/>
      <c r="M91" s="958"/>
      <c r="N91" s="958"/>
      <c r="O91" s="958"/>
      <c r="P91" s="958"/>
      <c r="Q91" s="958"/>
    </row>
    <row r="92" spans="1:17" s="404" customFormat="1" ht="15" customHeight="1">
      <c r="A92" s="302"/>
      <c r="B92" s="303" t="str">
        <f>Emissions!B17</f>
        <v>Boiler and Generator Emissions</v>
      </c>
      <c r="C92" s="303" t="str">
        <f>Emissions!A17</f>
        <v>Emi-9</v>
      </c>
      <c r="D92" s="304">
        <f>Emissions!F17</f>
        <v>1</v>
      </c>
      <c r="E92" s="305">
        <f>Emissions!G17</f>
        <v>0</v>
      </c>
      <c r="F92" s="408"/>
      <c r="G92" s="943">
        <f>Emissions!H17</f>
        <v>0</v>
      </c>
      <c r="H92" s="963" t="str">
        <f>Emissions!J17</f>
        <v/>
      </c>
      <c r="I92" s="958"/>
      <c r="J92" s="958"/>
      <c r="K92" s="958"/>
      <c r="L92" s="958"/>
      <c r="M92" s="958"/>
      <c r="N92" s="958"/>
      <c r="O92" s="958"/>
      <c r="P92" s="958"/>
      <c r="Q92" s="958"/>
    </row>
    <row r="93" spans="1:17" s="404" customFormat="1" ht="15" customHeight="1">
      <c r="A93" s="308"/>
      <c r="B93" s="309"/>
      <c r="C93" s="310" t="s">
        <v>967</v>
      </c>
      <c r="D93" s="311">
        <f>Emissions!F18</f>
        <v>17</v>
      </c>
      <c r="E93" s="312">
        <f>Emissions!G18</f>
        <v>0</v>
      </c>
      <c r="F93" s="409"/>
      <c r="G93" s="325">
        <f>Emissions!H18</f>
        <v>0</v>
      </c>
      <c r="H93" s="962"/>
      <c r="I93" s="950">
        <f>E93/D93</f>
        <v>0</v>
      </c>
      <c r="J93" s="950">
        <v>0.08</v>
      </c>
      <c r="K93" s="359">
        <f>I93*J93*100</f>
        <v>0</v>
      </c>
      <c r="L93" s="958"/>
      <c r="M93" s="958"/>
      <c r="N93" s="958"/>
      <c r="O93" s="958"/>
      <c r="P93" s="958"/>
      <c r="Q93" s="958"/>
    </row>
    <row r="94" spans="1:17" s="404" customFormat="1" ht="33" customHeight="1">
      <c r="A94" s="408"/>
      <c r="C94" s="412"/>
      <c r="D94" s="407"/>
      <c r="E94" s="407"/>
      <c r="F94" s="409"/>
      <c r="G94" s="413"/>
      <c r="H94" s="962"/>
      <c r="I94" s="413"/>
      <c r="J94" s="414" t="s">
        <v>1102</v>
      </c>
      <c r="K94" s="415">
        <f>K14+K34+K43+K51+K59+K73+K81+K93</f>
        <v>0</v>
      </c>
      <c r="L94" s="958"/>
      <c r="M94" s="958"/>
      <c r="N94" s="958"/>
      <c r="O94" s="958"/>
      <c r="P94" s="958"/>
      <c r="Q94" s="958"/>
    </row>
    <row r="95" spans="1:17" s="404" customFormat="1" ht="15.75">
      <c r="A95" s="430" t="s">
        <v>87</v>
      </c>
      <c r="B95" s="431"/>
      <c r="C95" s="431"/>
      <c r="D95" s="432"/>
      <c r="E95" s="433"/>
      <c r="F95" s="409"/>
      <c r="G95" s="942"/>
      <c r="H95" s="962"/>
      <c r="I95" s="958"/>
      <c r="J95" s="958"/>
      <c r="K95" s="958"/>
      <c r="L95" s="958"/>
      <c r="M95" s="958"/>
      <c r="N95" s="958"/>
      <c r="O95" s="958"/>
      <c r="P95" s="958"/>
      <c r="Q95" s="958"/>
    </row>
    <row r="96" spans="1:17" s="404" customFormat="1" ht="15" customHeight="1">
      <c r="A96" s="302"/>
      <c r="B96" s="303" t="str">
        <f>Innovation!B5</f>
        <v>Innovative Strategies &amp; Technologies</v>
      </c>
      <c r="C96" s="303" t="str">
        <f>Innovation!A5</f>
        <v>Inn-1</v>
      </c>
      <c r="D96" s="304">
        <f>Innovation!E5</f>
        <v>5</v>
      </c>
      <c r="E96" s="305">
        <f>Innovation!F5</f>
        <v>0</v>
      </c>
      <c r="F96" s="409"/>
      <c r="G96" s="951">
        <f>Innovation!G5</f>
        <v>0</v>
      </c>
      <c r="H96" s="962" t="str">
        <f>Innovation!I5</f>
        <v/>
      </c>
      <c r="I96" s="958"/>
      <c r="J96" s="958"/>
      <c r="K96" s="958"/>
      <c r="L96" s="958"/>
      <c r="M96" s="958"/>
      <c r="N96" s="958"/>
      <c r="O96" s="958"/>
      <c r="P96" s="958"/>
      <c r="Q96" s="958"/>
    </row>
    <row r="97" spans="1:17" s="404" customFormat="1" ht="15" customHeight="1">
      <c r="A97" s="302"/>
      <c r="B97" s="303" t="str">
        <f>Innovation!B6</f>
        <v>Exceeding Green Star SA Benchmarks</v>
      </c>
      <c r="C97" s="303" t="str">
        <f>Innovation!A6</f>
        <v>Inn-2</v>
      </c>
      <c r="D97" s="304">
        <v>5</v>
      </c>
      <c r="E97" s="305">
        <f>Innovation!F6</f>
        <v>0</v>
      </c>
      <c r="F97" s="409"/>
      <c r="G97" s="943">
        <f>Innovation!G6</f>
        <v>0</v>
      </c>
      <c r="H97" s="962" t="str">
        <f>Innovation!I6</f>
        <v/>
      </c>
      <c r="I97" s="958"/>
      <c r="J97" s="958"/>
      <c r="K97" s="958"/>
      <c r="L97" s="958"/>
      <c r="M97" s="958"/>
      <c r="N97" s="958"/>
      <c r="O97" s="958"/>
      <c r="P97" s="958"/>
      <c r="Q97" s="958"/>
    </row>
    <row r="98" spans="1:17" s="404" customFormat="1" ht="15" customHeight="1">
      <c r="A98" s="302"/>
      <c r="B98" s="303" t="str">
        <f>Innovation!B7</f>
        <v xml:space="preserve">Environmental Design Initiatives </v>
      </c>
      <c r="C98" s="303" t="str">
        <f>Innovation!A7</f>
        <v>Inn-3</v>
      </c>
      <c r="D98" s="304">
        <v>5</v>
      </c>
      <c r="E98" s="305">
        <f>Innovation!F7</f>
        <v>0</v>
      </c>
      <c r="F98" s="409"/>
      <c r="G98" s="943">
        <f>Innovation!G7</f>
        <v>0</v>
      </c>
      <c r="H98" s="962" t="str">
        <f>Innovation!I7</f>
        <v/>
      </c>
      <c r="I98" s="958"/>
      <c r="J98" s="958"/>
      <c r="K98" s="958"/>
      <c r="L98" s="958"/>
      <c r="M98" s="958"/>
      <c r="N98" s="958"/>
      <c r="O98" s="958"/>
      <c r="P98" s="958"/>
      <c r="Q98" s="958"/>
    </row>
    <row r="99" spans="1:17" s="404" customFormat="1" ht="15" customHeight="1">
      <c r="A99" s="308"/>
      <c r="B99" s="309"/>
      <c r="C99" s="310" t="s">
        <v>967</v>
      </c>
      <c r="D99" s="311">
        <f>Innovation!E8</f>
        <v>5</v>
      </c>
      <c r="E99" s="312">
        <f>Innovation!F8</f>
        <v>0</v>
      </c>
      <c r="F99" s="409" t="str">
        <f>Innovation!I7</f>
        <v/>
      </c>
      <c r="G99" s="325">
        <f>Innovation!G8</f>
        <v>0</v>
      </c>
      <c r="H99" s="962"/>
      <c r="I99" s="952" t="s">
        <v>1244</v>
      </c>
      <c r="J99" s="953"/>
      <c r="K99" s="325">
        <f>E99</f>
        <v>0</v>
      </c>
      <c r="L99" s="958"/>
      <c r="M99" s="958"/>
      <c r="N99" s="958"/>
      <c r="O99" s="958"/>
      <c r="P99" s="958"/>
      <c r="Q99" s="958"/>
    </row>
    <row r="100" spans="1:17" s="404" customFormat="1" hidden="1">
      <c r="A100" s="408"/>
      <c r="B100" s="408"/>
      <c r="C100" s="408"/>
      <c r="D100" s="407"/>
      <c r="E100" s="407"/>
      <c r="F100" s="409"/>
      <c r="G100" s="407"/>
      <c r="H100" s="962"/>
      <c r="I100" s="407"/>
      <c r="J100" s="407"/>
      <c r="K100" s="407"/>
      <c r="L100" s="958"/>
      <c r="M100" s="958"/>
      <c r="N100" s="958"/>
      <c r="O100" s="958"/>
      <c r="P100" s="958"/>
      <c r="Q100" s="958"/>
    </row>
    <row r="101" spans="1:17" s="404" customFormat="1" ht="33" customHeight="1">
      <c r="A101" s="408"/>
      <c r="C101" s="412"/>
      <c r="D101" s="407"/>
      <c r="E101" s="407"/>
      <c r="F101" s="409"/>
      <c r="G101" s="416"/>
      <c r="H101" s="962"/>
      <c r="I101" s="416"/>
      <c r="J101" s="414" t="s">
        <v>1103</v>
      </c>
      <c r="K101" s="415">
        <f>K94+K99</f>
        <v>0</v>
      </c>
      <c r="L101" s="958"/>
      <c r="M101" s="958"/>
      <c r="N101" s="958"/>
      <c r="O101" s="958"/>
      <c r="P101" s="958"/>
      <c r="Q101" s="958"/>
    </row>
    <row r="102" spans="1:17" s="404" customFormat="1">
      <c r="A102" s="408"/>
      <c r="B102" s="408"/>
      <c r="C102" s="408"/>
      <c r="D102" s="407"/>
      <c r="E102" s="407"/>
      <c r="F102" s="409"/>
      <c r="G102" s="407"/>
      <c r="H102" s="962"/>
      <c r="I102" s="407"/>
      <c r="J102" s="407"/>
      <c r="K102" s="407"/>
      <c r="L102" s="958"/>
      <c r="M102" s="958"/>
      <c r="N102" s="958"/>
      <c r="O102" s="958"/>
      <c r="P102" s="958"/>
      <c r="Q102" s="958"/>
    </row>
    <row r="103" spans="1:17" s="404" customFormat="1" ht="15">
      <c r="A103" s="408"/>
      <c r="C103" s="408"/>
      <c r="D103" s="407"/>
      <c r="E103" s="407"/>
      <c r="F103" s="409"/>
      <c r="H103" s="962"/>
      <c r="I103" s="407"/>
      <c r="J103" s="407"/>
      <c r="K103" s="417" t="str">
        <f>Calculation!$B$65</f>
        <v>Conditional requirements not met.</v>
      </c>
      <c r="L103" s="958"/>
      <c r="M103" s="958"/>
      <c r="N103" s="958"/>
      <c r="O103" s="958"/>
      <c r="P103" s="958"/>
      <c r="Q103" s="958"/>
    </row>
    <row r="104" spans="1:17" s="404" customFormat="1">
      <c r="A104" s="408"/>
      <c r="B104" s="408"/>
      <c r="C104" s="408"/>
      <c r="D104" s="407"/>
      <c r="E104" s="407"/>
      <c r="F104" s="409"/>
      <c r="G104" s="407"/>
      <c r="H104" s="962"/>
      <c r="I104" s="407"/>
      <c r="J104" s="407"/>
      <c r="K104" s="407"/>
      <c r="L104" s="958"/>
      <c r="M104" s="958"/>
      <c r="N104" s="958"/>
      <c r="O104" s="958"/>
      <c r="P104" s="958"/>
      <c r="Q104" s="958"/>
    </row>
    <row r="105" spans="1:17">
      <c r="A105" s="418"/>
      <c r="B105" s="418"/>
      <c r="C105" s="418"/>
      <c r="D105" s="419"/>
      <c r="E105" s="419"/>
      <c r="F105" s="420"/>
      <c r="G105" s="419"/>
      <c r="H105" s="964"/>
      <c r="I105" s="419"/>
    </row>
    <row r="106" spans="1:17" ht="12.75" customHeight="1">
      <c r="A106" s="2768" t="s">
        <v>511</v>
      </c>
      <c r="B106" s="2769"/>
      <c r="C106" s="2769"/>
      <c r="D106" s="2769"/>
      <c r="E106" s="2769"/>
      <c r="F106" s="2769"/>
      <c r="G106" s="2770"/>
      <c r="H106" s="965"/>
      <c r="I106" s="2780" t="s">
        <v>1242</v>
      </c>
      <c r="J106" s="2766" t="s">
        <v>83</v>
      </c>
    </row>
    <row r="107" spans="1:17">
      <c r="A107" s="2771"/>
      <c r="B107" s="2772"/>
      <c r="C107" s="2772"/>
      <c r="D107" s="2772"/>
      <c r="E107" s="2772"/>
      <c r="F107" s="2772"/>
      <c r="G107" s="2773"/>
      <c r="I107" s="2781"/>
      <c r="J107" s="2767"/>
    </row>
    <row r="108" spans="1:17">
      <c r="A108" s="2771"/>
      <c r="B108" s="2772"/>
      <c r="C108" s="2772"/>
      <c r="D108" s="2772"/>
      <c r="E108" s="2772"/>
      <c r="F108" s="2772"/>
      <c r="G108" s="2773"/>
      <c r="I108" s="954" t="s">
        <v>397</v>
      </c>
      <c r="J108" s="955" t="s">
        <v>1692</v>
      </c>
    </row>
    <row r="109" spans="1:17">
      <c r="A109" s="2774"/>
      <c r="B109" s="2775"/>
      <c r="C109" s="2775"/>
      <c r="D109" s="2775"/>
      <c r="E109" s="2775"/>
      <c r="F109" s="2775"/>
      <c r="G109" s="2776"/>
      <c r="I109" s="954" t="s">
        <v>398</v>
      </c>
      <c r="J109" s="955" t="s">
        <v>1151</v>
      </c>
    </row>
    <row r="110" spans="1:17">
      <c r="A110" s="2774"/>
      <c r="B110" s="2775"/>
      <c r="C110" s="2775"/>
      <c r="D110" s="2775"/>
      <c r="E110" s="2775"/>
      <c r="F110" s="2775"/>
      <c r="G110" s="2776"/>
      <c r="I110" s="954" t="s">
        <v>399</v>
      </c>
      <c r="J110" s="956" t="s">
        <v>260</v>
      </c>
    </row>
    <row r="111" spans="1:17">
      <c r="A111" s="2774"/>
      <c r="B111" s="2775"/>
      <c r="C111" s="2775"/>
      <c r="D111" s="2775"/>
      <c r="E111" s="2775"/>
      <c r="F111" s="2775"/>
      <c r="G111" s="2776"/>
    </row>
    <row r="112" spans="1:17">
      <c r="A112" s="2774"/>
      <c r="B112" s="2775"/>
      <c r="C112" s="2775"/>
      <c r="D112" s="2775"/>
      <c r="E112" s="2775"/>
      <c r="F112" s="2775"/>
      <c r="G112" s="2776"/>
    </row>
    <row r="113" spans="1:7">
      <c r="A113" s="2777"/>
      <c r="B113" s="2778"/>
      <c r="C113" s="2778"/>
      <c r="D113" s="2778"/>
      <c r="E113" s="2778"/>
      <c r="F113" s="2778"/>
      <c r="G113" s="2779"/>
    </row>
  </sheetData>
  <sheetProtection sheet="1" objects="1" scenarios="1"/>
  <mergeCells count="3">
    <mergeCell ref="J106:J107"/>
    <mergeCell ref="A106:G113"/>
    <mergeCell ref="I106:I107"/>
  </mergeCells>
  <phoneticPr fontId="0"/>
  <printOptions horizontalCentered="1"/>
  <pageMargins left="0.59055118110236227" right="0.59055118110236227" top="0.47244094488188981" bottom="0.47244094488188981" header="0.23622047244094491" footer="0.35433070866141736"/>
  <pageSetup paperSize="9" scale="65" fitToHeight="2" orientation="portrait" blackAndWhite="1" r:id="rId1"/>
  <headerFooter alignWithMargins="0">
    <oddHeader>&amp;LGreen Building Council of South Africa&amp;R&amp;T   &amp;D</oddHeader>
    <oddFooter>&amp;L&amp;F&amp;CPage &amp;P of &amp;N&amp;R&amp;A</oddFooter>
  </headerFooter>
  <rowBreaks count="1" manualBreakCount="1">
    <brk id="73"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I30"/>
  <sheetViews>
    <sheetView zoomScale="80" zoomScaleNormal="80" workbookViewId="0">
      <selection activeCell="A4" sqref="A4"/>
    </sheetView>
  </sheetViews>
  <sheetFormatPr defaultColWidth="10.75" defaultRowHeight="12.75"/>
  <cols>
    <col min="1" max="1" width="3.625" style="968" customWidth="1"/>
    <col min="2" max="16384" width="10.75" style="968"/>
  </cols>
  <sheetData>
    <row r="1" spans="2:9" ht="27.75">
      <c r="B1" s="967" t="str">
        <f>Calculation!N31</f>
        <v>Green Star SA - Office Design v1</v>
      </c>
    </row>
    <row r="2" spans="2:9" ht="27.75">
      <c r="B2" s="969"/>
    </row>
    <row r="3" spans="2:9" ht="20.25">
      <c r="B3" s="970" t="s">
        <v>94</v>
      </c>
      <c r="D3" s="1140" t="str">
        <f>IF('Building Input'!$C$5=0,"",'Building Input'!$C$5)</f>
        <v/>
      </c>
    </row>
    <row r="4" spans="2:9" ht="20.25">
      <c r="B4" s="970"/>
      <c r="D4" s="971"/>
    </row>
    <row r="5" spans="2:9" ht="36.75" customHeight="1">
      <c r="B5" s="2782" t="str">
        <f>IF('Credit Summary'!K101&lt;45,"No official GBCSA rating possible. Minimum total score of 45 points required for certification","The number of points inputted would equate to a "&amp;Calculation!C61&amp;" rating, once certified.")</f>
        <v>No official GBCSA rating possible. Minimum total score of 45 points required for certification</v>
      </c>
      <c r="C5" s="2783"/>
      <c r="D5" s="2783"/>
      <c r="E5" s="2783"/>
      <c r="F5" s="2783"/>
      <c r="G5" s="2783"/>
      <c r="H5" s="2783"/>
      <c r="I5" s="2783"/>
    </row>
    <row r="29" spans="3:3">
      <c r="C29" s="968" t="str">
        <f>Calculation!C55</f>
        <v/>
      </c>
    </row>
    <row r="30" spans="3:3">
      <c r="C30" s="968" t="str">
        <f>Calculation!B58</f>
        <v/>
      </c>
    </row>
  </sheetData>
  <sheetProtection password="AD9B" sheet="1" objects="1" scenarios="1"/>
  <mergeCells count="1">
    <mergeCell ref="B5:I5"/>
  </mergeCells>
  <phoneticPr fontId="0"/>
  <printOptions horizontalCentered="1"/>
  <pageMargins left="0.59055118110236227" right="0.59055118110236227" top="0.47244094488188981" bottom="0.47244094488188981" header="0.23622047244094491" footer="0.35433070866141736"/>
  <pageSetup paperSize="9" scale="78" fitToHeight="2" orientation="portrait" blackAndWhite="1" r:id="rId1"/>
  <headerFooter alignWithMargins="0">
    <oddHeader>&amp;LGreen Building Council of South Africa&amp;R&amp;T   &amp;D</oddHeader>
    <oddFooter>&amp;L&amp;F&amp;CPage &amp;P of &amp;N&amp;R&amp;A</oddFooter>
  </headerFooter>
  <rowBreaks count="1" manualBreakCount="1">
    <brk id="55"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D100"/>
  <sheetViews>
    <sheetView topLeftCell="A67" zoomScaleNormal="100" workbookViewId="0">
      <selection activeCell="A82" sqref="A82"/>
    </sheetView>
  </sheetViews>
  <sheetFormatPr defaultColWidth="7.875" defaultRowHeight="12.75"/>
  <cols>
    <col min="1" max="1" width="23.75" style="1" customWidth="1"/>
    <col min="2" max="2" width="22.75" style="1" customWidth="1"/>
    <col min="3" max="3" width="14" style="1" customWidth="1"/>
    <col min="4" max="4" width="10.625" style="1" customWidth="1"/>
    <col min="5" max="5" width="11.25" style="3" customWidth="1"/>
    <col min="6" max="6" width="9.625" style="1" customWidth="1"/>
    <col min="7" max="7" width="10.625" style="1" customWidth="1"/>
    <col min="8" max="8" width="12.125" style="1" customWidth="1"/>
    <col min="9" max="9" width="10.625" style="1" customWidth="1"/>
    <col min="10" max="11" width="12.125" style="1" customWidth="1"/>
    <col min="12" max="12" width="9.625" style="1" customWidth="1"/>
    <col min="13" max="13" width="10.625" style="1" customWidth="1"/>
    <col min="14" max="16" width="9.625" style="1" customWidth="1"/>
    <col min="17" max="20" width="7.875" style="1"/>
    <col min="21" max="21" width="20.125" style="1" customWidth="1"/>
    <col min="22" max="29" width="7.875" style="3"/>
    <col min="30" max="16384" width="7.875" style="1"/>
  </cols>
  <sheetData>
    <row r="1" spans="1:18" ht="23.25">
      <c r="B1" s="2" t="s">
        <v>512</v>
      </c>
      <c r="G1" s="184" t="str">
        <f>N25</f>
        <v>New Building</v>
      </c>
    </row>
    <row r="2" spans="1:18" ht="18.75">
      <c r="B2" s="4" t="s">
        <v>1217</v>
      </c>
      <c r="C2" s="5" t="str">
        <f>IF('Building Input'!$C$5=0,"",'Building Input'!$C$5)</f>
        <v/>
      </c>
    </row>
    <row r="3" spans="1:18" ht="15">
      <c r="B3" s="6"/>
    </row>
    <row r="4" spans="1:18" ht="20.25">
      <c r="B4" s="183"/>
      <c r="C4" s="7"/>
      <c r="D4" s="8"/>
      <c r="E4" s="9"/>
      <c r="F4" s="8"/>
      <c r="G4" s="8"/>
      <c r="H4" s="8"/>
      <c r="I4" s="8"/>
      <c r="J4" s="8"/>
      <c r="K4" s="8"/>
      <c r="L4" s="8"/>
      <c r="M4" s="8"/>
      <c r="N4" s="8"/>
      <c r="O4" s="8"/>
      <c r="P4" s="8"/>
    </row>
    <row r="6" spans="1:18" s="10" customFormat="1" ht="25.5">
      <c r="A6" s="199" t="s">
        <v>257</v>
      </c>
      <c r="B6" s="203"/>
      <c r="C6" s="185"/>
      <c r="D6" s="185"/>
      <c r="E6" s="185"/>
      <c r="F6" s="185"/>
      <c r="G6" s="185"/>
      <c r="H6" s="185"/>
      <c r="I6" s="185"/>
      <c r="J6" s="186"/>
      <c r="K6" s="1"/>
      <c r="L6" s="1"/>
      <c r="M6" s="1"/>
      <c r="N6" s="1"/>
      <c r="O6" s="1"/>
      <c r="P6" s="1"/>
      <c r="Q6" s="1"/>
      <c r="R6" s="3"/>
    </row>
    <row r="7" spans="1:18" ht="16.5" thickBot="1">
      <c r="A7" s="200"/>
      <c r="B7" s="204"/>
      <c r="C7" s="187" t="s">
        <v>1601</v>
      </c>
      <c r="D7" s="188"/>
      <c r="E7" s="188"/>
      <c r="F7" s="188"/>
      <c r="G7" s="188"/>
      <c r="H7" s="188"/>
      <c r="I7" s="188"/>
      <c r="J7" s="188"/>
      <c r="K7" s="226"/>
      <c r="L7" s="10"/>
      <c r="M7" s="10"/>
      <c r="N7" s="10"/>
      <c r="O7" s="10"/>
      <c r="P7" s="10"/>
      <c r="Q7" s="10"/>
      <c r="R7" s="10"/>
    </row>
    <row r="8" spans="1:18" ht="31.5" thickTop="1" thickBot="1">
      <c r="A8" s="201"/>
      <c r="B8" s="101" t="s">
        <v>1119</v>
      </c>
      <c r="C8" s="189" t="s">
        <v>1637</v>
      </c>
      <c r="D8" s="190" t="s">
        <v>1638</v>
      </c>
      <c r="E8" s="190" t="s">
        <v>1639</v>
      </c>
      <c r="F8" s="190" t="s">
        <v>1641</v>
      </c>
      <c r="G8" s="190" t="s">
        <v>1640</v>
      </c>
      <c r="H8" s="190" t="s">
        <v>1642</v>
      </c>
      <c r="I8" s="190" t="s">
        <v>1643</v>
      </c>
      <c r="J8" s="190" t="s">
        <v>1644</v>
      </c>
      <c r="K8" s="191" t="s">
        <v>1104</v>
      </c>
      <c r="L8" s="12" t="s">
        <v>1418</v>
      </c>
      <c r="M8" s="10"/>
      <c r="N8" s="10"/>
      <c r="R8" s="3"/>
    </row>
    <row r="9" spans="1:18" ht="13.5" thickTop="1">
      <c r="A9" s="207" t="s">
        <v>89</v>
      </c>
      <c r="B9" s="181">
        <v>0.09</v>
      </c>
      <c r="C9" s="221">
        <v>0.09</v>
      </c>
      <c r="D9" s="221">
        <v>0.09</v>
      </c>
      <c r="E9" s="221">
        <v>0.09</v>
      </c>
      <c r="F9" s="221">
        <v>0.09</v>
      </c>
      <c r="G9" s="221">
        <v>0.09</v>
      </c>
      <c r="H9" s="221">
        <v>0.09</v>
      </c>
      <c r="I9" s="221">
        <v>0.09</v>
      </c>
      <c r="J9" s="221">
        <v>0.09</v>
      </c>
      <c r="K9" s="221">
        <v>0.09</v>
      </c>
      <c r="L9" s="205">
        <v>1</v>
      </c>
      <c r="M9" s="206" t="s">
        <v>1637</v>
      </c>
      <c r="N9" s="19"/>
      <c r="R9" s="3"/>
    </row>
    <row r="10" spans="1:18">
      <c r="A10" s="207" t="s">
        <v>90</v>
      </c>
      <c r="B10" s="209">
        <v>0.15</v>
      </c>
      <c r="C10" s="222">
        <v>0.15</v>
      </c>
      <c r="D10" s="222">
        <v>0.15</v>
      </c>
      <c r="E10" s="222">
        <v>0.15</v>
      </c>
      <c r="F10" s="222">
        <v>0.15</v>
      </c>
      <c r="G10" s="222">
        <v>0.15</v>
      </c>
      <c r="H10" s="222">
        <v>0.15</v>
      </c>
      <c r="I10" s="222">
        <v>0.15</v>
      </c>
      <c r="J10" s="222">
        <v>0.15</v>
      </c>
      <c r="K10" s="222">
        <v>0.15</v>
      </c>
      <c r="L10" s="205">
        <v>2</v>
      </c>
      <c r="M10" s="206" t="s">
        <v>1638</v>
      </c>
      <c r="N10" s="19"/>
      <c r="R10" s="3"/>
    </row>
    <row r="11" spans="1:18">
      <c r="A11" s="207" t="s">
        <v>91</v>
      </c>
      <c r="B11" s="181">
        <v>0.25</v>
      </c>
      <c r="C11" s="221">
        <v>0.25</v>
      </c>
      <c r="D11" s="221">
        <v>0.25</v>
      </c>
      <c r="E11" s="221">
        <v>0.25</v>
      </c>
      <c r="F11" s="221">
        <v>0.25</v>
      </c>
      <c r="G11" s="221">
        <v>0.25</v>
      </c>
      <c r="H11" s="221">
        <v>0.25</v>
      </c>
      <c r="I11" s="221">
        <v>0.25</v>
      </c>
      <c r="J11" s="221">
        <v>0.25</v>
      </c>
      <c r="K11" s="221">
        <v>0.25</v>
      </c>
      <c r="L11" s="205">
        <v>3</v>
      </c>
      <c r="M11" s="206" t="s">
        <v>1639</v>
      </c>
      <c r="N11" s="19"/>
      <c r="R11" s="3"/>
    </row>
    <row r="12" spans="1:18">
      <c r="A12" s="202" t="s">
        <v>1218</v>
      </c>
      <c r="B12" s="209">
        <v>0.09</v>
      </c>
      <c r="C12" s="222">
        <v>0.09</v>
      </c>
      <c r="D12" s="222">
        <v>0.09</v>
      </c>
      <c r="E12" s="222">
        <v>0.09</v>
      </c>
      <c r="F12" s="222">
        <v>0.09</v>
      </c>
      <c r="G12" s="222">
        <v>0.09</v>
      </c>
      <c r="H12" s="222">
        <v>0.09</v>
      </c>
      <c r="I12" s="222">
        <v>0.09</v>
      </c>
      <c r="J12" s="222">
        <v>0.09</v>
      </c>
      <c r="K12" s="222">
        <v>0.09</v>
      </c>
      <c r="L12" s="205">
        <v>4</v>
      </c>
      <c r="M12" s="206" t="s">
        <v>1641</v>
      </c>
      <c r="N12" s="19"/>
      <c r="R12" s="3"/>
    </row>
    <row r="13" spans="1:18">
      <c r="A13" s="208" t="s">
        <v>92</v>
      </c>
      <c r="B13" s="181">
        <v>0.14000000000000001</v>
      </c>
      <c r="C13" s="221">
        <v>0.14000000000000001</v>
      </c>
      <c r="D13" s="221">
        <v>0.14000000000000001</v>
      </c>
      <c r="E13" s="221">
        <v>0.14000000000000001</v>
      </c>
      <c r="F13" s="221">
        <v>0.14000000000000001</v>
      </c>
      <c r="G13" s="221">
        <v>0.14000000000000001</v>
      </c>
      <c r="H13" s="221">
        <v>0.14000000000000001</v>
      </c>
      <c r="I13" s="221">
        <v>0.14000000000000001</v>
      </c>
      <c r="J13" s="221">
        <v>0.14000000000000001</v>
      </c>
      <c r="K13" s="221">
        <v>0.14000000000000001</v>
      </c>
      <c r="L13" s="205">
        <v>5</v>
      </c>
      <c r="M13" s="206" t="s">
        <v>1640</v>
      </c>
      <c r="N13" s="19"/>
      <c r="R13" s="3"/>
    </row>
    <row r="14" spans="1:18">
      <c r="A14" s="208" t="s">
        <v>93</v>
      </c>
      <c r="B14" s="209">
        <v>0.13</v>
      </c>
      <c r="C14" s="222">
        <v>0.13</v>
      </c>
      <c r="D14" s="222">
        <v>0.13</v>
      </c>
      <c r="E14" s="222">
        <v>0.13</v>
      </c>
      <c r="F14" s="222">
        <v>0.13</v>
      </c>
      <c r="G14" s="222">
        <v>0.13</v>
      </c>
      <c r="H14" s="222">
        <v>0.13</v>
      </c>
      <c r="I14" s="222">
        <v>0.13</v>
      </c>
      <c r="J14" s="222">
        <v>0.13</v>
      </c>
      <c r="K14" s="222">
        <v>0.13</v>
      </c>
      <c r="L14" s="205">
        <v>6</v>
      </c>
      <c r="M14" s="206" t="s">
        <v>1642</v>
      </c>
      <c r="N14" s="19"/>
      <c r="R14" s="3"/>
    </row>
    <row r="15" spans="1:18" s="20" customFormat="1">
      <c r="A15" s="202" t="s">
        <v>1419</v>
      </c>
      <c r="B15" s="209">
        <v>7.0000000000000007E-2</v>
      </c>
      <c r="C15" s="222">
        <v>7.0000000000000007E-2</v>
      </c>
      <c r="D15" s="222">
        <v>7.0000000000000007E-2</v>
      </c>
      <c r="E15" s="222">
        <v>7.0000000000000007E-2</v>
      </c>
      <c r="F15" s="222">
        <v>7.0000000000000007E-2</v>
      </c>
      <c r="G15" s="222">
        <v>7.0000000000000007E-2</v>
      </c>
      <c r="H15" s="222">
        <v>7.0000000000000007E-2</v>
      </c>
      <c r="I15" s="222">
        <v>7.0000000000000007E-2</v>
      </c>
      <c r="J15" s="222">
        <v>7.0000000000000007E-2</v>
      </c>
      <c r="K15" s="222">
        <v>7.0000000000000007E-2</v>
      </c>
      <c r="L15" s="205">
        <v>7</v>
      </c>
      <c r="M15" s="206" t="s">
        <v>1643</v>
      </c>
      <c r="N15" s="19"/>
      <c r="O15" s="1"/>
      <c r="P15" s="1"/>
      <c r="Q15" s="1"/>
      <c r="R15" s="3"/>
    </row>
    <row r="16" spans="1:18" s="20" customFormat="1" ht="13.5" thickBot="1">
      <c r="A16" s="208" t="s">
        <v>391</v>
      </c>
      <c r="B16" s="182">
        <v>0.08</v>
      </c>
      <c r="C16" s="223">
        <v>0.08</v>
      </c>
      <c r="D16" s="223">
        <v>0.08</v>
      </c>
      <c r="E16" s="223">
        <v>0.08</v>
      </c>
      <c r="F16" s="223">
        <v>0.08</v>
      </c>
      <c r="G16" s="223">
        <v>0.08</v>
      </c>
      <c r="H16" s="223">
        <v>0.08</v>
      </c>
      <c r="I16" s="223">
        <v>0.08</v>
      </c>
      <c r="J16" s="223">
        <v>0.08</v>
      </c>
      <c r="K16" s="223">
        <v>0.08</v>
      </c>
      <c r="L16" s="205">
        <v>8</v>
      </c>
      <c r="M16" s="206" t="s">
        <v>1644</v>
      </c>
      <c r="N16" s="19"/>
    </row>
    <row r="17" spans="1:19" s="20" customFormat="1" ht="13.5" thickTop="1">
      <c r="A17" s="192"/>
      <c r="B17" s="193"/>
      <c r="C17" s="194"/>
      <c r="D17" s="214"/>
      <c r="E17" s="194"/>
      <c r="F17" s="194"/>
      <c r="G17" s="194"/>
      <c r="H17" s="194"/>
      <c r="I17" s="194"/>
      <c r="J17" s="224"/>
      <c r="K17" s="225"/>
      <c r="L17" s="205">
        <v>9</v>
      </c>
      <c r="M17" s="206" t="s">
        <v>1104</v>
      </c>
    </row>
    <row r="18" spans="1:19" ht="25.5">
      <c r="A18" s="195"/>
      <c r="B18" s="196">
        <f>SUM(B9:B16)</f>
        <v>0.99999999999999989</v>
      </c>
      <c r="C18" s="197">
        <f t="shared" ref="C18:J18" si="0">SUM(C9:C16)</f>
        <v>0.99999999999999989</v>
      </c>
      <c r="D18" s="197">
        <f t="shared" si="0"/>
        <v>0.99999999999999989</v>
      </c>
      <c r="E18" s="197">
        <f t="shared" si="0"/>
        <v>0.99999999999999989</v>
      </c>
      <c r="F18" s="197">
        <f t="shared" si="0"/>
        <v>0.99999999999999989</v>
      </c>
      <c r="G18" s="197">
        <f t="shared" si="0"/>
        <v>0.99999999999999989</v>
      </c>
      <c r="H18" s="197">
        <f t="shared" si="0"/>
        <v>0.99999999999999989</v>
      </c>
      <c r="I18" s="197">
        <f t="shared" si="0"/>
        <v>0.99999999999999989</v>
      </c>
      <c r="J18" s="197">
        <f t="shared" si="0"/>
        <v>0.99999999999999989</v>
      </c>
      <c r="K18" s="198">
        <f>SUM(K9:K16)</f>
        <v>0.99999999999999989</v>
      </c>
      <c r="L18" s="220" t="s">
        <v>1421</v>
      </c>
      <c r="M18" s="70">
        <v>2</v>
      </c>
      <c r="N18" s="20" t="str">
        <f>VLOOKUP(M18,L9:M17,2)</f>
        <v>W Cape</v>
      </c>
      <c r="O18" s="20"/>
      <c r="P18" s="20"/>
      <c r="Q18" s="20"/>
      <c r="R18" s="20"/>
    </row>
    <row r="19" spans="1:19">
      <c r="A19" s="20"/>
      <c r="B19" s="22"/>
      <c r="C19" s="22"/>
      <c r="D19" s="22"/>
      <c r="E19" s="22"/>
      <c r="F19" s="22"/>
      <c r="G19" s="22"/>
      <c r="H19" s="22"/>
      <c r="I19" s="22"/>
      <c r="J19" s="20"/>
      <c r="K19" s="20"/>
      <c r="L19" s="20"/>
      <c r="M19" s="20"/>
      <c r="N19" s="20"/>
      <c r="R19" s="3"/>
    </row>
    <row r="20" spans="1:19">
      <c r="A20" s="215"/>
      <c r="F20" s="3"/>
      <c r="G20" s="3"/>
      <c r="H20" s="3"/>
      <c r="I20" s="3"/>
      <c r="O20" s="72" t="s">
        <v>550</v>
      </c>
      <c r="P20" s="3"/>
      <c r="Q20" s="3"/>
      <c r="R20" s="3"/>
    </row>
    <row r="21" spans="1:19" ht="15.75">
      <c r="A21" s="3"/>
      <c r="F21" s="3"/>
      <c r="G21" s="3"/>
      <c r="H21" s="3"/>
      <c r="I21" s="3"/>
      <c r="L21" s="28" t="s">
        <v>1424</v>
      </c>
      <c r="O21" s="72" t="s">
        <v>82</v>
      </c>
      <c r="P21" s="73"/>
      <c r="Q21" s="73"/>
      <c r="R21" s="73"/>
      <c r="S21" s="213"/>
    </row>
    <row r="22" spans="1:19">
      <c r="B22" s="3"/>
      <c r="C22" s="3"/>
      <c r="D22" s="3"/>
      <c r="F22" s="3"/>
      <c r="G22" s="3"/>
      <c r="H22" s="3"/>
      <c r="I22" s="3"/>
      <c r="L22" s="3">
        <v>1</v>
      </c>
      <c r="M22" s="1" t="s">
        <v>1427</v>
      </c>
      <c r="R22" s="3"/>
    </row>
    <row r="23" spans="1:19">
      <c r="B23" s="3"/>
      <c r="C23" s="3"/>
      <c r="D23" s="3"/>
      <c r="F23" s="3"/>
      <c r="G23" s="3"/>
      <c r="H23" s="3"/>
      <c r="I23" s="3"/>
      <c r="L23" s="3">
        <v>2</v>
      </c>
      <c r="M23" s="1" t="s">
        <v>1429</v>
      </c>
      <c r="R23" s="3"/>
    </row>
    <row r="24" spans="1:19">
      <c r="B24" s="3"/>
      <c r="C24" s="3"/>
      <c r="D24" s="3"/>
      <c r="F24" s="3"/>
      <c r="G24" s="3"/>
      <c r="H24" s="3"/>
      <c r="I24" s="3"/>
      <c r="R24" s="3"/>
    </row>
    <row r="25" spans="1:19">
      <c r="B25" s="3"/>
      <c r="C25" s="3"/>
      <c r="D25" s="3"/>
      <c r="F25" s="3"/>
      <c r="G25" s="3"/>
      <c r="H25" s="3"/>
      <c r="I25" s="3"/>
      <c r="L25" s="45" t="s">
        <v>1691</v>
      </c>
      <c r="M25" s="71">
        <v>1</v>
      </c>
      <c r="N25" s="1" t="str">
        <f>VLOOKUP(M25,L22:M23,2)</f>
        <v>New Building</v>
      </c>
      <c r="R25" s="3"/>
    </row>
    <row r="26" spans="1:19" ht="16.5" thickBot="1">
      <c r="B26" s="28" t="s">
        <v>1153</v>
      </c>
      <c r="E26" s="1"/>
      <c r="F26" s="3"/>
      <c r="G26" s="3"/>
      <c r="H26" s="3"/>
      <c r="I26" s="3"/>
      <c r="J26" s="3"/>
      <c r="K26" s="3"/>
      <c r="L26" s="3"/>
      <c r="M26" s="3"/>
    </row>
    <row r="27" spans="1:19" ht="15.75">
      <c r="B27" s="85"/>
      <c r="E27" s="1"/>
      <c r="F27" s="3"/>
      <c r="G27" s="3"/>
      <c r="H27" s="3"/>
      <c r="I27" s="3"/>
      <c r="J27" s="3"/>
      <c r="K27" s="3"/>
      <c r="L27" s="2784" t="s">
        <v>106</v>
      </c>
      <c r="M27" s="2784"/>
      <c r="R27" s="1">
        <v>1</v>
      </c>
    </row>
    <row r="28" spans="1:19">
      <c r="B28" s="86"/>
      <c r="E28" s="1"/>
      <c r="F28" s="3"/>
      <c r="G28" s="3"/>
      <c r="H28" s="3"/>
      <c r="I28" s="3"/>
      <c r="J28" s="3"/>
      <c r="K28" s="3"/>
      <c r="L28" s="3">
        <v>1</v>
      </c>
      <c r="M28" s="217"/>
      <c r="N28" s="217" t="s">
        <v>513</v>
      </c>
    </row>
    <row r="29" spans="1:19" ht="13.5" thickBot="1">
      <c r="B29" s="87"/>
      <c r="E29" s="1"/>
      <c r="F29" s="3"/>
      <c r="G29" s="3"/>
      <c r="H29" s="3"/>
      <c r="I29" s="3"/>
      <c r="J29" s="3"/>
      <c r="K29" s="3"/>
      <c r="L29" s="3">
        <v>2</v>
      </c>
      <c r="M29" s="216" t="s">
        <v>513</v>
      </c>
      <c r="N29" s="217" t="s">
        <v>513</v>
      </c>
    </row>
    <row r="30" spans="1:19">
      <c r="B30" s="84" t="s">
        <v>65</v>
      </c>
      <c r="C30" s="81" t="s">
        <v>96</v>
      </c>
      <c r="D30" s="77"/>
      <c r="E30" s="77"/>
      <c r="F30" s="78"/>
      <c r="G30" s="3"/>
      <c r="H30" s="3"/>
      <c r="I30" s="3"/>
      <c r="J30" s="3"/>
      <c r="K30" s="3"/>
      <c r="L30" s="3">
        <v>3</v>
      </c>
      <c r="M30" s="216" t="s">
        <v>514</v>
      </c>
      <c r="N30" s="217" t="s">
        <v>514</v>
      </c>
    </row>
    <row r="31" spans="1:19">
      <c r="C31" s="82" t="s">
        <v>1407</v>
      </c>
      <c r="D31" s="79"/>
      <c r="E31" s="79"/>
      <c r="F31" s="80"/>
      <c r="G31" s="3"/>
      <c r="H31" s="3"/>
      <c r="I31" s="3"/>
      <c r="J31" s="3"/>
      <c r="K31" s="2785" t="s">
        <v>300</v>
      </c>
      <c r="L31" s="2785"/>
      <c r="M31" s="219">
        <v>1</v>
      </c>
      <c r="N31" s="218" t="str">
        <f>VLOOKUP(M31,L28:N30,3,)</f>
        <v>Green Star SA - Office Design v1</v>
      </c>
    </row>
    <row r="32" spans="1:19" ht="26.25" thickBot="1">
      <c r="A32" s="210" t="s">
        <v>258</v>
      </c>
      <c r="E32" s="1"/>
      <c r="G32" s="3"/>
      <c r="H32" s="3"/>
      <c r="I32" s="3"/>
      <c r="J32" s="3"/>
      <c r="K32" s="3"/>
      <c r="L32" s="3"/>
      <c r="M32" s="3"/>
      <c r="N32" s="3"/>
    </row>
    <row r="33" spans="1:30" ht="48" thickBot="1">
      <c r="B33" s="133" t="s">
        <v>1602</v>
      </c>
      <c r="C33" s="134" t="s">
        <v>1603</v>
      </c>
      <c r="D33" s="135" t="s">
        <v>1604</v>
      </c>
      <c r="E33" s="136" t="s">
        <v>937</v>
      </c>
      <c r="F33" s="137" t="s">
        <v>644</v>
      </c>
      <c r="G33" s="138" t="s">
        <v>1241</v>
      </c>
      <c r="H33" s="139" t="s">
        <v>1410</v>
      </c>
      <c r="I33" s="140" t="s">
        <v>1411</v>
      </c>
      <c r="J33" s="141" t="s">
        <v>1412</v>
      </c>
      <c r="K33" s="142" t="s">
        <v>1413</v>
      </c>
      <c r="L33" s="134" t="s">
        <v>1414</v>
      </c>
      <c r="M33" s="135" t="s">
        <v>1415</v>
      </c>
      <c r="N33" s="136" t="s">
        <v>1416</v>
      </c>
      <c r="O33" s="143" t="s">
        <v>1417</v>
      </c>
      <c r="P33" s="11"/>
    </row>
    <row r="34" spans="1:30">
      <c r="B34" s="144" t="s">
        <v>89</v>
      </c>
      <c r="C34" s="103">
        <f t="shared" ref="C34:C41" si="1">VLOOKUP(B34,A9:K9,$M$18+2)</f>
        <v>0.09</v>
      </c>
      <c r="D34" s="104">
        <f t="shared" ref="D34:D41" si="2">C34*100</f>
        <v>9</v>
      </c>
      <c r="E34" s="105">
        <f>Management!F15</f>
        <v>14</v>
      </c>
      <c r="F34" s="112">
        <f>Management!G15</f>
        <v>0</v>
      </c>
      <c r="G34" s="113">
        <f t="shared" ref="G34:G41" si="3">F34/E34</f>
        <v>0</v>
      </c>
      <c r="H34" s="114">
        <f t="shared" ref="H34:H41" si="4">C34*G34*100</f>
        <v>0</v>
      </c>
      <c r="I34" s="145">
        <f>Management!H15</f>
        <v>0</v>
      </c>
      <c r="J34" s="146">
        <f t="shared" ref="J34:J41" si="5">I34/E34</f>
        <v>0</v>
      </c>
      <c r="K34" s="147">
        <f t="shared" ref="K34:K41" si="6">C34*J34*100</f>
        <v>0</v>
      </c>
      <c r="L34" s="148">
        <f t="shared" ref="L34:L41" si="7">F34+I34</f>
        <v>0</v>
      </c>
      <c r="M34" s="149">
        <f t="shared" ref="M34:M41" si="8">L34/E34</f>
        <v>0</v>
      </c>
      <c r="N34" s="150">
        <f t="shared" ref="N34:N41" si="9">C34*M34*100</f>
        <v>0</v>
      </c>
      <c r="O34" s="151">
        <f>Management!J15</f>
        <v>0</v>
      </c>
      <c r="P34" s="18"/>
    </row>
    <row r="35" spans="1:30" ht="25.5">
      <c r="B35" s="152" t="s">
        <v>90</v>
      </c>
      <c r="C35" s="106">
        <f t="shared" si="1"/>
        <v>0.15</v>
      </c>
      <c r="D35" s="13">
        <f t="shared" si="2"/>
        <v>15</v>
      </c>
      <c r="E35" s="107">
        <f>IEQ!F26</f>
        <v>28</v>
      </c>
      <c r="F35" s="115">
        <f>IEQ!G26</f>
        <v>0</v>
      </c>
      <c r="G35" s="14">
        <f t="shared" si="3"/>
        <v>0</v>
      </c>
      <c r="H35" s="116">
        <f t="shared" si="4"/>
        <v>0</v>
      </c>
      <c r="I35" s="126">
        <f>IEQ!H26</f>
        <v>0</v>
      </c>
      <c r="J35" s="15">
        <f t="shared" si="5"/>
        <v>0</v>
      </c>
      <c r="K35" s="127">
        <f t="shared" si="6"/>
        <v>0</v>
      </c>
      <c r="L35" s="131">
        <f t="shared" si="7"/>
        <v>0</v>
      </c>
      <c r="M35" s="16">
        <f t="shared" si="8"/>
        <v>0</v>
      </c>
      <c r="N35" s="132">
        <f t="shared" si="9"/>
        <v>0</v>
      </c>
      <c r="O35" s="17">
        <f>IEQ!J26</f>
        <v>0</v>
      </c>
      <c r="P35" s="18"/>
    </row>
    <row r="36" spans="1:30">
      <c r="B36" s="152" t="s">
        <v>91</v>
      </c>
      <c r="C36" s="106">
        <f t="shared" si="1"/>
        <v>0.25</v>
      </c>
      <c r="D36" s="13">
        <f t="shared" si="2"/>
        <v>25</v>
      </c>
      <c r="E36" s="107">
        <f>Energy!F14</f>
        <v>30</v>
      </c>
      <c r="F36" s="115">
        <f>Energy!G14</f>
        <v>0</v>
      </c>
      <c r="G36" s="14">
        <f t="shared" si="3"/>
        <v>0</v>
      </c>
      <c r="H36" s="116">
        <f t="shared" si="4"/>
        <v>0</v>
      </c>
      <c r="I36" s="126">
        <f>Energy!H14</f>
        <v>0</v>
      </c>
      <c r="J36" s="15">
        <f t="shared" si="5"/>
        <v>0</v>
      </c>
      <c r="K36" s="127">
        <f t="shared" si="6"/>
        <v>0</v>
      </c>
      <c r="L36" s="131">
        <f t="shared" si="7"/>
        <v>0</v>
      </c>
      <c r="M36" s="16">
        <f t="shared" si="8"/>
        <v>0</v>
      </c>
      <c r="N36" s="132">
        <f t="shared" si="9"/>
        <v>0</v>
      </c>
      <c r="O36" s="17">
        <f>Energy!J14</f>
        <v>0</v>
      </c>
      <c r="P36" s="18"/>
    </row>
    <row r="37" spans="1:30">
      <c r="B37" s="153" t="s">
        <v>1218</v>
      </c>
      <c r="C37" s="106">
        <f t="shared" si="1"/>
        <v>0.09</v>
      </c>
      <c r="D37" s="13">
        <f t="shared" si="2"/>
        <v>9</v>
      </c>
      <c r="E37" s="107">
        <f>Transport!F11</f>
        <v>14</v>
      </c>
      <c r="F37" s="115">
        <f>Transport!G11</f>
        <v>0</v>
      </c>
      <c r="G37" s="14">
        <f t="shared" si="3"/>
        <v>0</v>
      </c>
      <c r="H37" s="116">
        <f t="shared" si="4"/>
        <v>0</v>
      </c>
      <c r="I37" s="126">
        <f>Transport!H11</f>
        <v>0</v>
      </c>
      <c r="J37" s="15">
        <f t="shared" si="5"/>
        <v>0</v>
      </c>
      <c r="K37" s="127">
        <f t="shared" si="6"/>
        <v>0</v>
      </c>
      <c r="L37" s="131">
        <f t="shared" si="7"/>
        <v>0</v>
      </c>
      <c r="M37" s="16">
        <f t="shared" si="8"/>
        <v>0</v>
      </c>
      <c r="N37" s="132">
        <f t="shared" si="9"/>
        <v>0</v>
      </c>
      <c r="O37" s="17">
        <f>Transport!J11</f>
        <v>0</v>
      </c>
      <c r="P37" s="18"/>
    </row>
    <row r="38" spans="1:30">
      <c r="B38" s="153" t="s">
        <v>92</v>
      </c>
      <c r="C38" s="106">
        <f t="shared" si="1"/>
        <v>0.14000000000000001</v>
      </c>
      <c r="D38" s="13">
        <f t="shared" si="2"/>
        <v>14.000000000000002</v>
      </c>
      <c r="E38" s="107">
        <f>Water!F11</f>
        <v>15</v>
      </c>
      <c r="F38" s="115">
        <f>Water!G11</f>
        <v>0</v>
      </c>
      <c r="G38" s="14">
        <f t="shared" si="3"/>
        <v>0</v>
      </c>
      <c r="H38" s="116">
        <f t="shared" si="4"/>
        <v>0</v>
      </c>
      <c r="I38" s="126">
        <f>Water!H11</f>
        <v>0</v>
      </c>
      <c r="J38" s="15">
        <f t="shared" si="5"/>
        <v>0</v>
      </c>
      <c r="K38" s="127">
        <f t="shared" si="6"/>
        <v>0</v>
      </c>
      <c r="L38" s="131">
        <f t="shared" si="7"/>
        <v>0</v>
      </c>
      <c r="M38" s="16">
        <f t="shared" si="8"/>
        <v>0</v>
      </c>
      <c r="N38" s="132">
        <f t="shared" si="9"/>
        <v>0</v>
      </c>
      <c r="O38" s="17">
        <f>Water!J11</f>
        <v>0</v>
      </c>
      <c r="P38" s="18"/>
    </row>
    <row r="39" spans="1:30">
      <c r="B39" s="153" t="s">
        <v>93</v>
      </c>
      <c r="C39" s="106">
        <f t="shared" si="1"/>
        <v>0.13</v>
      </c>
      <c r="D39" s="13">
        <f t="shared" si="2"/>
        <v>13</v>
      </c>
      <c r="E39" s="107">
        <f>Materials!F24</f>
        <v>22</v>
      </c>
      <c r="F39" s="115">
        <f>Materials!G24</f>
        <v>0</v>
      </c>
      <c r="G39" s="14">
        <f t="shared" si="3"/>
        <v>0</v>
      </c>
      <c r="H39" s="116">
        <f t="shared" si="4"/>
        <v>0</v>
      </c>
      <c r="I39" s="126">
        <f>Materials!H24</f>
        <v>0</v>
      </c>
      <c r="J39" s="15">
        <f t="shared" si="5"/>
        <v>0</v>
      </c>
      <c r="K39" s="127">
        <f t="shared" si="6"/>
        <v>0</v>
      </c>
      <c r="L39" s="131">
        <f t="shared" si="7"/>
        <v>0</v>
      </c>
      <c r="M39" s="16">
        <f t="shared" si="8"/>
        <v>0</v>
      </c>
      <c r="N39" s="132">
        <f t="shared" si="9"/>
        <v>0</v>
      </c>
      <c r="O39" s="17">
        <f>Materials!J24</f>
        <v>0</v>
      </c>
      <c r="P39" s="18"/>
    </row>
    <row r="40" spans="1:30">
      <c r="B40" s="153" t="s">
        <v>1419</v>
      </c>
      <c r="C40" s="106">
        <f t="shared" si="1"/>
        <v>7.0000000000000007E-2</v>
      </c>
      <c r="D40" s="13">
        <f t="shared" si="2"/>
        <v>7.0000000000000009</v>
      </c>
      <c r="E40" s="108">
        <f>'Land Use &amp; Ecology'!F12</f>
        <v>9</v>
      </c>
      <c r="F40" s="117">
        <f>'Land Use &amp; Ecology'!G12</f>
        <v>0</v>
      </c>
      <c r="G40" s="14">
        <f t="shared" si="3"/>
        <v>0</v>
      </c>
      <c r="H40" s="116">
        <f t="shared" si="4"/>
        <v>0</v>
      </c>
      <c r="I40" s="128">
        <f>'Land Use &amp; Ecology'!H12</f>
        <v>0</v>
      </c>
      <c r="J40" s="15">
        <f t="shared" si="5"/>
        <v>0</v>
      </c>
      <c r="K40" s="127">
        <f t="shared" si="6"/>
        <v>0</v>
      </c>
      <c r="L40" s="131">
        <f t="shared" si="7"/>
        <v>0</v>
      </c>
      <c r="M40" s="16">
        <f t="shared" si="8"/>
        <v>0</v>
      </c>
      <c r="N40" s="132">
        <f t="shared" si="9"/>
        <v>0</v>
      </c>
      <c r="O40" s="17">
        <f>'Land Use &amp; Ecology'!J12</f>
        <v>0</v>
      </c>
      <c r="P40" s="18"/>
    </row>
    <row r="41" spans="1:30" ht="13.5" thickBot="1">
      <c r="B41" s="154" t="s">
        <v>391</v>
      </c>
      <c r="C41" s="155">
        <f t="shared" si="1"/>
        <v>0.08</v>
      </c>
      <c r="D41" s="156">
        <f t="shared" si="2"/>
        <v>8</v>
      </c>
      <c r="E41" s="157">
        <f>Emissions!F18</f>
        <v>17</v>
      </c>
      <c r="F41" s="158">
        <f>Emissions!G18</f>
        <v>0</v>
      </c>
      <c r="G41" s="159">
        <f t="shared" si="3"/>
        <v>0</v>
      </c>
      <c r="H41" s="160">
        <f t="shared" si="4"/>
        <v>0</v>
      </c>
      <c r="I41" s="161">
        <f>Emissions!H18</f>
        <v>0</v>
      </c>
      <c r="J41" s="162">
        <f t="shared" si="5"/>
        <v>0</v>
      </c>
      <c r="K41" s="163">
        <f t="shared" si="6"/>
        <v>0</v>
      </c>
      <c r="L41" s="164">
        <f t="shared" si="7"/>
        <v>0</v>
      </c>
      <c r="M41" s="165">
        <f t="shared" si="8"/>
        <v>0</v>
      </c>
      <c r="N41" s="166">
        <f t="shared" si="9"/>
        <v>0</v>
      </c>
      <c r="O41" s="167">
        <f>Emissions!J18</f>
        <v>0</v>
      </c>
      <c r="P41" s="18"/>
    </row>
    <row r="42" spans="1:30" ht="18.75" thickBot="1">
      <c r="B42" s="168" t="s">
        <v>1420</v>
      </c>
      <c r="C42" s="169">
        <f>SUM(C34:C41)</f>
        <v>0.99999999999999989</v>
      </c>
      <c r="D42" s="170">
        <f>SUM(D34:D41)</f>
        <v>100</v>
      </c>
      <c r="E42" s="171">
        <f>SUM(E34:E41)</f>
        <v>149</v>
      </c>
      <c r="F42" s="172">
        <f>SUM(F34:F41)</f>
        <v>0</v>
      </c>
      <c r="G42" s="173"/>
      <c r="H42" s="174">
        <f>SUM(H34:H41)</f>
        <v>0</v>
      </c>
      <c r="I42" s="175">
        <f>SUM(I34:I41)</f>
        <v>0</v>
      </c>
      <c r="J42" s="176"/>
      <c r="K42" s="177">
        <f>SUM(K34:K41)</f>
        <v>0</v>
      </c>
      <c r="L42" s="175">
        <f>SUM(L34:L41)</f>
        <v>0</v>
      </c>
      <c r="M42" s="176"/>
      <c r="N42" s="177">
        <f>SUM(N34:N41)</f>
        <v>0</v>
      </c>
      <c r="O42" s="178"/>
      <c r="P42" s="21"/>
    </row>
    <row r="43" spans="1:30">
      <c r="B43" s="179" t="s">
        <v>87</v>
      </c>
      <c r="C43" s="121"/>
      <c r="D43" s="102"/>
      <c r="E43" s="122">
        <f>Innovation!E8</f>
        <v>5</v>
      </c>
      <c r="F43" s="124">
        <f>Innovation!F8</f>
        <v>0</v>
      </c>
      <c r="G43" s="102"/>
      <c r="H43" s="125">
        <f>F43</f>
        <v>0</v>
      </c>
      <c r="I43" s="129">
        <f>Innovation!G8</f>
        <v>0</v>
      </c>
      <c r="J43" s="24"/>
      <c r="K43" s="130">
        <f>I43</f>
        <v>0</v>
      </c>
      <c r="L43" s="129">
        <f>F43+I43</f>
        <v>0</v>
      </c>
      <c r="M43" s="23"/>
      <c r="N43" s="130">
        <f>L43</f>
        <v>0</v>
      </c>
      <c r="O43" s="25" t="str">
        <f>Innovation!I7</f>
        <v/>
      </c>
      <c r="P43" s="26"/>
    </row>
    <row r="44" spans="1:30" ht="18.75" thickBot="1">
      <c r="A44" s="29"/>
      <c r="B44" s="180" t="s">
        <v>1422</v>
      </c>
      <c r="C44" s="109"/>
      <c r="D44" s="123"/>
      <c r="E44" s="111"/>
      <c r="F44" s="118"/>
      <c r="G44" s="119"/>
      <c r="H44" s="120">
        <f>H42+H43</f>
        <v>0</v>
      </c>
      <c r="I44" s="118"/>
      <c r="J44" s="110"/>
      <c r="K44" s="120">
        <f>K42+K43</f>
        <v>0</v>
      </c>
      <c r="L44" s="118">
        <f>L42+L43</f>
        <v>0</v>
      </c>
      <c r="M44" s="110"/>
      <c r="N44" s="120">
        <f>N42+N43</f>
        <v>0</v>
      </c>
      <c r="O44" s="27">
        <f>SUM(O34:O43)</f>
        <v>0</v>
      </c>
      <c r="P44" s="21"/>
    </row>
    <row r="45" spans="1:30">
      <c r="A45" s="29"/>
    </row>
    <row r="46" spans="1:30" ht="13.5" thickBot="1">
      <c r="C46" s="49" t="s">
        <v>1423</v>
      </c>
      <c r="F46" s="83" t="s">
        <v>256</v>
      </c>
      <c r="G46" s="29"/>
      <c r="H46" s="29"/>
      <c r="I46" s="29"/>
      <c r="J46" s="29"/>
      <c r="K46" s="83" t="s">
        <v>256</v>
      </c>
      <c r="N46" s="29"/>
      <c r="O46" s="29"/>
      <c r="P46" s="29"/>
    </row>
    <row r="47" spans="1:30">
      <c r="C47" s="30">
        <v>0</v>
      </c>
      <c r="D47" s="31" t="s">
        <v>1425</v>
      </c>
      <c r="F47" s="32" t="s">
        <v>1426</v>
      </c>
      <c r="G47" s="33"/>
      <c r="H47" s="33"/>
      <c r="I47" s="34"/>
      <c r="J47" s="35"/>
      <c r="K47" s="29"/>
      <c r="L47" s="32" t="s">
        <v>77</v>
      </c>
      <c r="M47" s="76" t="s">
        <v>86</v>
      </c>
      <c r="N47" s="54" t="s">
        <v>1688</v>
      </c>
      <c r="O47" s="29"/>
      <c r="P47" s="29"/>
      <c r="Q47" s="29"/>
      <c r="V47" s="1"/>
      <c r="AD47" s="3"/>
    </row>
    <row r="48" spans="1:30">
      <c r="C48" s="36">
        <v>10</v>
      </c>
      <c r="D48" s="37" t="s">
        <v>1428</v>
      </c>
      <c r="F48" s="355"/>
      <c r="G48" s="356"/>
      <c r="H48" s="356"/>
      <c r="I48" s="29"/>
      <c r="J48" s="39"/>
      <c r="K48" s="29"/>
      <c r="L48" s="57" t="s">
        <v>1425</v>
      </c>
      <c r="M48" s="58">
        <f t="shared" ref="M48:M53" si="10">C48-C47</f>
        <v>10</v>
      </c>
      <c r="N48" s="74">
        <f t="shared" ref="N48:N54" si="11">MAX(0,MIN($M48,$H$44-$C47))</f>
        <v>0</v>
      </c>
      <c r="O48" s="29"/>
      <c r="P48" s="29"/>
      <c r="Q48" s="29"/>
      <c r="V48" s="1"/>
      <c r="AD48" s="3"/>
    </row>
    <row r="49" spans="2:30">
      <c r="C49" s="36">
        <v>20</v>
      </c>
      <c r="D49" s="37" t="s">
        <v>1430</v>
      </c>
      <c r="F49" s="38"/>
      <c r="G49" s="29"/>
      <c r="H49" s="357" t="s">
        <v>80</v>
      </c>
      <c r="I49" s="40" t="s">
        <v>1688</v>
      </c>
      <c r="J49" s="41" t="s">
        <v>1689</v>
      </c>
      <c r="K49" s="29"/>
      <c r="L49" s="59" t="s">
        <v>1428</v>
      </c>
      <c r="M49" s="58">
        <f t="shared" si="10"/>
        <v>10</v>
      </c>
      <c r="N49" s="74">
        <f t="shared" si="11"/>
        <v>0</v>
      </c>
      <c r="O49" s="40"/>
      <c r="P49" s="40"/>
      <c r="Q49" s="40"/>
      <c r="V49" s="1"/>
      <c r="AD49" s="3"/>
    </row>
    <row r="50" spans="2:30">
      <c r="C50" s="36">
        <v>30</v>
      </c>
      <c r="D50" s="37" t="s">
        <v>1690</v>
      </c>
      <c r="F50" s="38"/>
      <c r="G50" s="42" t="str">
        <f t="shared" ref="G50:G57" si="12">B34</f>
        <v>Management</v>
      </c>
      <c r="H50" s="358">
        <v>1</v>
      </c>
      <c r="I50" s="43">
        <f t="shared" ref="I50:I57" si="13">G34</f>
        <v>0</v>
      </c>
      <c r="J50" s="44">
        <f t="shared" ref="J50:J57" si="14">J34</f>
        <v>0</v>
      </c>
      <c r="K50" s="29"/>
      <c r="L50" s="59" t="s">
        <v>1430</v>
      </c>
      <c r="M50" s="58">
        <f t="shared" si="10"/>
        <v>10</v>
      </c>
      <c r="N50" s="74">
        <f t="shared" si="11"/>
        <v>0</v>
      </c>
      <c r="O50" s="29"/>
      <c r="P50" s="29"/>
      <c r="Q50" s="29"/>
      <c r="V50" s="1"/>
      <c r="AD50" s="3"/>
    </row>
    <row r="51" spans="2:30">
      <c r="C51" s="46">
        <v>45</v>
      </c>
      <c r="D51" s="47" t="s">
        <v>1692</v>
      </c>
      <c r="F51" s="38"/>
      <c r="G51" s="42" t="str">
        <f t="shared" si="12"/>
        <v>Indoor Environment Quality</v>
      </c>
      <c r="H51" s="358">
        <v>1</v>
      </c>
      <c r="I51" s="43">
        <f t="shared" si="13"/>
        <v>0</v>
      </c>
      <c r="J51" s="44">
        <f t="shared" si="14"/>
        <v>0</v>
      </c>
      <c r="K51" s="29"/>
      <c r="L51" s="59" t="s">
        <v>1690</v>
      </c>
      <c r="M51" s="58">
        <f t="shared" si="10"/>
        <v>15</v>
      </c>
      <c r="N51" s="74">
        <f t="shared" si="11"/>
        <v>0</v>
      </c>
      <c r="O51" s="29"/>
      <c r="P51" s="29"/>
      <c r="Q51" s="29"/>
      <c r="V51" s="1"/>
      <c r="AD51" s="3"/>
    </row>
    <row r="52" spans="2:30">
      <c r="C52" s="46">
        <v>60</v>
      </c>
      <c r="D52" s="47" t="s">
        <v>1151</v>
      </c>
      <c r="F52" s="38"/>
      <c r="G52" s="42" t="str">
        <f t="shared" si="12"/>
        <v>Energy</v>
      </c>
      <c r="H52" s="358">
        <v>1</v>
      </c>
      <c r="I52" s="43">
        <f t="shared" si="13"/>
        <v>0</v>
      </c>
      <c r="J52" s="44">
        <f t="shared" si="14"/>
        <v>0</v>
      </c>
      <c r="K52" s="29"/>
      <c r="L52" s="64" t="s">
        <v>1692</v>
      </c>
      <c r="M52" s="58">
        <f t="shared" si="10"/>
        <v>15</v>
      </c>
      <c r="N52" s="74">
        <f t="shared" si="11"/>
        <v>0</v>
      </c>
      <c r="O52" s="29"/>
      <c r="P52" s="29"/>
      <c r="Q52" s="29"/>
      <c r="V52" s="1"/>
      <c r="AD52" s="3"/>
    </row>
    <row r="53" spans="2:30" ht="13.5" thickBot="1">
      <c r="C53" s="211">
        <v>75</v>
      </c>
      <c r="D53" s="48" t="s">
        <v>260</v>
      </c>
      <c r="F53" s="38"/>
      <c r="G53" s="42" t="str">
        <f t="shared" si="12"/>
        <v>Transport</v>
      </c>
      <c r="H53" s="358">
        <v>1</v>
      </c>
      <c r="I53" s="43">
        <f t="shared" si="13"/>
        <v>0</v>
      </c>
      <c r="J53" s="44">
        <f t="shared" si="14"/>
        <v>0</v>
      </c>
      <c r="K53" s="29"/>
      <c r="L53" s="64" t="s">
        <v>1151</v>
      </c>
      <c r="M53" s="58">
        <f t="shared" si="10"/>
        <v>15</v>
      </c>
      <c r="N53" s="74">
        <f t="shared" si="11"/>
        <v>0</v>
      </c>
      <c r="O53" s="29"/>
      <c r="P53" s="29"/>
      <c r="Q53" s="29"/>
      <c r="V53" s="1"/>
      <c r="AD53" s="3"/>
    </row>
    <row r="54" spans="2:30">
      <c r="B54" s="94" t="s">
        <v>259</v>
      </c>
      <c r="C54" s="212"/>
      <c r="F54" s="38"/>
      <c r="G54" s="42" t="str">
        <f t="shared" si="12"/>
        <v>Water</v>
      </c>
      <c r="H54" s="358">
        <v>1</v>
      </c>
      <c r="I54" s="43">
        <f t="shared" si="13"/>
        <v>0</v>
      </c>
      <c r="J54" s="44">
        <f t="shared" si="14"/>
        <v>0</v>
      </c>
      <c r="K54" s="29"/>
      <c r="L54" s="65" t="s">
        <v>1152</v>
      </c>
      <c r="M54" s="58">
        <f>100-C53</f>
        <v>25</v>
      </c>
      <c r="N54" s="74">
        <f t="shared" si="11"/>
        <v>0</v>
      </c>
      <c r="O54" s="29"/>
      <c r="P54" s="29"/>
      <c r="Q54" s="29"/>
      <c r="V54" s="1"/>
      <c r="AD54" s="3"/>
    </row>
    <row r="55" spans="2:30">
      <c r="B55" s="95" t="s">
        <v>1646</v>
      </c>
      <c r="C55" s="96" t="str">
        <f>IF(O44&gt;0,"ERROR - Check category sheets","")</f>
        <v/>
      </c>
      <c r="F55" s="38"/>
      <c r="G55" s="42" t="str">
        <f t="shared" si="12"/>
        <v>Materials</v>
      </c>
      <c r="H55" s="358">
        <v>1</v>
      </c>
      <c r="I55" s="43">
        <f t="shared" si="13"/>
        <v>0</v>
      </c>
      <c r="J55" s="44">
        <f t="shared" si="14"/>
        <v>0</v>
      </c>
      <c r="K55" s="29"/>
      <c r="L55" s="38"/>
      <c r="M55" s="29"/>
      <c r="N55" s="60"/>
      <c r="O55" s="29"/>
      <c r="P55" s="29"/>
      <c r="Q55" s="29"/>
      <c r="V55" s="1"/>
      <c r="AD55" s="3"/>
    </row>
    <row r="56" spans="2:30" ht="13.5" thickBot="1">
      <c r="B56" s="97"/>
      <c r="C56" s="98"/>
      <c r="F56" s="38"/>
      <c r="G56" s="42" t="str">
        <f t="shared" si="12"/>
        <v>Land use &amp; Ecology</v>
      </c>
      <c r="H56" s="358">
        <v>1</v>
      </c>
      <c r="I56" s="43">
        <f t="shared" si="13"/>
        <v>0</v>
      </c>
      <c r="J56" s="44">
        <f t="shared" si="14"/>
        <v>0</v>
      </c>
      <c r="K56" s="29"/>
      <c r="L56" s="75" t="s">
        <v>81</v>
      </c>
      <c r="M56" s="52"/>
      <c r="N56" s="67">
        <f>$K$44</f>
        <v>0</v>
      </c>
      <c r="O56" s="29"/>
      <c r="P56" s="29"/>
      <c r="Q56" s="29"/>
      <c r="V56" s="1"/>
      <c r="AD56" s="3"/>
    </row>
    <row r="57" spans="2:30">
      <c r="B57" s="95" t="s">
        <v>255</v>
      </c>
      <c r="C57" s="98"/>
      <c r="F57" s="38"/>
      <c r="G57" s="42" t="str">
        <f t="shared" si="12"/>
        <v>Emissions</v>
      </c>
      <c r="H57" s="358">
        <v>1</v>
      </c>
      <c r="I57" s="43">
        <f t="shared" si="13"/>
        <v>0</v>
      </c>
      <c r="J57" s="44">
        <f t="shared" si="14"/>
        <v>0</v>
      </c>
      <c r="K57" s="29"/>
      <c r="L57" s="29"/>
      <c r="M57" s="29"/>
      <c r="N57" s="29"/>
      <c r="O57" s="29"/>
      <c r="P57" s="29"/>
      <c r="Q57" s="29"/>
      <c r="V57" s="1"/>
      <c r="AD57" s="3"/>
    </row>
    <row r="58" spans="2:30" ht="13.5" thickBot="1">
      <c r="B58" s="99" t="str">
        <f>IF(B30="Yes","","Mandatory Requirements not met, Green Star SA Certified Rating not possible")</f>
        <v/>
      </c>
      <c r="C58" s="100"/>
      <c r="F58" s="50"/>
      <c r="G58" s="51"/>
      <c r="H58" s="52"/>
      <c r="I58" s="52"/>
      <c r="J58" s="53"/>
      <c r="K58" s="29"/>
      <c r="L58" s="29"/>
      <c r="M58" s="29"/>
      <c r="N58" s="29"/>
      <c r="O58" s="29"/>
      <c r="P58" s="29"/>
    </row>
    <row r="59" spans="2:30">
      <c r="J59" s="29"/>
      <c r="K59" s="29"/>
      <c r="L59" s="29"/>
      <c r="M59" s="29"/>
      <c r="N59" s="29"/>
      <c r="O59" s="29"/>
      <c r="P59" s="29"/>
    </row>
    <row r="60" spans="2:30">
      <c r="B60" s="88" t="s">
        <v>83</v>
      </c>
      <c r="C60" s="89"/>
      <c r="J60" s="29"/>
      <c r="K60" s="29"/>
      <c r="L60" s="29"/>
      <c r="M60" s="29"/>
      <c r="N60" s="29"/>
      <c r="O60" s="29"/>
      <c r="P60" s="29"/>
    </row>
    <row r="61" spans="2:30" ht="13.5" thickBot="1">
      <c r="B61" s="90" t="s">
        <v>84</v>
      </c>
      <c r="C61" s="91" t="str">
        <f>VLOOKUP($H$44,$C$47:$D$53,2)</f>
        <v>No Rating</v>
      </c>
      <c r="F61" s="83" t="s">
        <v>256</v>
      </c>
      <c r="G61" s="29"/>
      <c r="H61" s="29"/>
      <c r="I61" s="29"/>
      <c r="J61" s="29"/>
      <c r="K61" s="29"/>
      <c r="L61" s="83" t="s">
        <v>256</v>
      </c>
      <c r="M61" s="29"/>
      <c r="N61" s="29"/>
      <c r="O61" s="29"/>
      <c r="P61" s="29"/>
    </row>
    <row r="62" spans="2:30">
      <c r="B62" s="92" t="s">
        <v>85</v>
      </c>
      <c r="C62" s="93" t="str">
        <f>VLOOKUP($N$44,$C$47:$D$53,2)</f>
        <v>No Rating</v>
      </c>
      <c r="F62" s="55" t="s">
        <v>78</v>
      </c>
      <c r="G62" s="56"/>
      <c r="H62" s="34"/>
      <c r="I62" s="34"/>
      <c r="J62" s="35"/>
      <c r="L62" s="32" t="s">
        <v>79</v>
      </c>
      <c r="M62" s="34"/>
      <c r="N62" s="34"/>
      <c r="O62" s="34"/>
      <c r="P62" s="35"/>
    </row>
    <row r="63" spans="2:30">
      <c r="F63" s="38"/>
      <c r="G63" s="18"/>
      <c r="H63" s="29"/>
      <c r="I63" s="29"/>
      <c r="J63" s="41"/>
      <c r="L63" s="38"/>
      <c r="M63" s="29"/>
      <c r="N63" s="29"/>
      <c r="O63" s="29"/>
      <c r="P63" s="39"/>
    </row>
    <row r="64" spans="2:30">
      <c r="B64" s="49" t="s">
        <v>261</v>
      </c>
      <c r="F64" s="38"/>
      <c r="G64" s="18"/>
      <c r="H64" s="40" t="s">
        <v>80</v>
      </c>
      <c r="I64" s="40" t="s">
        <v>1688</v>
      </c>
      <c r="J64" s="41" t="s">
        <v>1689</v>
      </c>
      <c r="L64" s="38"/>
      <c r="M64" s="29"/>
      <c r="N64" s="40" t="s">
        <v>80</v>
      </c>
      <c r="O64" s="40" t="s">
        <v>1688</v>
      </c>
      <c r="P64" s="41" t="s">
        <v>1689</v>
      </c>
    </row>
    <row r="65" spans="1:16">
      <c r="B65" s="1" t="str">
        <f>IF((OR(('Energy Calculator'!I5="Not Achieved"), ('Land Use &amp; Ecology'!H5="Eco- Conditional Requirement NOT met"))),"Conditional requirements not met.",IF(H44&lt;C51,"Minimal standards for Green Star SA certification not met.",
"Once certified, this score would equate to a " &amp; C61 &amp; " rating."))</f>
        <v>Conditional requirements not met.</v>
      </c>
      <c r="F65" s="38"/>
      <c r="G65" s="42" t="str">
        <f>B34</f>
        <v>Management</v>
      </c>
      <c r="H65" s="18">
        <f>E34</f>
        <v>14</v>
      </c>
      <c r="I65" s="29"/>
      <c r="J65" s="60"/>
      <c r="L65" s="38"/>
      <c r="M65" s="42" t="str">
        <f>B34</f>
        <v>Management</v>
      </c>
      <c r="O65" s="29"/>
      <c r="P65" s="39"/>
    </row>
    <row r="66" spans="1:16">
      <c r="F66" s="38"/>
      <c r="G66" s="42"/>
      <c r="H66" s="29"/>
      <c r="I66" s="18">
        <f>F34</f>
        <v>0</v>
      </c>
      <c r="J66" s="60">
        <f>I34</f>
        <v>0</v>
      </c>
      <c r="L66" s="38"/>
      <c r="M66" s="42"/>
      <c r="N66" s="61">
        <f>D34</f>
        <v>9</v>
      </c>
      <c r="O66" s="62">
        <f>H34</f>
        <v>0</v>
      </c>
      <c r="P66" s="63">
        <f>K34</f>
        <v>0</v>
      </c>
    </row>
    <row r="67" spans="1:16">
      <c r="F67" s="38"/>
      <c r="G67" s="42" t="s">
        <v>95</v>
      </c>
      <c r="H67" s="18">
        <f>E35</f>
        <v>28</v>
      </c>
      <c r="I67" s="29"/>
      <c r="J67" s="60"/>
      <c r="L67" s="38"/>
      <c r="M67" s="42" t="s">
        <v>95</v>
      </c>
      <c r="N67" s="29"/>
      <c r="O67" s="29"/>
      <c r="P67" s="39"/>
    </row>
    <row r="68" spans="1:16">
      <c r="F68" s="38"/>
      <c r="G68" s="42"/>
      <c r="H68" s="29"/>
      <c r="I68" s="18">
        <f>F35</f>
        <v>0</v>
      </c>
      <c r="J68" s="60">
        <f>I35</f>
        <v>0</v>
      </c>
      <c r="L68" s="38"/>
      <c r="M68" s="42"/>
      <c r="N68" s="61">
        <f>D35</f>
        <v>15</v>
      </c>
      <c r="O68" s="62">
        <f>H35</f>
        <v>0</v>
      </c>
      <c r="P68" s="63">
        <f>K35</f>
        <v>0</v>
      </c>
    </row>
    <row r="69" spans="1:16">
      <c r="F69" s="38"/>
      <c r="G69" s="42" t="str">
        <f>B36</f>
        <v>Energy</v>
      </c>
      <c r="H69" s="18">
        <f>E36</f>
        <v>30</v>
      </c>
      <c r="I69" s="29"/>
      <c r="J69" s="60"/>
      <c r="L69" s="38"/>
      <c r="M69" s="42" t="str">
        <f>B36</f>
        <v>Energy</v>
      </c>
      <c r="N69" s="29"/>
      <c r="O69" s="29"/>
      <c r="P69" s="39"/>
    </row>
    <row r="70" spans="1:16">
      <c r="B70" s="277" t="s">
        <v>1099</v>
      </c>
      <c r="F70" s="38"/>
      <c r="G70" s="42"/>
      <c r="H70" s="29"/>
      <c r="I70" s="18">
        <f>F36</f>
        <v>0</v>
      </c>
      <c r="J70" s="60">
        <f>I36</f>
        <v>0</v>
      </c>
      <c r="L70" s="38"/>
      <c r="M70" s="42"/>
      <c r="N70" s="61">
        <f>D36</f>
        <v>25</v>
      </c>
      <c r="O70" s="62">
        <f>H36</f>
        <v>0</v>
      </c>
      <c r="P70" s="63">
        <f>K36</f>
        <v>0</v>
      </c>
    </row>
    <row r="71" spans="1:16">
      <c r="B71" s="277" t="s">
        <v>1100</v>
      </c>
      <c r="C71" s="1" t="str">
        <f>IF('Energy Calculator'!I5="Not Achieved","Not met","Met")</f>
        <v>Not met</v>
      </c>
      <c r="F71" s="38"/>
      <c r="G71" s="42" t="str">
        <f>B37</f>
        <v>Transport</v>
      </c>
      <c r="H71" s="18">
        <f>E37</f>
        <v>14</v>
      </c>
      <c r="I71" s="29"/>
      <c r="J71" s="60"/>
      <c r="L71" s="38"/>
      <c r="M71" s="42" t="str">
        <f>B37</f>
        <v>Transport</v>
      </c>
      <c r="N71" s="29"/>
      <c r="O71" s="29"/>
      <c r="P71" s="39"/>
    </row>
    <row r="72" spans="1:16">
      <c r="B72" s="19" t="s">
        <v>1101</v>
      </c>
      <c r="C72" s="1" t="str">
        <f>IF('Land Use &amp; Ecology'!H5="Eco- Conditional Requirement met","Met","Not met")</f>
        <v>Not met</v>
      </c>
      <c r="D72" s="29"/>
      <c r="F72" s="38"/>
      <c r="G72" s="42"/>
      <c r="H72" s="29"/>
      <c r="I72" s="18">
        <f>F37</f>
        <v>0</v>
      </c>
      <c r="J72" s="60">
        <f>I37</f>
        <v>0</v>
      </c>
      <c r="L72" s="38"/>
      <c r="M72" s="42"/>
      <c r="N72" s="61">
        <f>D37</f>
        <v>9</v>
      </c>
      <c r="O72" s="62">
        <f>H37</f>
        <v>0</v>
      </c>
      <c r="P72" s="63">
        <f>K37</f>
        <v>0</v>
      </c>
    </row>
    <row r="73" spans="1:16">
      <c r="D73" s="58"/>
      <c r="F73" s="38"/>
      <c r="G73" s="42" t="str">
        <f>B38</f>
        <v>Water</v>
      </c>
      <c r="H73" s="18">
        <f>E38</f>
        <v>15</v>
      </c>
      <c r="I73" s="29"/>
      <c r="J73" s="60"/>
      <c r="L73" s="38"/>
      <c r="M73" s="42" t="str">
        <f>B38</f>
        <v>Water</v>
      </c>
      <c r="N73" s="29"/>
      <c r="O73" s="29"/>
      <c r="P73" s="39"/>
    </row>
    <row r="74" spans="1:16">
      <c r="D74" s="58"/>
      <c r="F74" s="38"/>
      <c r="G74" s="42"/>
      <c r="H74" s="29"/>
      <c r="I74" s="18">
        <f>F38</f>
        <v>0</v>
      </c>
      <c r="J74" s="60">
        <f>I38</f>
        <v>0</v>
      </c>
      <c r="L74" s="38"/>
      <c r="M74" s="42"/>
      <c r="N74" s="61">
        <f>D38</f>
        <v>14.000000000000002</v>
      </c>
      <c r="O74" s="62">
        <f>H38</f>
        <v>0</v>
      </c>
      <c r="P74" s="63">
        <f>K38</f>
        <v>0</v>
      </c>
    </row>
    <row r="75" spans="1:16">
      <c r="F75" s="38"/>
      <c r="G75" s="42" t="str">
        <f>B39</f>
        <v>Materials</v>
      </c>
      <c r="H75" s="18">
        <f>E39</f>
        <v>22</v>
      </c>
      <c r="I75" s="29"/>
      <c r="J75" s="60"/>
      <c r="L75" s="38"/>
      <c r="M75" s="42" t="str">
        <f>B39</f>
        <v>Materials</v>
      </c>
      <c r="N75" s="29"/>
      <c r="O75" s="29"/>
      <c r="P75" s="39"/>
    </row>
    <row r="76" spans="1:16">
      <c r="B76" s="68"/>
      <c r="C76" s="69"/>
      <c r="F76" s="38"/>
      <c r="G76" s="42"/>
      <c r="H76" s="29"/>
      <c r="I76" s="18">
        <f>F39</f>
        <v>0</v>
      </c>
      <c r="J76" s="60">
        <f>I39</f>
        <v>0</v>
      </c>
      <c r="L76" s="38"/>
      <c r="M76" s="42"/>
      <c r="N76" s="61">
        <f>D39</f>
        <v>13</v>
      </c>
      <c r="O76" s="62">
        <f>H39</f>
        <v>0</v>
      </c>
      <c r="P76" s="63">
        <f>K39</f>
        <v>0</v>
      </c>
    </row>
    <row r="77" spans="1:16">
      <c r="F77" s="38"/>
      <c r="G77" s="42" t="str">
        <f>B40</f>
        <v>Land use &amp; Ecology</v>
      </c>
      <c r="H77" s="18">
        <f>E40</f>
        <v>9</v>
      </c>
      <c r="I77" s="29"/>
      <c r="J77" s="60"/>
      <c r="L77" s="38"/>
      <c r="M77" s="42" t="str">
        <f>B40</f>
        <v>Land use &amp; Ecology</v>
      </c>
      <c r="N77" s="29"/>
      <c r="O77" s="29"/>
      <c r="P77" s="39"/>
    </row>
    <row r="78" spans="1:16">
      <c r="F78" s="38"/>
      <c r="G78" s="42"/>
      <c r="H78" s="29"/>
      <c r="I78" s="18">
        <f>F40</f>
        <v>0</v>
      </c>
      <c r="J78" s="66">
        <f>I40</f>
        <v>0</v>
      </c>
      <c r="L78" s="38"/>
      <c r="M78" s="42"/>
      <c r="N78" s="61">
        <f>D40</f>
        <v>7.0000000000000009</v>
      </c>
      <c r="O78" s="62">
        <f>H40</f>
        <v>0</v>
      </c>
      <c r="P78" s="63">
        <f>K40</f>
        <v>0</v>
      </c>
    </row>
    <row r="79" spans="1:16">
      <c r="A79" s="1" t="s">
        <v>1718</v>
      </c>
      <c r="F79" s="38"/>
      <c r="G79" s="40" t="str">
        <f>B41</f>
        <v>Emissions</v>
      </c>
      <c r="H79" s="18">
        <f>E41</f>
        <v>17</v>
      </c>
      <c r="I79" s="29"/>
      <c r="J79" s="60"/>
      <c r="L79" s="38"/>
      <c r="M79" s="42" t="str">
        <f>B41</f>
        <v>Emissions</v>
      </c>
      <c r="N79" s="29"/>
      <c r="O79" s="29"/>
      <c r="P79" s="39"/>
    </row>
    <row r="80" spans="1:16">
      <c r="A80" s="1" t="s">
        <v>65</v>
      </c>
      <c r="F80" s="38"/>
      <c r="G80" s="18"/>
      <c r="H80" s="40"/>
      <c r="I80" s="18">
        <f>F41</f>
        <v>0</v>
      </c>
      <c r="J80" s="60">
        <f>I41</f>
        <v>0</v>
      </c>
      <c r="L80" s="38"/>
      <c r="M80" s="42"/>
      <c r="N80" s="61">
        <f>D41</f>
        <v>8</v>
      </c>
      <c r="O80" s="62">
        <f>H41</f>
        <v>0</v>
      </c>
      <c r="P80" s="63">
        <f>K41</f>
        <v>0</v>
      </c>
    </row>
    <row r="81" spans="1:16" ht="13.5" thickBot="1">
      <c r="A81" s="1" t="s">
        <v>265</v>
      </c>
      <c r="F81" s="50"/>
      <c r="G81" s="52"/>
      <c r="H81" s="52"/>
      <c r="I81" s="52"/>
      <c r="J81" s="53"/>
      <c r="L81" s="50"/>
      <c r="M81" s="52"/>
      <c r="N81" s="52"/>
      <c r="O81" s="52"/>
      <c r="P81" s="53"/>
    </row>
    <row r="86" spans="1:16">
      <c r="B86" s="1">
        <v>1</v>
      </c>
      <c r="C86" s="277" t="s">
        <v>1033</v>
      </c>
    </row>
    <row r="87" spans="1:16">
      <c r="B87" s="1">
        <v>2</v>
      </c>
      <c r="C87" s="1" t="s">
        <v>486</v>
      </c>
    </row>
    <row r="88" spans="1:16">
      <c r="B88" s="1">
        <v>3</v>
      </c>
      <c r="C88" s="1" t="s">
        <v>487</v>
      </c>
    </row>
    <row r="89" spans="1:16">
      <c r="B89" s="1">
        <v>4</v>
      </c>
      <c r="C89" s="1" t="s">
        <v>488</v>
      </c>
    </row>
    <row r="90" spans="1:16">
      <c r="B90" s="1">
        <v>5</v>
      </c>
      <c r="C90" s="1" t="s">
        <v>1158</v>
      </c>
    </row>
    <row r="91" spans="1:16">
      <c r="B91" s="1">
        <v>6</v>
      </c>
      <c r="C91" s="1" t="s">
        <v>1159</v>
      </c>
    </row>
    <row r="92" spans="1:16">
      <c r="B92" s="1">
        <v>7</v>
      </c>
      <c r="C92" s="1" t="s">
        <v>1160</v>
      </c>
    </row>
    <row r="96" spans="1:16">
      <c r="D96" s="1006" t="s">
        <v>1161</v>
      </c>
    </row>
    <row r="97" spans="3:4">
      <c r="C97" s="1">
        <v>1</v>
      </c>
      <c r="D97" s="1" t="s">
        <v>1162</v>
      </c>
    </row>
    <row r="98" spans="3:4">
      <c r="C98" s="1">
        <v>2</v>
      </c>
      <c r="D98" s="1" t="s">
        <v>1163</v>
      </c>
    </row>
    <row r="99" spans="3:4">
      <c r="C99" s="1">
        <v>3</v>
      </c>
      <c r="D99" s="1" t="s">
        <v>1164</v>
      </c>
    </row>
    <row r="100" spans="3:4">
      <c r="C100" s="1">
        <v>4</v>
      </c>
      <c r="D100" s="277" t="s">
        <v>368</v>
      </c>
    </row>
  </sheetData>
  <sheetProtection selectLockedCells="1" selectUnlockedCells="1"/>
  <mergeCells count="2">
    <mergeCell ref="L27:M27"/>
    <mergeCell ref="K31:L31"/>
  </mergeCells>
  <phoneticPr fontId="7" type="noConversion"/>
  <pageMargins left="0.39370078740157483" right="0.39370078740157483" top="0.39370078740157483" bottom="0.78740157480314965" header="0.39370078740157483" footer="0.39370078740157483"/>
  <pageSetup paperSize="9" scale="58" fitToHeight="2" orientation="landscape" blackAndWhite="1" horizontalDpi="300" verticalDpi="300" r:id="rId1"/>
  <headerFooter alignWithMargins="0">
    <oddFooter>&amp;L&amp;F&amp;C&amp;P&amp;N&amp;R&amp;A</oddFooter>
  </headerFooter>
  <rowBreaks count="1" manualBreakCount="1">
    <brk id="45" max="16383" man="1"/>
  </rowBreaks>
  <colBreaks count="1" manualBreakCount="1">
    <brk id="1"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36"/>
  <sheetViews>
    <sheetView topLeftCell="A16" workbookViewId="0">
      <selection activeCell="O11" sqref="O11"/>
    </sheetView>
  </sheetViews>
  <sheetFormatPr defaultColWidth="8" defaultRowHeight="15"/>
  <cols>
    <col min="1" max="1" width="4.375" style="978" customWidth="1"/>
    <col min="2" max="2" width="18.875" style="978" customWidth="1"/>
    <col min="3" max="10" width="8" style="978"/>
    <col min="11" max="11" width="9.75" style="978" customWidth="1"/>
    <col min="12" max="12" width="8" style="978"/>
    <col min="13" max="13" width="11.375" style="978" customWidth="1"/>
    <col min="14" max="14" width="8.75" style="978" customWidth="1"/>
    <col min="15" max="15" width="10" style="978" customWidth="1"/>
    <col min="16" max="16" width="11.75" style="978" customWidth="1"/>
    <col min="17" max="16384" width="8" style="978"/>
  </cols>
  <sheetData>
    <row r="1" spans="1:17">
      <c r="B1" s="977" t="s">
        <v>1181</v>
      </c>
    </row>
    <row r="2" spans="1:17" ht="45">
      <c r="C2" s="979" t="s">
        <v>1182</v>
      </c>
      <c r="D2" s="979" t="s">
        <v>1245</v>
      </c>
      <c r="E2" s="979" t="s">
        <v>712</v>
      </c>
      <c r="F2" s="979" t="s">
        <v>713</v>
      </c>
      <c r="G2" s="979" t="s">
        <v>579</v>
      </c>
      <c r="H2" s="979" t="s">
        <v>714</v>
      </c>
      <c r="I2" s="979" t="s">
        <v>718</v>
      </c>
      <c r="J2" s="979" t="s">
        <v>719</v>
      </c>
      <c r="K2" s="979" t="s">
        <v>1246</v>
      </c>
      <c r="L2" s="979" t="s">
        <v>1247</v>
      </c>
      <c r="M2" s="979" t="s">
        <v>1248</v>
      </c>
      <c r="N2" s="979" t="s">
        <v>1249</v>
      </c>
      <c r="O2" s="980" t="s">
        <v>967</v>
      </c>
      <c r="P2" s="981" t="s">
        <v>1250</v>
      </c>
      <c r="Q2" s="982"/>
    </row>
    <row r="3" spans="1:17">
      <c r="A3" s="978">
        <v>1</v>
      </c>
      <c r="C3" s="979"/>
      <c r="D3" s="979"/>
      <c r="E3" s="979"/>
      <c r="F3" s="979"/>
      <c r="G3" s="979"/>
      <c r="H3" s="979"/>
      <c r="I3" s="979"/>
      <c r="J3" s="979"/>
      <c r="K3" s="979"/>
      <c r="L3" s="979"/>
      <c r="M3" s="979"/>
      <c r="N3" s="979"/>
      <c r="O3" s="980"/>
      <c r="P3" s="981"/>
      <c r="Q3" s="982"/>
    </row>
    <row r="4" spans="1:17">
      <c r="A4" s="978">
        <v>2</v>
      </c>
      <c r="B4" s="983" t="s">
        <v>1251</v>
      </c>
      <c r="C4" s="984">
        <v>35</v>
      </c>
      <c r="D4" s="984">
        <v>30</v>
      </c>
      <c r="E4" s="984">
        <v>30</v>
      </c>
      <c r="F4" s="984">
        <v>20</v>
      </c>
      <c r="G4" s="984">
        <v>11</v>
      </c>
      <c r="H4" s="984">
        <v>8</v>
      </c>
      <c r="I4" s="984">
        <v>9</v>
      </c>
      <c r="J4" s="984">
        <v>14</v>
      </c>
      <c r="K4" s="984">
        <v>12</v>
      </c>
      <c r="L4" s="984">
        <v>21</v>
      </c>
      <c r="M4" s="984">
        <v>27</v>
      </c>
      <c r="N4" s="984">
        <v>19</v>
      </c>
      <c r="O4" s="985">
        <f t="shared" ref="O4:O25" si="0">SUM(C4:N4)</f>
        <v>236</v>
      </c>
      <c r="P4" s="984">
        <v>43</v>
      </c>
    </row>
    <row r="5" spans="1:17">
      <c r="A5" s="978">
        <v>3</v>
      </c>
      <c r="B5" s="983" t="s">
        <v>1252</v>
      </c>
      <c r="C5" s="984">
        <v>120</v>
      </c>
      <c r="D5" s="984">
        <v>84</v>
      </c>
      <c r="E5" s="984">
        <v>74</v>
      </c>
      <c r="F5" s="984">
        <v>37</v>
      </c>
      <c r="G5" s="984">
        <v>7</v>
      </c>
      <c r="H5" s="984">
        <v>6</v>
      </c>
      <c r="I5" s="984">
        <v>2</v>
      </c>
      <c r="J5" s="984">
        <v>5</v>
      </c>
      <c r="K5" s="984">
        <v>16</v>
      </c>
      <c r="L5" s="984">
        <v>58</v>
      </c>
      <c r="M5" s="984">
        <v>101</v>
      </c>
      <c r="N5" s="984">
        <v>124</v>
      </c>
      <c r="O5" s="985">
        <f t="shared" si="0"/>
        <v>634</v>
      </c>
      <c r="P5" s="984">
        <v>74</v>
      </c>
    </row>
    <row r="6" spans="1:17">
      <c r="A6" s="978">
        <v>4</v>
      </c>
      <c r="B6" s="983" t="s">
        <v>1253</v>
      </c>
      <c r="C6" s="984">
        <v>170</v>
      </c>
      <c r="D6" s="984">
        <v>101</v>
      </c>
      <c r="E6" s="984">
        <v>83</v>
      </c>
      <c r="F6" s="984">
        <v>53</v>
      </c>
      <c r="G6" s="984">
        <v>16</v>
      </c>
      <c r="H6" s="984">
        <v>7</v>
      </c>
      <c r="I6" s="984">
        <v>5</v>
      </c>
      <c r="J6" s="984">
        <v>9</v>
      </c>
      <c r="K6" s="984">
        <v>33</v>
      </c>
      <c r="L6" s="984">
        <v>93</v>
      </c>
      <c r="M6" s="984">
        <v>156</v>
      </c>
      <c r="N6" s="984">
        <v>152</v>
      </c>
      <c r="O6" s="985">
        <f t="shared" si="0"/>
        <v>878</v>
      </c>
      <c r="P6" s="984">
        <v>83</v>
      </c>
    </row>
    <row r="7" spans="1:17">
      <c r="A7" s="978">
        <v>5</v>
      </c>
      <c r="B7" s="983" t="s">
        <v>1254</v>
      </c>
      <c r="C7" s="984">
        <v>146</v>
      </c>
      <c r="D7" s="984">
        <v>75</v>
      </c>
      <c r="E7" s="984">
        <v>61</v>
      </c>
      <c r="F7" s="984">
        <v>48</v>
      </c>
      <c r="G7" s="984">
        <v>14</v>
      </c>
      <c r="H7" s="984">
        <v>7</v>
      </c>
      <c r="I7" s="984">
        <v>6</v>
      </c>
      <c r="J7" s="984">
        <v>13</v>
      </c>
      <c r="K7" s="984">
        <v>28</v>
      </c>
      <c r="L7" s="984">
        <v>78</v>
      </c>
      <c r="M7" s="984">
        <v>129</v>
      </c>
      <c r="N7" s="984">
        <v>106</v>
      </c>
      <c r="O7" s="985">
        <f t="shared" si="0"/>
        <v>711</v>
      </c>
      <c r="P7" s="984">
        <v>90</v>
      </c>
    </row>
    <row r="8" spans="1:17">
      <c r="A8" s="978">
        <v>6</v>
      </c>
      <c r="B8" s="983" t="s">
        <v>1179</v>
      </c>
      <c r="C8" s="984">
        <v>96</v>
      </c>
      <c r="D8" s="984">
        <v>77</v>
      </c>
      <c r="E8" s="984">
        <v>94</v>
      </c>
      <c r="F8" s="984">
        <v>58</v>
      </c>
      <c r="G8" s="984">
        <v>9</v>
      </c>
      <c r="H8" s="984">
        <v>12</v>
      </c>
      <c r="I8" s="984">
        <v>7</v>
      </c>
      <c r="J8" s="984">
        <v>27</v>
      </c>
      <c r="K8" s="984">
        <v>35</v>
      </c>
      <c r="L8" s="984">
        <v>83</v>
      </c>
      <c r="M8" s="984">
        <v>96</v>
      </c>
      <c r="N8" s="984">
        <v>86</v>
      </c>
      <c r="O8" s="985">
        <f t="shared" si="0"/>
        <v>680</v>
      </c>
      <c r="P8" s="984">
        <v>98</v>
      </c>
    </row>
    <row r="9" spans="1:17">
      <c r="A9" s="978">
        <v>7</v>
      </c>
      <c r="B9" s="983" t="s">
        <v>1255</v>
      </c>
      <c r="C9" s="984">
        <v>83</v>
      </c>
      <c r="D9" s="984">
        <v>111</v>
      </c>
      <c r="E9" s="984">
        <v>72</v>
      </c>
      <c r="F9" s="984">
        <v>56</v>
      </c>
      <c r="G9" s="984">
        <v>17</v>
      </c>
      <c r="H9" s="984">
        <v>12</v>
      </c>
      <c r="I9" s="984">
        <v>8</v>
      </c>
      <c r="J9" s="984">
        <v>15</v>
      </c>
      <c r="K9" s="984">
        <v>24</v>
      </c>
      <c r="L9" s="984">
        <v>43</v>
      </c>
      <c r="M9" s="984">
        <v>58</v>
      </c>
      <c r="N9" s="984">
        <v>60</v>
      </c>
      <c r="O9" s="985">
        <f t="shared" si="0"/>
        <v>559</v>
      </c>
      <c r="P9" s="984">
        <v>84</v>
      </c>
    </row>
    <row r="10" spans="1:17">
      <c r="A10" s="978">
        <v>8</v>
      </c>
      <c r="B10" s="983" t="s">
        <v>1256</v>
      </c>
      <c r="C10" s="984">
        <v>14</v>
      </c>
      <c r="D10" s="984">
        <v>12</v>
      </c>
      <c r="E10" s="984">
        <v>26</v>
      </c>
      <c r="F10" s="984">
        <v>27</v>
      </c>
      <c r="G10" s="984">
        <v>22</v>
      </c>
      <c r="H10" s="984">
        <v>34</v>
      </c>
      <c r="I10" s="984">
        <v>23</v>
      </c>
      <c r="J10" s="984">
        <v>24</v>
      </c>
      <c r="K10" s="984">
        <v>13</v>
      </c>
      <c r="L10" s="984">
        <v>11</v>
      </c>
      <c r="M10" s="984">
        <v>13</v>
      </c>
      <c r="N10" s="984">
        <v>9</v>
      </c>
      <c r="O10" s="985">
        <f t="shared" si="0"/>
        <v>228</v>
      </c>
      <c r="P10" s="984">
        <v>50</v>
      </c>
    </row>
    <row r="11" spans="1:17">
      <c r="A11" s="978">
        <v>9</v>
      </c>
      <c r="B11" s="983" t="s">
        <v>1180</v>
      </c>
      <c r="C11" s="984">
        <v>15</v>
      </c>
      <c r="D11" s="984">
        <v>17</v>
      </c>
      <c r="E11" s="984">
        <v>20</v>
      </c>
      <c r="F11" s="984">
        <v>41</v>
      </c>
      <c r="G11" s="984">
        <v>69</v>
      </c>
      <c r="H11" s="984">
        <v>93</v>
      </c>
      <c r="I11" s="984">
        <v>82</v>
      </c>
      <c r="J11" s="984">
        <v>77</v>
      </c>
      <c r="K11" s="984">
        <v>40</v>
      </c>
      <c r="L11" s="984">
        <v>30</v>
      </c>
      <c r="M11" s="984">
        <v>14</v>
      </c>
      <c r="N11" s="984">
        <v>17</v>
      </c>
      <c r="O11" s="985">
        <f t="shared" si="0"/>
        <v>515</v>
      </c>
      <c r="P11" s="984">
        <v>103</v>
      </c>
    </row>
    <row r="12" spans="1:17">
      <c r="A12" s="978">
        <v>10</v>
      </c>
      <c r="B12" s="983" t="s">
        <v>1257</v>
      </c>
      <c r="C12" s="984">
        <v>36</v>
      </c>
      <c r="D12" s="984">
        <v>60</v>
      </c>
      <c r="E12" s="984">
        <v>52</v>
      </c>
      <c r="F12" s="984">
        <v>41</v>
      </c>
      <c r="G12" s="984">
        <v>16</v>
      </c>
      <c r="H12" s="984">
        <v>13</v>
      </c>
      <c r="I12" s="984">
        <v>13</v>
      </c>
      <c r="J12" s="984">
        <v>15</v>
      </c>
      <c r="K12" s="984">
        <v>11</v>
      </c>
      <c r="L12" s="984">
        <v>26</v>
      </c>
      <c r="M12" s="984">
        <v>30</v>
      </c>
      <c r="N12" s="984">
        <v>23</v>
      </c>
      <c r="O12" s="985">
        <f t="shared" si="0"/>
        <v>336</v>
      </c>
      <c r="P12" s="984">
        <v>55</v>
      </c>
    </row>
    <row r="13" spans="1:17">
      <c r="A13" s="978">
        <v>11</v>
      </c>
      <c r="B13" s="983" t="s">
        <v>1258</v>
      </c>
      <c r="C13" s="984">
        <v>134</v>
      </c>
      <c r="D13" s="984">
        <v>113</v>
      </c>
      <c r="E13" s="984">
        <v>120</v>
      </c>
      <c r="F13" s="984">
        <v>73</v>
      </c>
      <c r="G13" s="984">
        <v>59</v>
      </c>
      <c r="H13" s="984">
        <v>28</v>
      </c>
      <c r="I13" s="984">
        <v>39</v>
      </c>
      <c r="J13" s="984">
        <v>62</v>
      </c>
      <c r="K13" s="984">
        <v>73</v>
      </c>
      <c r="L13" s="984">
        <v>98</v>
      </c>
      <c r="M13" s="984">
        <v>108</v>
      </c>
      <c r="N13" s="984">
        <v>102</v>
      </c>
      <c r="O13" s="985">
        <f t="shared" si="0"/>
        <v>1009</v>
      </c>
      <c r="P13" s="984">
        <v>130</v>
      </c>
    </row>
    <row r="14" spans="1:17">
      <c r="A14" s="978">
        <v>12</v>
      </c>
      <c r="B14" s="983" t="s">
        <v>1259</v>
      </c>
      <c r="C14" s="984">
        <v>69</v>
      </c>
      <c r="D14" s="984">
        <v>92</v>
      </c>
      <c r="E14" s="984">
        <v>105</v>
      </c>
      <c r="F14" s="984">
        <v>83</v>
      </c>
      <c r="G14" s="984">
        <v>52</v>
      </c>
      <c r="H14" s="984">
        <v>40</v>
      </c>
      <c r="I14" s="984">
        <v>47</v>
      </c>
      <c r="J14" s="984">
        <v>78</v>
      </c>
      <c r="K14" s="984">
        <v>80</v>
      </c>
      <c r="L14" s="984">
        <v>102</v>
      </c>
      <c r="M14" s="984">
        <v>110</v>
      </c>
      <c r="N14" s="984">
        <v>63</v>
      </c>
      <c r="O14" s="985">
        <f t="shared" si="0"/>
        <v>921</v>
      </c>
      <c r="P14" s="984">
        <v>121</v>
      </c>
    </row>
    <row r="15" spans="1:17">
      <c r="A15" s="978">
        <v>13</v>
      </c>
      <c r="B15" s="983" t="s">
        <v>1260</v>
      </c>
      <c r="C15" s="984">
        <v>63</v>
      </c>
      <c r="D15" s="984">
        <v>59</v>
      </c>
      <c r="E15" s="984">
        <v>69</v>
      </c>
      <c r="F15" s="984">
        <v>71</v>
      </c>
      <c r="G15" s="984">
        <v>53</v>
      </c>
      <c r="H15" s="984">
        <v>45</v>
      </c>
      <c r="I15" s="984">
        <v>43</v>
      </c>
      <c r="J15" s="984">
        <v>68</v>
      </c>
      <c r="K15" s="984">
        <v>60</v>
      </c>
      <c r="L15" s="984">
        <v>64</v>
      </c>
      <c r="M15" s="984">
        <v>61</v>
      </c>
      <c r="N15" s="984">
        <v>59</v>
      </c>
      <c r="O15" s="985">
        <f t="shared" si="0"/>
        <v>715</v>
      </c>
      <c r="P15" s="984">
        <v>121</v>
      </c>
    </row>
    <row r="16" spans="1:17">
      <c r="A16" s="978">
        <v>14</v>
      </c>
      <c r="B16" s="983" t="s">
        <v>1261</v>
      </c>
      <c r="C16" s="984">
        <v>125</v>
      </c>
      <c r="D16" s="984">
        <v>90</v>
      </c>
      <c r="E16" s="984">
        <v>91</v>
      </c>
      <c r="F16" s="984">
        <v>54</v>
      </c>
      <c r="G16" s="984">
        <v>13</v>
      </c>
      <c r="H16" s="984">
        <v>9</v>
      </c>
      <c r="I16" s="984">
        <v>4</v>
      </c>
      <c r="J16" s="984">
        <v>6</v>
      </c>
      <c r="K16" s="984">
        <v>27</v>
      </c>
      <c r="L16" s="984">
        <v>72</v>
      </c>
      <c r="M16" s="984">
        <v>117</v>
      </c>
      <c r="N16" s="984">
        <v>105</v>
      </c>
      <c r="O16" s="985">
        <f t="shared" si="0"/>
        <v>713</v>
      </c>
      <c r="P16" s="984">
        <v>99</v>
      </c>
    </row>
    <row r="17" spans="1:16">
      <c r="A17" s="978">
        <v>15</v>
      </c>
      <c r="B17" s="983" t="s">
        <v>1262</v>
      </c>
      <c r="C17" s="984">
        <v>57</v>
      </c>
      <c r="D17" s="984">
        <v>76</v>
      </c>
      <c r="E17" s="984">
        <v>65</v>
      </c>
      <c r="F17" s="984">
        <v>49</v>
      </c>
      <c r="G17" s="984">
        <v>16</v>
      </c>
      <c r="H17" s="984">
        <v>7</v>
      </c>
      <c r="I17" s="984">
        <v>7</v>
      </c>
      <c r="J17" s="984">
        <v>7</v>
      </c>
      <c r="K17" s="984">
        <v>12</v>
      </c>
      <c r="L17" s="984">
        <v>30</v>
      </c>
      <c r="M17" s="984">
        <v>42</v>
      </c>
      <c r="N17" s="984">
        <v>46</v>
      </c>
      <c r="O17" s="985">
        <f t="shared" si="0"/>
        <v>414</v>
      </c>
      <c r="P17" s="984">
        <v>71</v>
      </c>
    </row>
    <row r="18" spans="1:16">
      <c r="A18" s="978">
        <v>16</v>
      </c>
      <c r="B18" s="983" t="s">
        <v>1263</v>
      </c>
      <c r="C18" s="984">
        <v>145</v>
      </c>
      <c r="D18" s="984">
        <v>106</v>
      </c>
      <c r="E18" s="984">
        <v>90</v>
      </c>
      <c r="F18" s="984">
        <v>39</v>
      </c>
      <c r="G18" s="984">
        <v>14</v>
      </c>
      <c r="H18" s="984">
        <v>6</v>
      </c>
      <c r="I18" s="984">
        <v>5</v>
      </c>
      <c r="J18" s="984">
        <v>26</v>
      </c>
      <c r="K18" s="984">
        <v>38</v>
      </c>
      <c r="L18" s="984">
        <v>77</v>
      </c>
      <c r="M18" s="984">
        <v>91</v>
      </c>
      <c r="N18" s="984">
        <v>112</v>
      </c>
      <c r="O18" s="985">
        <f t="shared" si="0"/>
        <v>749</v>
      </c>
      <c r="P18" s="984">
        <v>93</v>
      </c>
    </row>
    <row r="19" spans="1:16">
      <c r="A19" s="978">
        <v>17</v>
      </c>
      <c r="B19" s="983" t="s">
        <v>1264</v>
      </c>
      <c r="C19" s="984">
        <v>8</v>
      </c>
      <c r="D19" s="984">
        <v>4</v>
      </c>
      <c r="E19" s="984">
        <v>11</v>
      </c>
      <c r="F19" s="984">
        <v>24</v>
      </c>
      <c r="G19" s="984">
        <v>40</v>
      </c>
      <c r="H19" s="984">
        <v>41</v>
      </c>
      <c r="I19" s="984">
        <v>47</v>
      </c>
      <c r="J19" s="984">
        <v>45</v>
      </c>
      <c r="K19" s="984">
        <v>24</v>
      </c>
      <c r="L19" s="984">
        <v>12</v>
      </c>
      <c r="M19" s="984">
        <v>12</v>
      </c>
      <c r="N19" s="984">
        <v>10</v>
      </c>
      <c r="O19" s="985">
        <f t="shared" si="0"/>
        <v>278</v>
      </c>
      <c r="P19" s="984">
        <v>76</v>
      </c>
    </row>
    <row r="20" spans="1:16">
      <c r="A20" s="978">
        <v>18</v>
      </c>
      <c r="B20" s="983" t="s">
        <v>1265</v>
      </c>
      <c r="C20" s="984">
        <v>58</v>
      </c>
      <c r="D20" s="984">
        <v>57</v>
      </c>
      <c r="E20" s="984">
        <v>39</v>
      </c>
      <c r="F20" s="984">
        <v>27</v>
      </c>
      <c r="G20" s="984">
        <v>10</v>
      </c>
      <c r="H20" s="984">
        <v>4</v>
      </c>
      <c r="I20" s="984">
        <v>1</v>
      </c>
      <c r="J20" s="984">
        <v>1</v>
      </c>
      <c r="K20" s="984">
        <v>12</v>
      </c>
      <c r="L20" s="984">
        <v>24</v>
      </c>
      <c r="M20" s="984">
        <v>49</v>
      </c>
      <c r="N20" s="984">
        <v>57</v>
      </c>
      <c r="O20" s="985">
        <f t="shared" si="0"/>
        <v>339</v>
      </c>
      <c r="P20" s="984">
        <v>42</v>
      </c>
    </row>
    <row r="21" spans="1:16">
      <c r="A21" s="978">
        <v>19</v>
      </c>
      <c r="B21" s="983" t="s">
        <v>1266</v>
      </c>
      <c r="C21" s="984">
        <v>127</v>
      </c>
      <c r="D21" s="984">
        <v>108</v>
      </c>
      <c r="E21" s="984">
        <v>90</v>
      </c>
      <c r="F21" s="984">
        <v>51</v>
      </c>
      <c r="G21" s="984">
        <v>15</v>
      </c>
      <c r="H21" s="984">
        <v>9</v>
      </c>
      <c r="I21" s="984">
        <v>10</v>
      </c>
      <c r="J21" s="984">
        <v>10</v>
      </c>
      <c r="K21" s="984">
        <v>26</v>
      </c>
      <c r="L21" s="984">
        <v>75</v>
      </c>
      <c r="M21" s="984">
        <v>115</v>
      </c>
      <c r="N21" s="984">
        <v>131</v>
      </c>
      <c r="O21" s="985">
        <f t="shared" si="0"/>
        <v>767</v>
      </c>
      <c r="P21" s="984">
        <v>100</v>
      </c>
    </row>
    <row r="22" spans="1:16">
      <c r="A22" s="978">
        <v>20</v>
      </c>
      <c r="B22" s="983" t="s">
        <v>1267</v>
      </c>
      <c r="C22" s="984">
        <v>117</v>
      </c>
      <c r="D22" s="984">
        <v>83</v>
      </c>
      <c r="E22" s="984">
        <v>74</v>
      </c>
      <c r="F22" s="984">
        <v>57</v>
      </c>
      <c r="G22" s="984">
        <v>14</v>
      </c>
      <c r="H22" s="984">
        <v>5</v>
      </c>
      <c r="I22" s="984">
        <v>3</v>
      </c>
      <c r="J22" s="984">
        <v>5</v>
      </c>
      <c r="K22" s="984">
        <v>13</v>
      </c>
      <c r="L22" s="984">
        <v>37</v>
      </c>
      <c r="M22" s="984">
        <v>64</v>
      </c>
      <c r="N22" s="984">
        <v>67</v>
      </c>
      <c r="O22" s="985">
        <f t="shared" si="0"/>
        <v>539</v>
      </c>
      <c r="P22" s="984">
        <v>72</v>
      </c>
    </row>
    <row r="23" spans="1:16">
      <c r="A23" s="978">
        <v>21</v>
      </c>
      <c r="B23" s="983" t="s">
        <v>1268</v>
      </c>
      <c r="C23" s="984">
        <v>141</v>
      </c>
      <c r="D23" s="984">
        <v>117</v>
      </c>
      <c r="E23" s="984">
        <v>113</v>
      </c>
      <c r="F23" s="984">
        <v>48</v>
      </c>
      <c r="G23" s="984">
        <v>24</v>
      </c>
      <c r="H23" s="984">
        <v>13</v>
      </c>
      <c r="I23" s="984">
        <v>11</v>
      </c>
      <c r="J23" s="984">
        <v>31</v>
      </c>
      <c r="K23" s="984">
        <v>60</v>
      </c>
      <c r="L23" s="984">
        <v>74</v>
      </c>
      <c r="M23" s="984">
        <v>104</v>
      </c>
      <c r="N23" s="984">
        <v>108</v>
      </c>
      <c r="O23" s="985">
        <f t="shared" si="0"/>
        <v>844</v>
      </c>
      <c r="P23" s="984">
        <v>138</v>
      </c>
    </row>
    <row r="24" spans="1:16">
      <c r="A24" s="978">
        <v>22</v>
      </c>
      <c r="B24" s="983" t="s">
        <v>1269</v>
      </c>
      <c r="C24" s="984">
        <v>78</v>
      </c>
      <c r="D24" s="984">
        <v>71</v>
      </c>
      <c r="E24" s="984">
        <v>58</v>
      </c>
      <c r="F24" s="984">
        <v>38</v>
      </c>
      <c r="G24" s="984">
        <v>6</v>
      </c>
      <c r="H24" s="984">
        <v>12</v>
      </c>
      <c r="I24" s="984">
        <v>3</v>
      </c>
      <c r="J24" s="984">
        <v>5</v>
      </c>
      <c r="K24" s="984">
        <v>25</v>
      </c>
      <c r="L24" s="984">
        <v>57</v>
      </c>
      <c r="M24" s="984">
        <v>61</v>
      </c>
      <c r="N24" s="984">
        <v>105</v>
      </c>
      <c r="O24" s="985">
        <f t="shared" si="0"/>
        <v>519</v>
      </c>
      <c r="P24" s="984">
        <v>69</v>
      </c>
    </row>
    <row r="25" spans="1:16">
      <c r="A25" s="978">
        <v>23</v>
      </c>
      <c r="B25" s="983" t="s">
        <v>1270</v>
      </c>
      <c r="C25" s="984">
        <v>82</v>
      </c>
      <c r="D25" s="984">
        <v>60</v>
      </c>
      <c r="E25" s="984">
        <v>52</v>
      </c>
      <c r="F25" s="984">
        <v>33</v>
      </c>
      <c r="G25" s="984">
        <v>11</v>
      </c>
      <c r="H25" s="984">
        <v>5</v>
      </c>
      <c r="I25" s="984">
        <v>3</v>
      </c>
      <c r="J25" s="984">
        <v>6</v>
      </c>
      <c r="K25" s="984">
        <v>17</v>
      </c>
      <c r="L25" s="984">
        <v>43</v>
      </c>
      <c r="M25" s="984">
        <v>85</v>
      </c>
      <c r="N25" s="984">
        <v>81</v>
      </c>
      <c r="O25" s="985">
        <f t="shared" si="0"/>
        <v>478</v>
      </c>
      <c r="P25" s="984">
        <v>65</v>
      </c>
    </row>
    <row r="26" spans="1:16">
      <c r="A26" s="978">
        <v>24</v>
      </c>
      <c r="B26" s="983" t="s">
        <v>1271</v>
      </c>
      <c r="C26" s="984">
        <v>36</v>
      </c>
      <c r="D26" s="984">
        <v>40</v>
      </c>
      <c r="E26" s="984">
        <v>54</v>
      </c>
      <c r="F26" s="984">
        <v>58</v>
      </c>
      <c r="G26" s="984">
        <v>59</v>
      </c>
      <c r="H26" s="984">
        <v>62</v>
      </c>
      <c r="I26" s="984">
        <v>47</v>
      </c>
      <c r="J26" s="984">
        <v>64</v>
      </c>
      <c r="K26" s="984">
        <v>62</v>
      </c>
      <c r="L26" s="984">
        <v>59</v>
      </c>
      <c r="M26" s="984">
        <v>49</v>
      </c>
      <c r="N26" s="984">
        <v>34</v>
      </c>
      <c r="O26" s="985">
        <f>SUM(C27:N27)</f>
        <v>674</v>
      </c>
      <c r="P26" s="984">
        <v>112</v>
      </c>
    </row>
    <row r="27" spans="1:16">
      <c r="A27" s="978">
        <v>25</v>
      </c>
      <c r="B27" s="983" t="s">
        <v>1272</v>
      </c>
      <c r="C27" s="984">
        <v>136</v>
      </c>
      <c r="D27" s="984">
        <v>75</v>
      </c>
      <c r="E27" s="984">
        <v>82</v>
      </c>
      <c r="F27" s="984">
        <v>51</v>
      </c>
      <c r="G27" s="984">
        <v>13</v>
      </c>
      <c r="H27" s="984">
        <v>7</v>
      </c>
      <c r="I27" s="984">
        <v>3</v>
      </c>
      <c r="J27" s="984">
        <v>6</v>
      </c>
      <c r="K27" s="984">
        <v>22</v>
      </c>
      <c r="L27" s="984">
        <v>71</v>
      </c>
      <c r="M27" s="984">
        <v>98</v>
      </c>
      <c r="N27" s="984">
        <v>110</v>
      </c>
      <c r="O27" s="985">
        <f t="shared" ref="O27:O33" si="1">SUM(C27:N27)</f>
        <v>674</v>
      </c>
      <c r="P27" s="984">
        <v>87</v>
      </c>
    </row>
    <row r="28" spans="1:16">
      <c r="A28" s="978">
        <v>26</v>
      </c>
      <c r="B28" s="983" t="s">
        <v>1273</v>
      </c>
      <c r="C28" s="984">
        <v>172</v>
      </c>
      <c r="D28" s="984">
        <v>167</v>
      </c>
      <c r="E28" s="984">
        <v>107</v>
      </c>
      <c r="F28" s="984">
        <v>109</v>
      </c>
      <c r="G28" s="984">
        <v>109</v>
      </c>
      <c r="H28" s="984">
        <v>57</v>
      </c>
      <c r="I28" s="984">
        <v>60</v>
      </c>
      <c r="J28" s="984">
        <v>65</v>
      </c>
      <c r="K28" s="984">
        <v>77</v>
      </c>
      <c r="L28" s="984">
        <v>105</v>
      </c>
      <c r="M28" s="984">
        <v>114</v>
      </c>
      <c r="N28" s="984">
        <v>86</v>
      </c>
      <c r="O28" s="985">
        <f t="shared" si="1"/>
        <v>1228</v>
      </c>
      <c r="P28" s="984">
        <v>113</v>
      </c>
    </row>
    <row r="29" spans="1:16">
      <c r="A29" s="978">
        <v>27</v>
      </c>
      <c r="B29" s="983" t="s">
        <v>1274</v>
      </c>
      <c r="C29" s="984">
        <v>94</v>
      </c>
      <c r="D29" s="984">
        <v>96</v>
      </c>
      <c r="E29" s="984">
        <v>66</v>
      </c>
      <c r="F29" s="984">
        <v>38</v>
      </c>
      <c r="G29" s="984">
        <v>14</v>
      </c>
      <c r="H29" s="984">
        <v>11</v>
      </c>
      <c r="I29" s="984">
        <v>11</v>
      </c>
      <c r="J29" s="984">
        <v>8</v>
      </c>
      <c r="K29" s="984">
        <v>28</v>
      </c>
      <c r="L29" s="984">
        <v>40</v>
      </c>
      <c r="M29" s="984">
        <v>63</v>
      </c>
      <c r="N29" s="984">
        <v>92</v>
      </c>
      <c r="O29" s="985">
        <f t="shared" si="1"/>
        <v>561</v>
      </c>
      <c r="P29" s="984">
        <v>71</v>
      </c>
    </row>
    <row r="30" spans="1:16">
      <c r="A30" s="978">
        <v>28</v>
      </c>
      <c r="B30" s="983" t="s">
        <v>1275</v>
      </c>
      <c r="C30" s="984">
        <v>74</v>
      </c>
      <c r="D30" s="984">
        <v>108</v>
      </c>
      <c r="E30" s="984">
        <v>75</v>
      </c>
      <c r="F30" s="984">
        <v>47</v>
      </c>
      <c r="G30" s="984">
        <v>15</v>
      </c>
      <c r="H30" s="984">
        <v>17</v>
      </c>
      <c r="I30" s="984">
        <v>14</v>
      </c>
      <c r="J30" s="984">
        <v>11</v>
      </c>
      <c r="K30" s="984">
        <v>39</v>
      </c>
      <c r="L30" s="984">
        <v>93</v>
      </c>
      <c r="M30" s="984">
        <v>76</v>
      </c>
      <c r="N30" s="984">
        <v>128</v>
      </c>
      <c r="O30" s="985">
        <f t="shared" si="1"/>
        <v>697</v>
      </c>
      <c r="P30" s="984">
        <v>94</v>
      </c>
    </row>
    <row r="31" spans="1:16">
      <c r="A31" s="978">
        <v>29</v>
      </c>
      <c r="B31" s="983" t="s">
        <v>1276</v>
      </c>
      <c r="C31" s="984">
        <v>77</v>
      </c>
      <c r="D31" s="984">
        <v>70</v>
      </c>
      <c r="E31" s="984">
        <v>81</v>
      </c>
      <c r="F31" s="984">
        <v>80</v>
      </c>
      <c r="G31" s="984">
        <v>86</v>
      </c>
      <c r="H31" s="984">
        <v>75</v>
      </c>
      <c r="I31" s="984">
        <v>78</v>
      </c>
      <c r="J31" s="984">
        <v>111</v>
      </c>
      <c r="K31" s="984">
        <v>66</v>
      </c>
      <c r="L31" s="984">
        <v>83</v>
      </c>
      <c r="M31" s="984">
        <v>78</v>
      </c>
      <c r="N31" s="984">
        <v>60</v>
      </c>
      <c r="O31" s="985">
        <f t="shared" si="1"/>
        <v>945</v>
      </c>
      <c r="P31" s="984">
        <v>91</v>
      </c>
    </row>
    <row r="32" spans="1:16">
      <c r="A32" s="978">
        <v>30</v>
      </c>
      <c r="B32" s="983" t="s">
        <v>1277</v>
      </c>
      <c r="C32" s="984">
        <v>87</v>
      </c>
      <c r="D32" s="984">
        <v>89</v>
      </c>
      <c r="E32" s="984">
        <v>83</v>
      </c>
      <c r="F32" s="984">
        <v>58</v>
      </c>
      <c r="G32" s="984">
        <v>18</v>
      </c>
      <c r="H32" s="984">
        <v>11</v>
      </c>
      <c r="I32" s="984">
        <v>18</v>
      </c>
      <c r="J32" s="984">
        <v>15</v>
      </c>
      <c r="K32" s="984">
        <v>35</v>
      </c>
      <c r="L32" s="984">
        <v>73</v>
      </c>
      <c r="M32" s="984">
        <v>75</v>
      </c>
      <c r="N32" s="984">
        <v>88</v>
      </c>
      <c r="O32" s="985">
        <f t="shared" si="1"/>
        <v>650</v>
      </c>
      <c r="P32" s="984">
        <v>113</v>
      </c>
    </row>
    <row r="33" spans="1:18">
      <c r="A33" s="978">
        <v>31</v>
      </c>
      <c r="B33" s="983" t="s">
        <v>1278</v>
      </c>
      <c r="C33" s="984">
        <v>24</v>
      </c>
      <c r="D33" s="984">
        <v>35</v>
      </c>
      <c r="E33" s="984">
        <v>37</v>
      </c>
      <c r="F33" s="984">
        <v>26</v>
      </c>
      <c r="G33" s="984">
        <v>10</v>
      </c>
      <c r="H33" s="984">
        <v>4</v>
      </c>
      <c r="I33" s="984">
        <v>2</v>
      </c>
      <c r="J33" s="984">
        <v>4</v>
      </c>
      <c r="K33" s="984">
        <v>4</v>
      </c>
      <c r="L33" s="984">
        <v>9</v>
      </c>
      <c r="M33" s="984">
        <v>17</v>
      </c>
      <c r="N33" s="984">
        <v>17</v>
      </c>
      <c r="O33" s="985">
        <f t="shared" si="1"/>
        <v>189</v>
      </c>
      <c r="P33" s="984">
        <v>37</v>
      </c>
    </row>
    <row r="35" spans="1:18" ht="60">
      <c r="B35" s="986"/>
      <c r="C35" s="980" t="s">
        <v>1182</v>
      </c>
      <c r="D35" s="980" t="s">
        <v>1245</v>
      </c>
      <c r="E35" s="980" t="s">
        <v>712</v>
      </c>
      <c r="F35" s="980" t="s">
        <v>713</v>
      </c>
      <c r="G35" s="980" t="s">
        <v>579</v>
      </c>
      <c r="H35" s="980" t="s">
        <v>714</v>
      </c>
      <c r="I35" s="980" t="s">
        <v>718</v>
      </c>
      <c r="J35" s="980" t="s">
        <v>719</v>
      </c>
      <c r="K35" s="980" t="s">
        <v>1246</v>
      </c>
      <c r="L35" s="980" t="s">
        <v>1247</v>
      </c>
      <c r="M35" s="980" t="s">
        <v>1248</v>
      </c>
      <c r="N35" s="980" t="s">
        <v>1249</v>
      </c>
      <c r="O35" s="980" t="s">
        <v>1279</v>
      </c>
      <c r="P35" s="987" t="s">
        <v>1280</v>
      </c>
      <c r="Q35" s="988"/>
      <c r="R35" s="988"/>
    </row>
    <row r="36" spans="1:18">
      <c r="B36" s="978" t="s">
        <v>1272</v>
      </c>
      <c r="C36" s="978">
        <f>VLOOKUP($B$36,$B$4:$N$33,2,FALSE)</f>
        <v>136</v>
      </c>
      <c r="D36" s="978">
        <f>VLOOKUP(B36,B4:N33,3,FALSE)</f>
        <v>75</v>
      </c>
      <c r="E36" s="978">
        <f>VLOOKUP($B$36,$B$4:$N$33,4,FALSE)</f>
        <v>82</v>
      </c>
      <c r="F36" s="978">
        <f>VLOOKUP($B$36,$B$4:$N$33,5,FALSE)</f>
        <v>51</v>
      </c>
      <c r="G36" s="978">
        <f>VLOOKUP($B$36,$B$4:$N$33,6,FALSE)</f>
        <v>13</v>
      </c>
      <c r="H36" s="978">
        <f>VLOOKUP($B$36,$B$4:$N$33,7,FALSE)</f>
        <v>7</v>
      </c>
      <c r="I36" s="978">
        <f>VLOOKUP($B$36,$B$4:$N$33,8,FALSE)</f>
        <v>3</v>
      </c>
      <c r="J36" s="978">
        <f>VLOOKUP($B$36,$B$4:$N$33,9,FALSE)</f>
        <v>6</v>
      </c>
      <c r="K36" s="978">
        <f>VLOOKUP($B$36,$B$4:$N$33,10,FALSE)</f>
        <v>22</v>
      </c>
      <c r="L36" s="978">
        <f>VLOOKUP($B$36,$B$4:$N$33,11,FALSE)</f>
        <v>71</v>
      </c>
      <c r="M36" s="978">
        <f>VLOOKUP($B$36,$B$4:$N$33,12,FALSE)</f>
        <v>98</v>
      </c>
      <c r="N36" s="978">
        <f>VLOOKUP($B$36,$B$4:$N$33,13,FALSE)</f>
        <v>110</v>
      </c>
      <c r="O36" s="978">
        <f>VLOOKUP($B$36,$B$4:$P$33,14,FALSE)</f>
        <v>674</v>
      </c>
      <c r="P36" s="978">
        <f>VLOOKUP($B$36,$B$4:$P$33,15,FALSE)</f>
        <v>87</v>
      </c>
    </row>
  </sheetData>
  <phoneticPr fontId="144" type="noConversion"/>
  <dataValidations disablePrompts="1" count="1">
    <dataValidation type="list" allowBlank="1" showInputMessage="1" showErrorMessage="1" sqref="B36">
      <formula1>$B$4:$B$33</formula1>
    </dataValidation>
  </dataValidations>
  <pageMargins left="0.7" right="0.7" top="0.75" bottom="0.75" header="0.3" footer="0.3"/>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0"/>
  <sheetViews>
    <sheetView zoomScaleNormal="100" zoomScaleSheetLayoutView="100" workbookViewId="0">
      <selection activeCell="B15" sqref="B15"/>
    </sheetView>
  </sheetViews>
  <sheetFormatPr defaultColWidth="7.875" defaultRowHeight="12.75"/>
  <cols>
    <col min="1" max="1" width="3.375" style="1076" customWidth="1"/>
    <col min="2" max="2" width="103" style="1076" customWidth="1"/>
    <col min="3" max="16384" width="7.875" style="1076"/>
  </cols>
  <sheetData>
    <row r="1" spans="1:7" s="1059" customFormat="1" ht="44.25" customHeight="1"/>
    <row r="2" spans="1:7" s="1059" customFormat="1"/>
    <row r="3" spans="1:7" s="1059" customFormat="1">
      <c r="B3" s="1060" t="s">
        <v>512</v>
      </c>
      <c r="C3" s="1060"/>
      <c r="E3" s="1060"/>
      <c r="G3" s="1060"/>
    </row>
    <row r="4" spans="1:7" s="1059" customFormat="1" ht="6.75" customHeight="1"/>
    <row r="5" spans="1:7" s="1059" customFormat="1" ht="8.25" customHeight="1">
      <c r="A5" s="1061"/>
      <c r="B5" s="1061"/>
    </row>
    <row r="6" spans="1:7" s="1059" customFormat="1" ht="6.75" customHeight="1"/>
    <row r="7" spans="1:7" s="1059" customFormat="1" ht="54.75" customHeight="1">
      <c r="A7" s="1062"/>
      <c r="B7" s="1063" t="s">
        <v>843</v>
      </c>
    </row>
    <row r="8" spans="1:7" ht="12.75" customHeight="1">
      <c r="B8" s="1077"/>
    </row>
    <row r="9" spans="1:7" ht="12.75" customHeight="1">
      <c r="A9" s="1078" t="s">
        <v>640</v>
      </c>
      <c r="B9" s="1079" t="s">
        <v>639</v>
      </c>
    </row>
    <row r="10" spans="1:7" ht="8.25" customHeight="1">
      <c r="A10" s="1078"/>
      <c r="B10" s="1079"/>
    </row>
    <row r="11" spans="1:7" ht="25.5" customHeight="1">
      <c r="A11" s="1078" t="s">
        <v>641</v>
      </c>
      <c r="B11" s="1079" t="s">
        <v>503</v>
      </c>
    </row>
    <row r="12" spans="1:7" ht="7.5" customHeight="1">
      <c r="A12" s="1078"/>
      <c r="B12" s="1079"/>
    </row>
    <row r="13" spans="1:7">
      <c r="A13" s="1078" t="s">
        <v>504</v>
      </c>
      <c r="B13" s="1079" t="s">
        <v>935</v>
      </c>
    </row>
    <row r="14" spans="1:7" ht="7.5" customHeight="1">
      <c r="A14" s="1078"/>
      <c r="B14" s="1079"/>
    </row>
    <row r="15" spans="1:7">
      <c r="A15" s="1078" t="s">
        <v>936</v>
      </c>
      <c r="B15" s="1079" t="s">
        <v>99</v>
      </c>
    </row>
    <row r="16" spans="1:7" ht="8.25" customHeight="1">
      <c r="A16" s="1078"/>
      <c r="B16" s="1079"/>
    </row>
    <row r="17" spans="1:3" ht="25.5">
      <c r="A17" s="1078" t="s">
        <v>100</v>
      </c>
      <c r="B17" s="1079" t="s">
        <v>1146</v>
      </c>
    </row>
    <row r="18" spans="1:3" ht="6.75" customHeight="1">
      <c r="B18" s="1079"/>
    </row>
    <row r="19" spans="1:3" ht="25.5" customHeight="1">
      <c r="A19" s="1080"/>
      <c r="B19" s="1081" t="s">
        <v>1059</v>
      </c>
      <c r="C19" s="1082"/>
    </row>
    <row r="20" spans="1:3" ht="24.75" customHeight="1" thickBot="1">
      <c r="A20" s="1080"/>
      <c r="B20" s="1083" t="s">
        <v>1147</v>
      </c>
      <c r="C20" s="1084"/>
    </row>
    <row r="21" spans="1:3" ht="54.75" customHeight="1">
      <c r="A21" s="1080"/>
      <c r="B21" s="1085" t="s">
        <v>185</v>
      </c>
      <c r="C21" s="1080"/>
    </row>
    <row r="22" spans="1:3" ht="36.75" thickBot="1">
      <c r="A22" s="1080"/>
      <c r="B22" s="1086" t="s">
        <v>1126</v>
      </c>
      <c r="C22" s="1080"/>
    </row>
    <row r="23" spans="1:3">
      <c r="A23" s="1080"/>
      <c r="B23" s="1081"/>
    </row>
    <row r="24" spans="1:3">
      <c r="A24" s="1080"/>
      <c r="B24" s="1059"/>
    </row>
    <row r="25" spans="1:3">
      <c r="B25" s="1059"/>
    </row>
    <row r="26" spans="1:3">
      <c r="B26" s="1059"/>
    </row>
    <row r="27" spans="1:3">
      <c r="B27" s="1059"/>
    </row>
    <row r="28" spans="1:3">
      <c r="B28" s="1059"/>
    </row>
    <row r="29" spans="1:3">
      <c r="B29" s="1059"/>
    </row>
    <row r="30" spans="1:3">
      <c r="B30" s="1059"/>
    </row>
  </sheetData>
  <sheetProtection password="AD9B" sheet="1" objects="1" scenarios="1"/>
  <phoneticPr fontId="17" type="noConversion"/>
  <pageMargins left="0.59055118110236227" right="0.59055118110236227" top="0.47244094488188981" bottom="0.47244094488188981" header="0.23622047244094491" footer="0.35433070866141736"/>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72"/>
  <sheetViews>
    <sheetView zoomScaleNormal="100" zoomScaleSheetLayoutView="100" workbookViewId="0">
      <selection activeCell="B13" sqref="B13"/>
    </sheetView>
  </sheetViews>
  <sheetFormatPr defaultColWidth="7.875" defaultRowHeight="12.75"/>
  <cols>
    <col min="1" max="1" width="3.375" style="1075" customWidth="1"/>
    <col min="2" max="2" width="103" style="1075" customWidth="1"/>
    <col min="3" max="16384" width="7.875" style="1075"/>
  </cols>
  <sheetData>
    <row r="1" spans="1:7" s="1059" customFormat="1" ht="44.25" customHeight="1"/>
    <row r="2" spans="1:7" s="1059" customFormat="1"/>
    <row r="3" spans="1:7" s="1059" customFormat="1">
      <c r="B3" s="1060" t="s">
        <v>512</v>
      </c>
      <c r="C3" s="1060"/>
      <c r="E3" s="1060"/>
      <c r="G3" s="1060"/>
    </row>
    <row r="4" spans="1:7" s="1059" customFormat="1" ht="6.75" customHeight="1"/>
    <row r="5" spans="1:7" s="1059" customFormat="1" ht="8.25" customHeight="1">
      <c r="A5" s="1061"/>
      <c r="B5" s="1061"/>
    </row>
    <row r="6" spans="1:7" s="1059" customFormat="1" ht="6.75" customHeight="1"/>
    <row r="7" spans="1:7" s="1059" customFormat="1" ht="54.75" customHeight="1">
      <c r="A7" s="1062"/>
      <c r="B7" s="1063" t="s">
        <v>844</v>
      </c>
    </row>
    <row r="8" spans="1:7" s="1064" customFormat="1" ht="12.75" customHeight="1"/>
    <row r="9" spans="1:7" s="1064" customFormat="1" ht="12.75" customHeight="1"/>
    <row r="10" spans="1:7" s="1064" customFormat="1" ht="12.75" customHeight="1">
      <c r="B10" s="1065" t="s">
        <v>101</v>
      </c>
    </row>
    <row r="11" spans="1:7" s="1064" customFormat="1" ht="61.5" customHeight="1">
      <c r="B11" s="1066" t="s">
        <v>199</v>
      </c>
    </row>
    <row r="12" spans="1:7" s="1064" customFormat="1" ht="8.1" customHeight="1">
      <c r="B12" s="1066"/>
    </row>
    <row r="13" spans="1:7" s="1064" customFormat="1" ht="28.5" customHeight="1">
      <c r="B13" s="1066" t="s">
        <v>200</v>
      </c>
    </row>
    <row r="14" spans="1:7" s="1064" customFormat="1" ht="8.1" customHeight="1">
      <c r="B14" s="1066"/>
    </row>
    <row r="15" spans="1:7" s="1064" customFormat="1" ht="66.75" customHeight="1">
      <c r="B15" s="1066" t="s">
        <v>925</v>
      </c>
    </row>
    <row r="16" spans="1:7" s="1064" customFormat="1" ht="8.1" customHeight="1">
      <c r="B16" s="1066"/>
    </row>
    <row r="17" spans="2:2" s="1064" customFormat="1" ht="50.1" customHeight="1">
      <c r="B17" s="1067" t="s">
        <v>569</v>
      </c>
    </row>
    <row r="18" spans="2:2" s="1064" customFormat="1" ht="8.1" customHeight="1">
      <c r="B18" s="1067"/>
    </row>
    <row r="19" spans="2:2" s="1064" customFormat="1" ht="8.1" customHeight="1">
      <c r="B19" s="1066"/>
    </row>
    <row r="20" spans="2:2" s="1064" customFormat="1" ht="22.5">
      <c r="B20" s="1066" t="s">
        <v>56</v>
      </c>
    </row>
    <row r="21" spans="2:2" s="1064" customFormat="1" ht="8.1" customHeight="1">
      <c r="B21" s="1066"/>
    </row>
    <row r="22" spans="2:2" s="1064" customFormat="1" ht="45">
      <c r="B22" s="1066" t="s">
        <v>938</v>
      </c>
    </row>
    <row r="23" spans="2:2" s="1064" customFormat="1" ht="8.1" customHeight="1">
      <c r="B23" s="1068"/>
    </row>
    <row r="24" spans="2:2" s="1064" customFormat="1" ht="56.25">
      <c r="B24" s="1069" t="s">
        <v>474</v>
      </c>
    </row>
    <row r="25" spans="2:2" s="1064" customFormat="1" ht="8.1" customHeight="1">
      <c r="B25" s="1070"/>
    </row>
    <row r="26" spans="2:2" s="1064" customFormat="1" ht="45">
      <c r="B26" s="1069" t="s">
        <v>475</v>
      </c>
    </row>
    <row r="27" spans="2:2" s="1064" customFormat="1" ht="8.1" customHeight="1">
      <c r="B27" s="1071"/>
    </row>
    <row r="28" spans="2:2" s="1064" customFormat="1">
      <c r="B28" s="1072" t="s">
        <v>476</v>
      </c>
    </row>
    <row r="29" spans="2:2" s="1064" customFormat="1" ht="8.1" customHeight="1">
      <c r="B29" s="1073"/>
    </row>
    <row r="30" spans="2:2" s="1064" customFormat="1">
      <c r="B30" s="1068" t="s">
        <v>268</v>
      </c>
    </row>
    <row r="31" spans="2:2" s="1064" customFormat="1">
      <c r="B31" s="1073"/>
    </row>
    <row r="32" spans="2:2" s="1064" customFormat="1">
      <c r="B32" s="1074"/>
    </row>
    <row r="33" spans="2:2" s="1064" customFormat="1">
      <c r="B33" s="1074"/>
    </row>
    <row r="34" spans="2:2" s="1064" customFormat="1"/>
    <row r="35" spans="2:2" s="1064" customFormat="1"/>
    <row r="36" spans="2:2" s="1064" customFormat="1"/>
    <row r="37" spans="2:2" s="1064" customFormat="1"/>
    <row r="38" spans="2:2" s="1064" customFormat="1"/>
    <row r="39" spans="2:2" s="1064" customFormat="1"/>
    <row r="40" spans="2:2" s="1064" customFormat="1"/>
    <row r="41" spans="2:2" s="1064" customFormat="1"/>
    <row r="42" spans="2:2" s="1064" customFormat="1"/>
    <row r="43" spans="2:2" s="1064" customFormat="1"/>
    <row r="44" spans="2:2" s="1064" customFormat="1"/>
    <row r="45" spans="2:2" s="1064" customFormat="1"/>
    <row r="46" spans="2:2" s="1064" customFormat="1"/>
    <row r="47" spans="2:2" s="1064" customFormat="1"/>
    <row r="48" spans="2:2" s="1064" customFormat="1"/>
    <row r="49" s="1064" customFormat="1"/>
    <row r="50" s="1064" customFormat="1"/>
    <row r="51" s="1064" customFormat="1"/>
    <row r="52" s="1064" customFormat="1"/>
    <row r="53" s="1064" customFormat="1"/>
    <row r="54" s="1064" customFormat="1"/>
    <row r="55" s="1064" customFormat="1"/>
    <row r="56" s="1064" customFormat="1"/>
    <row r="57" s="1064" customFormat="1"/>
    <row r="58" s="1064" customFormat="1"/>
    <row r="59" s="1064" customFormat="1"/>
    <row r="60" s="1064" customFormat="1"/>
    <row r="61" s="1064" customFormat="1"/>
    <row r="62" s="1064" customFormat="1"/>
    <row r="63" s="1064" customFormat="1"/>
    <row r="64" s="1064" customFormat="1"/>
    <row r="65" s="1064" customFormat="1"/>
    <row r="66" s="1064" customFormat="1"/>
    <row r="67" s="1064" customFormat="1"/>
    <row r="68" s="1064" customFormat="1"/>
    <row r="69" s="1064" customFormat="1"/>
    <row r="70" s="1064" customFormat="1"/>
    <row r="71" s="1064" customFormat="1"/>
    <row r="72" s="1064" customFormat="1"/>
    <row r="73" s="1064" customFormat="1"/>
    <row r="74" s="1064" customFormat="1"/>
    <row r="75" s="1064" customFormat="1"/>
    <row r="76" s="1064" customFormat="1"/>
    <row r="77" s="1064" customFormat="1"/>
    <row r="78" s="1064" customFormat="1"/>
    <row r="79" s="1064" customFormat="1"/>
    <row r="80" s="1064" customFormat="1"/>
    <row r="81" s="1064" customFormat="1"/>
    <row r="82" s="1064" customFormat="1"/>
    <row r="83" s="1064" customFormat="1"/>
    <row r="84" s="1064" customFormat="1"/>
    <row r="85" s="1064" customFormat="1"/>
    <row r="86" s="1064" customFormat="1"/>
    <row r="87" s="1064" customFormat="1"/>
    <row r="88" s="1064" customFormat="1"/>
    <row r="89" s="1064" customFormat="1"/>
    <row r="90" s="1064" customFormat="1"/>
    <row r="91" s="1064" customFormat="1"/>
    <row r="92" s="1064" customFormat="1"/>
    <row r="93" s="1064" customFormat="1"/>
    <row r="94" s="1064" customFormat="1"/>
    <row r="95" s="1064" customFormat="1"/>
    <row r="96" s="1064" customFormat="1"/>
    <row r="97" s="1064" customFormat="1"/>
    <row r="98" s="1064" customFormat="1"/>
    <row r="99" s="1064" customFormat="1"/>
    <row r="100" s="1064" customFormat="1"/>
    <row r="101" s="1064" customFormat="1"/>
    <row r="102" s="1064" customFormat="1"/>
    <row r="103" s="1064" customFormat="1"/>
    <row r="104" s="1064" customFormat="1"/>
    <row r="105" s="1064" customFormat="1"/>
    <row r="106" s="1064" customFormat="1"/>
    <row r="107" s="1064" customFormat="1"/>
    <row r="108" s="1064" customFormat="1"/>
    <row r="109" s="1064" customFormat="1"/>
    <row r="110" s="1064" customFormat="1"/>
    <row r="111" s="1064" customFormat="1"/>
    <row r="112" s="1064" customFormat="1"/>
    <row r="113" s="1064" customFormat="1"/>
    <row r="114" s="1064" customFormat="1"/>
    <row r="115" s="1064" customFormat="1"/>
    <row r="116" s="1064" customFormat="1"/>
    <row r="117" s="1064" customFormat="1"/>
    <row r="118" s="1064" customFormat="1"/>
    <row r="119" s="1064" customFormat="1"/>
    <row r="120" s="1064" customFormat="1"/>
    <row r="121" s="1064" customFormat="1"/>
    <row r="122" s="1064" customFormat="1"/>
    <row r="123" s="1064" customFormat="1"/>
    <row r="124" s="1064" customFormat="1"/>
    <row r="125" s="1064" customFormat="1"/>
    <row r="126" s="1064" customFormat="1"/>
    <row r="127" s="1064" customFormat="1"/>
    <row r="128" s="1064" customFormat="1"/>
    <row r="129" s="1064" customFormat="1"/>
    <row r="130" s="1064" customFormat="1"/>
    <row r="131" s="1064" customFormat="1"/>
    <row r="132" s="1064" customFormat="1"/>
    <row r="133" s="1064" customFormat="1"/>
    <row r="134" s="1064" customFormat="1"/>
    <row r="135" s="1064" customFormat="1"/>
    <row r="136" s="1064" customFormat="1"/>
    <row r="137" s="1064" customFormat="1"/>
    <row r="138" s="1064" customFormat="1"/>
    <row r="139" s="1064" customFormat="1"/>
    <row r="140" s="1064" customFormat="1"/>
    <row r="141" s="1064" customFormat="1"/>
    <row r="142" s="1064" customFormat="1"/>
    <row r="143" s="1064" customFormat="1"/>
    <row r="144" s="1064" customFormat="1"/>
    <row r="145" s="1064" customFormat="1"/>
    <row r="146" s="1064" customFormat="1"/>
    <row r="147" s="1064" customFormat="1"/>
    <row r="148" s="1064" customFormat="1"/>
    <row r="149" s="1064" customFormat="1"/>
    <row r="150" s="1064" customFormat="1"/>
    <row r="151" s="1064" customFormat="1"/>
    <row r="152" s="1064" customFormat="1"/>
    <row r="153" s="1064" customFormat="1"/>
    <row r="154" s="1064" customFormat="1"/>
    <row r="155" s="1064" customFormat="1"/>
    <row r="156" s="1064" customFormat="1"/>
    <row r="157" s="1064" customFormat="1"/>
    <row r="158" s="1064" customFormat="1"/>
    <row r="159" s="1064" customFormat="1"/>
    <row r="160" s="1064" customFormat="1"/>
    <row r="161" s="1064" customFormat="1"/>
    <row r="162" s="1064" customFormat="1"/>
    <row r="163" s="1064" customFormat="1"/>
    <row r="164" s="1064" customFormat="1"/>
    <row r="165" s="1064" customFormat="1"/>
    <row r="166" s="1064" customFormat="1"/>
    <row r="167" s="1064" customFormat="1"/>
    <row r="168" s="1064" customFormat="1"/>
    <row r="169" s="1064" customFormat="1"/>
    <row r="170" s="1064" customFormat="1"/>
    <row r="171" s="1064" customFormat="1"/>
    <row r="172" s="1064" customFormat="1"/>
    <row r="173" s="1064" customFormat="1"/>
    <row r="174" s="1064" customFormat="1"/>
    <row r="175" s="1064" customFormat="1"/>
    <row r="176" s="1064" customFormat="1"/>
    <row r="177" s="1064" customFormat="1"/>
    <row r="178" s="1064" customFormat="1"/>
    <row r="179" s="1064" customFormat="1"/>
    <row r="180" s="1064" customFormat="1"/>
    <row r="181" s="1064" customFormat="1"/>
    <row r="182" s="1064" customFormat="1"/>
    <row r="183" s="1064" customFormat="1"/>
    <row r="184" s="1064" customFormat="1"/>
    <row r="185" s="1064" customFormat="1"/>
    <row r="186" s="1064" customFormat="1"/>
    <row r="187" s="1064" customFormat="1"/>
    <row r="188" s="1064" customFormat="1"/>
    <row r="189" s="1064" customFormat="1"/>
    <row r="190" s="1064" customFormat="1"/>
    <row r="191" s="1064" customFormat="1"/>
    <row r="192" s="1064" customFormat="1"/>
    <row r="193" s="1064" customFormat="1"/>
    <row r="194" s="1064" customFormat="1"/>
    <row r="195" s="1064" customFormat="1"/>
    <row r="196" s="1064" customFormat="1"/>
    <row r="197" s="1064" customFormat="1"/>
    <row r="198" s="1064" customFormat="1"/>
    <row r="199" s="1064" customFormat="1"/>
    <row r="200" s="1064" customFormat="1"/>
    <row r="201" s="1064" customFormat="1"/>
    <row r="202" s="1064" customFormat="1"/>
    <row r="203" s="1064" customFormat="1"/>
    <row r="204" s="1064" customFormat="1"/>
    <row r="205" s="1064" customFormat="1"/>
    <row r="206" s="1064" customFormat="1"/>
    <row r="207" s="1064" customFormat="1"/>
    <row r="208" s="1064" customFormat="1"/>
    <row r="209" s="1064" customFormat="1"/>
    <row r="210" s="1064" customFormat="1"/>
    <row r="211" s="1064" customFormat="1"/>
    <row r="212" s="1064" customFormat="1"/>
    <row r="213" s="1064" customFormat="1"/>
    <row r="214" s="1064" customFormat="1"/>
    <row r="215" s="1064" customFormat="1"/>
    <row r="216" s="1064" customFormat="1"/>
    <row r="217" s="1064" customFormat="1"/>
    <row r="218" s="1064" customFormat="1"/>
    <row r="219" s="1064" customFormat="1"/>
    <row r="220" s="1064" customFormat="1"/>
    <row r="221" s="1064" customFormat="1"/>
    <row r="222" s="1064" customFormat="1"/>
    <row r="223" s="1064" customFormat="1"/>
    <row r="224" s="1064" customFormat="1"/>
    <row r="225" s="1064" customFormat="1"/>
    <row r="226" s="1064" customFormat="1"/>
    <row r="227" s="1064" customFormat="1"/>
    <row r="228" s="1064" customFormat="1"/>
    <row r="229" s="1064" customFormat="1"/>
    <row r="230" s="1064" customFormat="1"/>
    <row r="231" s="1064" customFormat="1"/>
    <row r="232" s="1064" customFormat="1"/>
    <row r="233" s="1064" customFormat="1"/>
    <row r="234" s="1064" customFormat="1"/>
    <row r="235" s="1064" customFormat="1"/>
    <row r="236" s="1064" customFormat="1"/>
    <row r="237" s="1064" customFormat="1"/>
    <row r="238" s="1064" customFormat="1"/>
    <row r="239" s="1064" customFormat="1"/>
    <row r="240" s="1064" customFormat="1"/>
    <row r="241" s="1064" customFormat="1"/>
    <row r="242" s="1064" customFormat="1"/>
    <row r="243" s="1064" customFormat="1"/>
    <row r="244" s="1064" customFormat="1"/>
    <row r="245" s="1064" customFormat="1"/>
    <row r="246" s="1064" customFormat="1"/>
    <row r="247" s="1064" customFormat="1"/>
    <row r="248" s="1064" customFormat="1"/>
    <row r="249" s="1064" customFormat="1"/>
    <row r="250" s="1064" customFormat="1"/>
    <row r="251" s="1064" customFormat="1"/>
    <row r="252" s="1064" customFormat="1"/>
    <row r="253" s="1064" customFormat="1"/>
    <row r="254" s="1064" customFormat="1"/>
    <row r="255" s="1064" customFormat="1"/>
    <row r="256" s="1064" customFormat="1"/>
    <row r="257" s="1064" customFormat="1"/>
    <row r="258" s="1064" customFormat="1"/>
    <row r="259" s="1064" customFormat="1"/>
    <row r="260" s="1064" customFormat="1"/>
    <row r="261" s="1064" customFormat="1"/>
    <row r="262" s="1064" customFormat="1"/>
    <row r="263" s="1064" customFormat="1"/>
    <row r="264" s="1064" customFormat="1"/>
    <row r="265" s="1064" customFormat="1"/>
    <row r="266" s="1064" customFormat="1"/>
    <row r="267" s="1064" customFormat="1"/>
    <row r="268" s="1064" customFormat="1"/>
    <row r="269" s="1064" customFormat="1"/>
    <row r="270" s="1064" customFormat="1"/>
    <row r="271" s="1064" customFormat="1"/>
    <row r="272" s="1064" customFormat="1"/>
  </sheetData>
  <sheetProtection password="AD9B" sheet="1" objects="1" scenarios="1"/>
  <phoneticPr fontId="17" type="noConversion"/>
  <pageMargins left="0.59055118110236227" right="0.25" top="0.47244094488188981" bottom="0.47244094488188981" header="0.35433070866141736" footer="0.23622047244094491"/>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275"/>
  <sheetViews>
    <sheetView zoomScaleNormal="100" zoomScaleSheetLayoutView="100" workbookViewId="0">
      <selection activeCell="C43" sqref="C43"/>
    </sheetView>
  </sheetViews>
  <sheetFormatPr defaultColWidth="7.875" defaultRowHeight="12.75"/>
  <cols>
    <col min="1" max="1" width="3.375" style="1075" customWidth="1"/>
    <col min="2" max="2" width="17.375" style="1075" customWidth="1"/>
    <col min="3" max="3" width="85.625" style="1075" customWidth="1"/>
    <col min="4" max="16384" width="7.875" style="1075"/>
  </cols>
  <sheetData>
    <row r="1" spans="1:8" s="1059" customFormat="1" ht="44.25" customHeight="1"/>
    <row r="2" spans="1:8" s="1059" customFormat="1"/>
    <row r="3" spans="1:8" s="1059" customFormat="1">
      <c r="B3" s="1060" t="s">
        <v>512</v>
      </c>
      <c r="D3" s="1060"/>
      <c r="F3" s="1060"/>
      <c r="H3" s="1060"/>
    </row>
    <row r="4" spans="1:8" s="1059" customFormat="1" ht="6.75" customHeight="1"/>
    <row r="5" spans="1:8" s="1059" customFormat="1" ht="8.25" customHeight="1">
      <c r="A5" s="1061"/>
      <c r="B5" s="1061"/>
      <c r="C5" s="1061"/>
    </row>
    <row r="6" spans="1:8" s="1059" customFormat="1" ht="6.75" customHeight="1"/>
    <row r="7" spans="1:8" s="1059" customFormat="1" ht="54.75" customHeight="1">
      <c r="A7" s="1062"/>
      <c r="B7" s="1063" t="s">
        <v>660</v>
      </c>
      <c r="C7" s="1809"/>
    </row>
    <row r="8" spans="1:8" s="1064" customFormat="1" ht="12.75" customHeight="1"/>
    <row r="9" spans="1:8" s="1064" customFormat="1" ht="8.25" customHeight="1"/>
    <row r="10" spans="1:8" s="1064" customFormat="1" ht="12.75" customHeight="1">
      <c r="B10" s="1808" t="s">
        <v>1127</v>
      </c>
    </row>
    <row r="11" spans="1:8" s="1064" customFormat="1" ht="5.25" customHeight="1">
      <c r="C11" s="1065"/>
    </row>
    <row r="12" spans="1:8" s="1064" customFormat="1" ht="12.75" customHeight="1">
      <c r="B12" s="1963" t="s">
        <v>43</v>
      </c>
    </row>
    <row r="13" spans="1:8" s="1064" customFormat="1" ht="8.25" customHeight="1">
      <c r="B13" s="1807"/>
    </row>
    <row r="14" spans="1:8" s="1064" customFormat="1" ht="8.25" customHeight="1">
      <c r="A14" s="1075"/>
      <c r="B14" s="1811"/>
      <c r="C14" s="1075"/>
    </row>
    <row r="15" spans="1:8" s="1064" customFormat="1" ht="12.75" customHeight="1">
      <c r="C15" s="1066"/>
    </row>
    <row r="16" spans="1:8" s="1064" customFormat="1" ht="12.75" customHeight="1">
      <c r="B16" s="1808" t="s">
        <v>1128</v>
      </c>
    </row>
    <row r="17" spans="2:3" s="1064" customFormat="1" ht="6" customHeight="1">
      <c r="C17" s="1066"/>
    </row>
    <row r="18" spans="2:3" s="1810" customFormat="1" ht="63.75" customHeight="1">
      <c r="B18" s="2140" t="s">
        <v>145</v>
      </c>
      <c r="C18" s="2140"/>
    </row>
    <row r="19" spans="2:3" s="1064" customFormat="1" ht="12.75" customHeight="1" thickBot="1">
      <c r="C19" s="1066"/>
    </row>
    <row r="20" spans="2:3" s="1064" customFormat="1" ht="12.75" customHeight="1" thickBot="1">
      <c r="B20" s="1814" t="s">
        <v>806</v>
      </c>
      <c r="C20" s="1815" t="s">
        <v>807</v>
      </c>
    </row>
    <row r="21" spans="2:3" s="1064" customFormat="1" ht="54" customHeight="1">
      <c r="B21" s="1816">
        <v>39904</v>
      </c>
      <c r="C21" s="2049" t="s">
        <v>808</v>
      </c>
    </row>
    <row r="22" spans="2:3" s="1064" customFormat="1" ht="66.75" customHeight="1">
      <c r="B22" s="1817">
        <v>40077</v>
      </c>
      <c r="C22" s="1819" t="s">
        <v>809</v>
      </c>
    </row>
    <row r="23" spans="2:3" s="1064" customFormat="1" ht="52.5" customHeight="1">
      <c r="B23" s="1817">
        <v>40123</v>
      </c>
      <c r="C23" s="1819" t="s">
        <v>0</v>
      </c>
    </row>
    <row r="24" spans="2:3" s="1064" customFormat="1" ht="27" customHeight="1">
      <c r="B24" s="1817">
        <v>40294</v>
      </c>
      <c r="C24" s="1819" t="s">
        <v>1</v>
      </c>
    </row>
    <row r="25" spans="2:3" s="1064" customFormat="1" ht="12.75" customHeight="1">
      <c r="B25" s="1817">
        <v>40303</v>
      </c>
      <c r="C25" s="1819" t="s">
        <v>2</v>
      </c>
    </row>
    <row r="26" spans="2:3" s="1064" customFormat="1" ht="28.5" customHeight="1">
      <c r="B26" s="1817">
        <v>40331</v>
      </c>
      <c r="C26" s="1812" t="s">
        <v>146</v>
      </c>
    </row>
    <row r="27" spans="2:3" s="1064" customFormat="1" ht="12.75" customHeight="1">
      <c r="B27" s="1817">
        <v>40360</v>
      </c>
      <c r="C27" s="1812" t="s">
        <v>203</v>
      </c>
    </row>
    <row r="28" spans="2:3" s="1064" customFormat="1" ht="25.5">
      <c r="B28" s="1817">
        <v>40360</v>
      </c>
      <c r="C28" s="1812" t="s">
        <v>204</v>
      </c>
    </row>
    <row r="29" spans="2:3" s="1064" customFormat="1" ht="25.5">
      <c r="B29" s="1817">
        <v>40385</v>
      </c>
      <c r="C29" s="1812" t="s">
        <v>1620</v>
      </c>
    </row>
    <row r="30" spans="2:3" s="1064" customFormat="1" ht="18" customHeight="1">
      <c r="B30" s="1817">
        <v>40560</v>
      </c>
      <c r="C30" s="2034" t="s">
        <v>1707</v>
      </c>
    </row>
    <row r="31" spans="2:3" s="1064" customFormat="1" ht="12.75" customHeight="1">
      <c r="B31" s="1817">
        <v>40813</v>
      </c>
      <c r="C31" s="2034" t="s">
        <v>1712</v>
      </c>
    </row>
    <row r="32" spans="2:3" s="1064" customFormat="1" ht="12.75" customHeight="1">
      <c r="B32" s="1817">
        <v>41109</v>
      </c>
      <c r="C32" s="2034" t="s">
        <v>1711</v>
      </c>
    </row>
    <row r="33" spans="2:3" s="1064" customFormat="1" ht="12.75" customHeight="1">
      <c r="B33" s="1817">
        <v>41131</v>
      </c>
      <c r="C33" s="2034" t="s">
        <v>1764</v>
      </c>
    </row>
    <row r="34" spans="2:3" s="1064" customFormat="1" ht="12.75" customHeight="1">
      <c r="B34" s="1817">
        <v>41153</v>
      </c>
      <c r="C34" s="2034" t="s">
        <v>1754</v>
      </c>
    </row>
    <row r="35" spans="2:3" s="1064" customFormat="1" ht="14.25" customHeight="1">
      <c r="B35" s="1817">
        <v>41291</v>
      </c>
      <c r="C35" s="2034" t="s">
        <v>1762</v>
      </c>
    </row>
    <row r="36" spans="2:3" s="1064" customFormat="1" ht="12.75" customHeight="1">
      <c r="B36" s="1817">
        <v>41286</v>
      </c>
      <c r="C36" s="2034" t="s">
        <v>1763</v>
      </c>
    </row>
    <row r="37" spans="2:3" s="1064" customFormat="1" ht="76.5">
      <c r="B37" s="1817">
        <v>41346</v>
      </c>
      <c r="C37" s="2034" t="s">
        <v>1775</v>
      </c>
    </row>
    <row r="38" spans="2:3" s="1064" customFormat="1" ht="12.75" customHeight="1">
      <c r="B38" s="1817">
        <v>41591</v>
      </c>
      <c r="C38" s="2034" t="s">
        <v>1776</v>
      </c>
    </row>
    <row r="39" spans="2:3" s="1064" customFormat="1" ht="12.75" customHeight="1">
      <c r="B39" s="1817">
        <v>41603</v>
      </c>
      <c r="C39" s="2034" t="s">
        <v>1776</v>
      </c>
    </row>
    <row r="40" spans="2:3" s="1064" customFormat="1" ht="12.75" customHeight="1">
      <c r="B40" s="1817"/>
      <c r="C40" s="1812"/>
    </row>
    <row r="41" spans="2:3" s="1064" customFormat="1" ht="12.75" customHeight="1">
      <c r="B41" s="1817"/>
      <c r="C41" s="1812"/>
    </row>
    <row r="42" spans="2:3" s="1064" customFormat="1" ht="12.75" customHeight="1">
      <c r="B42" s="1817"/>
      <c r="C42" s="1812"/>
    </row>
    <row r="43" spans="2:3" s="1064" customFormat="1">
      <c r="B43" s="1817"/>
      <c r="C43" s="1812"/>
    </row>
    <row r="44" spans="2:3" s="1064" customFormat="1">
      <c r="B44" s="1817"/>
      <c r="C44" s="1812"/>
    </row>
    <row r="45" spans="2:3" s="1064" customFormat="1">
      <c r="B45" s="1817"/>
      <c r="C45" s="1812"/>
    </row>
    <row r="46" spans="2:3" s="1064" customFormat="1">
      <c r="B46" s="1817"/>
      <c r="C46" s="1812"/>
    </row>
    <row r="47" spans="2:3" s="1064" customFormat="1">
      <c r="B47" s="1817"/>
      <c r="C47" s="1812"/>
    </row>
    <row r="48" spans="2:3" s="1064" customFormat="1">
      <c r="B48" s="1817"/>
      <c r="C48" s="1812"/>
    </row>
    <row r="49" spans="2:3" s="1064" customFormat="1">
      <c r="B49" s="1817"/>
      <c r="C49" s="1812"/>
    </row>
    <row r="50" spans="2:3" s="1064" customFormat="1">
      <c r="B50" s="1817"/>
      <c r="C50" s="1812"/>
    </row>
    <row r="51" spans="2:3" s="1064" customFormat="1">
      <c r="B51" s="1817"/>
      <c r="C51" s="1812"/>
    </row>
    <row r="52" spans="2:3" s="1064" customFormat="1">
      <c r="B52" s="1817"/>
      <c r="C52" s="1812"/>
    </row>
    <row r="53" spans="2:3" s="1064" customFormat="1" ht="13.5" thickBot="1">
      <c r="B53" s="1818"/>
      <c r="C53" s="1812"/>
    </row>
    <row r="54" spans="2:3" s="1064" customFormat="1"/>
    <row r="55" spans="2:3" s="1064" customFormat="1"/>
    <row r="56" spans="2:3" s="1064" customFormat="1"/>
    <row r="57" spans="2:3" s="1064" customFormat="1"/>
    <row r="58" spans="2:3" s="1064" customFormat="1"/>
    <row r="59" spans="2:3" s="1064" customFormat="1"/>
    <row r="60" spans="2:3" s="1064" customFormat="1"/>
    <row r="61" spans="2:3" s="1064" customFormat="1"/>
    <row r="62" spans="2:3" s="1064" customFormat="1"/>
    <row r="63" spans="2:3" s="1064" customFormat="1"/>
    <row r="64" spans="2:3" s="1064" customFormat="1"/>
    <row r="65" s="1064" customFormat="1"/>
    <row r="66" s="1064" customFormat="1"/>
    <row r="67" s="1064" customFormat="1"/>
    <row r="68" s="1064" customFormat="1"/>
    <row r="69" s="1064" customFormat="1"/>
    <row r="70" s="1064" customFormat="1"/>
    <row r="71" s="1064" customFormat="1"/>
    <row r="72" s="1064" customFormat="1"/>
    <row r="73" s="1064" customFormat="1"/>
    <row r="74" s="1064" customFormat="1"/>
    <row r="75" s="1064" customFormat="1"/>
    <row r="76" s="1064" customFormat="1"/>
    <row r="77" s="1064" customFormat="1"/>
    <row r="78" s="1064" customFormat="1"/>
    <row r="79" s="1064" customFormat="1"/>
    <row r="80" s="1064" customFormat="1"/>
    <row r="81" s="1064" customFormat="1"/>
    <row r="82" s="1064" customFormat="1"/>
    <row r="83" s="1064" customFormat="1"/>
    <row r="84" s="1064" customFormat="1"/>
    <row r="85" s="1064" customFormat="1"/>
    <row r="86" s="1064" customFormat="1"/>
    <row r="87" s="1064" customFormat="1"/>
    <row r="88" s="1064" customFormat="1"/>
    <row r="89" s="1064" customFormat="1"/>
    <row r="90" s="1064" customFormat="1"/>
    <row r="91" s="1064" customFormat="1"/>
    <row r="92" s="1064" customFormat="1"/>
    <row r="93" s="1064" customFormat="1"/>
    <row r="94" s="1064" customFormat="1"/>
    <row r="95" s="1064" customFormat="1"/>
    <row r="96" s="1064" customFormat="1"/>
    <row r="97" s="1064" customFormat="1"/>
    <row r="98" s="1064" customFormat="1"/>
    <row r="99" s="1064" customFormat="1"/>
    <row r="100" s="1064" customFormat="1"/>
    <row r="101" s="1064" customFormat="1"/>
    <row r="102" s="1064" customFormat="1"/>
    <row r="103" s="1064" customFormat="1"/>
    <row r="104" s="1064" customFormat="1"/>
    <row r="105" s="1064" customFormat="1"/>
    <row r="106" s="1064" customFormat="1"/>
    <row r="107" s="1064" customFormat="1"/>
    <row r="108" s="1064" customFormat="1"/>
    <row r="109" s="1064" customFormat="1"/>
    <row r="110" s="1064" customFormat="1"/>
    <row r="111" s="1064" customFormat="1"/>
    <row r="112" s="1064" customFormat="1"/>
    <row r="113" s="1064" customFormat="1"/>
    <row r="114" s="1064" customFormat="1"/>
    <row r="115" s="1064" customFormat="1"/>
    <row r="116" s="1064" customFormat="1"/>
    <row r="117" s="1064" customFormat="1"/>
    <row r="118" s="1064" customFormat="1"/>
    <row r="119" s="1064" customFormat="1"/>
    <row r="120" s="1064" customFormat="1"/>
    <row r="121" s="1064" customFormat="1"/>
    <row r="122" s="1064" customFormat="1"/>
    <row r="123" s="1064" customFormat="1"/>
    <row r="124" s="1064" customFormat="1"/>
    <row r="125" s="1064" customFormat="1"/>
    <row r="126" s="1064" customFormat="1"/>
    <row r="127" s="1064" customFormat="1"/>
    <row r="128" s="1064" customFormat="1"/>
    <row r="129" s="1064" customFormat="1"/>
    <row r="130" s="1064" customFormat="1"/>
    <row r="131" s="1064" customFormat="1"/>
    <row r="132" s="1064" customFormat="1"/>
    <row r="133" s="1064" customFormat="1"/>
    <row r="134" s="1064" customFormat="1"/>
    <row r="135" s="1064" customFormat="1"/>
    <row r="136" s="1064" customFormat="1"/>
    <row r="137" s="1064" customFormat="1"/>
    <row r="138" s="1064" customFormat="1"/>
    <row r="139" s="1064" customFormat="1"/>
    <row r="140" s="1064" customFormat="1"/>
    <row r="141" s="1064" customFormat="1"/>
    <row r="142" s="1064" customFormat="1"/>
    <row r="143" s="1064" customFormat="1"/>
    <row r="144" s="1064" customFormat="1"/>
    <row r="145" s="1064" customFormat="1"/>
    <row r="146" s="1064" customFormat="1"/>
    <row r="147" s="1064" customFormat="1"/>
    <row r="148" s="1064" customFormat="1"/>
    <row r="149" s="1064" customFormat="1"/>
    <row r="150" s="1064" customFormat="1"/>
    <row r="151" s="1064" customFormat="1"/>
    <row r="152" s="1064" customFormat="1"/>
    <row r="153" s="1064" customFormat="1"/>
    <row r="154" s="1064" customFormat="1"/>
    <row r="155" s="1064" customFormat="1"/>
    <row r="156" s="1064" customFormat="1"/>
    <row r="157" s="1064" customFormat="1"/>
    <row r="158" s="1064" customFormat="1"/>
    <row r="159" s="1064" customFormat="1"/>
    <row r="160" s="1064" customFormat="1"/>
    <row r="161" s="1064" customFormat="1"/>
    <row r="162" s="1064" customFormat="1"/>
    <row r="163" s="1064" customFormat="1"/>
    <row r="164" s="1064" customFormat="1"/>
    <row r="165" s="1064" customFormat="1"/>
    <row r="166" s="1064" customFormat="1"/>
    <row r="167" s="1064" customFormat="1"/>
    <row r="168" s="1064" customFormat="1"/>
    <row r="169" s="1064" customFormat="1"/>
    <row r="170" s="1064" customFormat="1"/>
    <row r="171" s="1064" customFormat="1"/>
    <row r="172" s="1064" customFormat="1"/>
    <row r="173" s="1064" customFormat="1"/>
    <row r="174" s="1064" customFormat="1"/>
    <row r="175" s="1064" customFormat="1"/>
    <row r="176" s="1064" customFormat="1"/>
    <row r="177" s="1064" customFormat="1"/>
    <row r="178" s="1064" customFormat="1"/>
    <row r="179" s="1064" customFormat="1"/>
    <row r="180" s="1064" customFormat="1"/>
    <row r="181" s="1064" customFormat="1"/>
    <row r="182" s="1064" customFormat="1"/>
    <row r="183" s="1064" customFormat="1"/>
    <row r="184" s="1064" customFormat="1"/>
    <row r="185" s="1064" customFormat="1"/>
    <row r="186" s="1064" customFormat="1"/>
    <row r="187" s="1064" customFormat="1"/>
    <row r="188" s="1064" customFormat="1"/>
    <row r="189" s="1064" customFormat="1"/>
    <row r="190" s="1064" customFormat="1"/>
    <row r="191" s="1064" customFormat="1"/>
    <row r="192" s="1064" customFormat="1"/>
    <row r="193" s="1064" customFormat="1"/>
    <row r="194" s="1064" customFormat="1"/>
    <row r="195" s="1064" customFormat="1"/>
    <row r="196" s="1064" customFormat="1"/>
    <row r="197" s="1064" customFormat="1"/>
    <row r="198" s="1064" customFormat="1"/>
    <row r="199" s="1064" customFormat="1"/>
    <row r="200" s="1064" customFormat="1"/>
    <row r="201" s="1064" customFormat="1"/>
    <row r="202" s="1064" customFormat="1"/>
    <row r="203" s="1064" customFormat="1"/>
    <row r="204" s="1064" customFormat="1"/>
    <row r="205" s="1064" customFormat="1"/>
    <row r="206" s="1064" customFormat="1"/>
    <row r="207" s="1064" customFormat="1"/>
    <row r="208" s="1064" customFormat="1"/>
    <row r="209" s="1064" customFormat="1"/>
    <row r="210" s="1064" customFormat="1"/>
    <row r="211" s="1064" customFormat="1"/>
    <row r="212" s="1064" customFormat="1"/>
    <row r="213" s="1064" customFormat="1"/>
    <row r="214" s="1064" customFormat="1"/>
    <row r="215" s="1064" customFormat="1"/>
    <row r="216" s="1064" customFormat="1"/>
    <row r="217" s="1064" customFormat="1"/>
    <row r="218" s="1064" customFormat="1"/>
    <row r="219" s="1064" customFormat="1"/>
    <row r="220" s="1064" customFormat="1"/>
    <row r="221" s="1064" customFormat="1"/>
    <row r="222" s="1064" customFormat="1"/>
    <row r="223" s="1064" customFormat="1"/>
    <row r="224" s="1064" customFormat="1"/>
    <row r="225" s="1064" customFormat="1"/>
    <row r="226" s="1064" customFormat="1"/>
    <row r="227" s="1064" customFormat="1"/>
    <row r="228" s="1064" customFormat="1"/>
    <row r="229" s="1064" customFormat="1"/>
    <row r="230" s="1064" customFormat="1"/>
    <row r="231" s="1064" customFormat="1"/>
    <row r="232" s="1064" customFormat="1"/>
    <row r="233" s="1064" customFormat="1"/>
    <row r="234" s="1064" customFormat="1"/>
    <row r="235" s="1064" customFormat="1"/>
    <row r="236" s="1064" customFormat="1"/>
    <row r="237" s="1064" customFormat="1"/>
    <row r="238" s="1064" customFormat="1"/>
    <row r="239" s="1064" customFormat="1"/>
    <row r="240" s="1064" customFormat="1"/>
    <row r="241" s="1064" customFormat="1"/>
    <row r="242" s="1064" customFormat="1"/>
    <row r="243" s="1064" customFormat="1"/>
    <row r="244" s="1064" customFormat="1"/>
    <row r="245" s="1064" customFormat="1"/>
    <row r="246" s="1064" customFormat="1"/>
    <row r="247" s="1064" customFormat="1"/>
    <row r="248" s="1064" customFormat="1"/>
    <row r="249" s="1064" customFormat="1"/>
    <row r="250" s="1064" customFormat="1"/>
    <row r="251" s="1064" customFormat="1"/>
    <row r="252" s="1064" customFormat="1"/>
    <row r="253" s="1064" customFormat="1"/>
    <row r="254" s="1064" customFormat="1"/>
    <row r="255" s="1064" customFormat="1"/>
    <row r="256" s="1064" customFormat="1"/>
    <row r="257" s="1064" customFormat="1"/>
    <row r="258" s="1064" customFormat="1"/>
    <row r="259" s="1064" customFormat="1"/>
    <row r="260" s="1064" customFormat="1"/>
    <row r="261" s="1064" customFormat="1"/>
    <row r="262" s="1064" customFormat="1"/>
    <row r="263" s="1064" customFormat="1"/>
    <row r="264" s="1064" customFormat="1"/>
    <row r="265" s="1064" customFormat="1"/>
    <row r="266" s="1064" customFormat="1"/>
    <row r="267" s="1064" customFormat="1"/>
    <row r="268" s="1064" customFormat="1"/>
    <row r="269" s="1064" customFormat="1"/>
    <row r="270" s="1064" customFormat="1"/>
    <row r="271" s="1064" customFormat="1"/>
    <row r="272" s="1064" customFormat="1"/>
    <row r="273" s="1064" customFormat="1"/>
    <row r="274" s="1064" customFormat="1"/>
    <row r="275" s="1064" customFormat="1"/>
  </sheetData>
  <sheetProtection password="AD9B" sheet="1" objects="1" scenarios="1"/>
  <mergeCells count="1">
    <mergeCell ref="B18:C18"/>
  </mergeCells>
  <phoneticPr fontId="17" type="noConversion"/>
  <pageMargins left="0.59055118110236227" right="0.25" top="0.47244094488188981" bottom="0.47244094488188981" header="0.35433070866141736" footer="0.23622047244094491"/>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76"/>
  <sheetViews>
    <sheetView showGridLines="0" topLeftCell="A13" zoomScaleNormal="100" zoomScaleSheetLayoutView="100" workbookViewId="0">
      <selection activeCell="D34" sqref="D34"/>
    </sheetView>
  </sheetViews>
  <sheetFormatPr defaultColWidth="7.875" defaultRowHeight="12.75"/>
  <cols>
    <col min="1" max="1" width="3.375" style="1075" customWidth="1"/>
    <col min="2" max="2" width="9.125" style="1075" customWidth="1"/>
    <col min="3" max="3" width="85.625" style="1075" customWidth="1"/>
    <col min="4" max="4" width="12.625" style="1075" bestFit="1" customWidth="1"/>
    <col min="5" max="16384" width="7.875" style="1075"/>
  </cols>
  <sheetData>
    <row r="1" spans="1:8" s="1059" customFormat="1" ht="44.25" customHeight="1"/>
    <row r="2" spans="1:8" s="1059" customFormat="1"/>
    <row r="3" spans="1:8" s="1059" customFormat="1">
      <c r="B3" s="1060" t="s">
        <v>512</v>
      </c>
      <c r="D3" s="1060"/>
      <c r="F3" s="1060"/>
      <c r="H3" s="1060"/>
    </row>
    <row r="4" spans="1:8" s="1059" customFormat="1" ht="6.75" customHeight="1"/>
    <row r="5" spans="1:8" s="1059" customFormat="1" ht="8.25" customHeight="1">
      <c r="A5" s="1061"/>
      <c r="B5" s="1061"/>
      <c r="C5" s="1061"/>
      <c r="D5" s="1061"/>
      <c r="E5" s="1061"/>
    </row>
    <row r="6" spans="1:8" s="1059" customFormat="1" ht="6.75" customHeight="1"/>
    <row r="7" spans="1:8" s="1059" customFormat="1" ht="54.75" customHeight="1">
      <c r="A7" s="1062"/>
      <c r="B7" s="1063" t="s">
        <v>1713</v>
      </c>
      <c r="C7" s="1809"/>
      <c r="D7" s="1809"/>
      <c r="E7" s="1809"/>
    </row>
    <row r="8" spans="1:8" s="1064" customFormat="1" ht="12.75" customHeight="1">
      <c r="B8" s="2143" t="s">
        <v>1748</v>
      </c>
      <c r="C8" s="2144"/>
      <c r="D8" s="2144"/>
      <c r="E8" s="2144"/>
    </row>
    <row r="9" spans="1:8" s="1064" customFormat="1" ht="8.25" customHeight="1">
      <c r="A9" s="1075"/>
      <c r="B9" s="1075"/>
      <c r="C9" s="1075"/>
      <c r="D9" s="1075"/>
      <c r="E9" s="1075"/>
    </row>
    <row r="10" spans="1:8" s="1064" customFormat="1" ht="12.75" customHeight="1"/>
    <row r="11" spans="1:8" s="1064" customFormat="1" ht="15">
      <c r="B11" s="2061"/>
      <c r="C11" s="2062" t="s">
        <v>1716</v>
      </c>
      <c r="D11" s="2061"/>
      <c r="E11" s="2061"/>
    </row>
    <row r="12" spans="1:8" s="1064" customFormat="1" ht="16.5">
      <c r="A12" s="2050"/>
      <c r="B12" s="2063">
        <v>1</v>
      </c>
      <c r="C12" s="2064" t="s">
        <v>1717</v>
      </c>
      <c r="D12" s="2080" t="s">
        <v>1718</v>
      </c>
      <c r="E12" s="2065"/>
    </row>
    <row r="13" spans="1:8" s="1064" customFormat="1" ht="16.5">
      <c r="A13" s="2050"/>
      <c r="B13" s="2063">
        <v>2</v>
      </c>
      <c r="C13" s="2066" t="s">
        <v>1719</v>
      </c>
      <c r="D13" s="2081" t="s">
        <v>1718</v>
      </c>
      <c r="E13" s="2067"/>
    </row>
    <row r="14" spans="1:8" s="1064" customFormat="1" ht="16.5">
      <c r="A14" s="2050"/>
      <c r="B14" s="2063">
        <v>3</v>
      </c>
      <c r="C14" s="2066" t="s">
        <v>1720</v>
      </c>
      <c r="D14" s="2081" t="s">
        <v>1718</v>
      </c>
      <c r="E14" s="2067"/>
    </row>
    <row r="15" spans="1:8" s="1064" customFormat="1" ht="16.5">
      <c r="A15" s="2050"/>
      <c r="B15" s="2063">
        <v>4</v>
      </c>
      <c r="C15" s="2066" t="s">
        <v>1721</v>
      </c>
      <c r="D15" s="2081" t="s">
        <v>1718</v>
      </c>
      <c r="E15" s="2067"/>
    </row>
    <row r="16" spans="1:8" s="1064" customFormat="1" ht="15">
      <c r="A16" s="2050"/>
      <c r="B16" s="2068"/>
      <c r="C16" s="2069"/>
      <c r="D16" s="2069"/>
      <c r="E16" s="2069"/>
    </row>
    <row r="17" spans="1:5" s="1064" customFormat="1" ht="15">
      <c r="A17" s="2050"/>
      <c r="B17" s="2070"/>
      <c r="C17" s="2062" t="s">
        <v>1722</v>
      </c>
      <c r="D17" s="2071"/>
      <c r="E17" s="2071"/>
    </row>
    <row r="18" spans="1:5" s="1810" customFormat="1" ht="16.5">
      <c r="A18" s="2051"/>
      <c r="B18" s="2063"/>
      <c r="C18" s="2064" t="s">
        <v>1723</v>
      </c>
      <c r="D18" s="2065"/>
      <c r="E18" s="2065"/>
    </row>
    <row r="19" spans="1:5" s="1064" customFormat="1" ht="16.5">
      <c r="A19" s="2050"/>
      <c r="B19" s="2072">
        <v>5</v>
      </c>
      <c r="C19" s="2066" t="s">
        <v>1724</v>
      </c>
      <c r="D19" s="2081" t="s">
        <v>1718</v>
      </c>
      <c r="E19" s="2067"/>
    </row>
    <row r="20" spans="1:5" s="1064" customFormat="1" ht="16.5">
      <c r="A20" s="2050"/>
      <c r="B20" s="2072">
        <v>6</v>
      </c>
      <c r="C20" s="2066" t="s">
        <v>1725</v>
      </c>
      <c r="D20" s="2081" t="s">
        <v>1718</v>
      </c>
      <c r="E20" s="2067"/>
    </row>
    <row r="21" spans="1:5" s="1064" customFormat="1" ht="16.5">
      <c r="A21" s="2050"/>
      <c r="B21" s="2072">
        <v>7</v>
      </c>
      <c r="C21" s="2066" t="s">
        <v>1756</v>
      </c>
      <c r="D21" s="2081" t="s">
        <v>1718</v>
      </c>
      <c r="E21" s="2067"/>
    </row>
    <row r="22" spans="1:5" s="1064" customFormat="1" ht="16.5">
      <c r="A22" s="2050"/>
      <c r="B22" s="2072">
        <v>8</v>
      </c>
      <c r="C22" s="2066" t="s">
        <v>1757</v>
      </c>
      <c r="D22" s="2081" t="s">
        <v>1718</v>
      </c>
      <c r="E22" s="2067"/>
    </row>
    <row r="23" spans="1:5" s="1064" customFormat="1" ht="15">
      <c r="A23" s="2050"/>
      <c r="B23" s="2068" t="s">
        <v>516</v>
      </c>
      <c r="C23" s="2069"/>
      <c r="D23" s="2069"/>
      <c r="E23" s="2069"/>
    </row>
    <row r="24" spans="1:5" s="1064" customFormat="1" ht="15">
      <c r="A24" s="2050"/>
      <c r="B24" s="2070" t="s">
        <v>516</v>
      </c>
      <c r="C24" s="2062" t="s">
        <v>1726</v>
      </c>
      <c r="D24" s="2071"/>
      <c r="E24" s="2071"/>
    </row>
    <row r="25" spans="1:5" s="1064" customFormat="1" ht="16.5">
      <c r="A25" s="2050"/>
      <c r="B25" s="2063">
        <v>9</v>
      </c>
      <c r="C25" s="2073" t="s">
        <v>1727</v>
      </c>
      <c r="D25" s="2082" t="s">
        <v>1718</v>
      </c>
      <c r="E25" s="2065"/>
    </row>
    <row r="26" spans="1:5" s="1064" customFormat="1" ht="16.5">
      <c r="A26" s="2050"/>
      <c r="B26" s="2063">
        <v>10</v>
      </c>
      <c r="C26" s="2074" t="s">
        <v>1728</v>
      </c>
      <c r="D26" s="2082" t="s">
        <v>1718</v>
      </c>
      <c r="E26" s="2065"/>
    </row>
    <row r="27" spans="1:5" s="1064" customFormat="1" ht="16.5">
      <c r="A27" s="2050"/>
      <c r="B27" s="2063">
        <v>11</v>
      </c>
      <c r="C27" s="2066" t="s">
        <v>1729</v>
      </c>
      <c r="D27" s="2082" t="s">
        <v>1718</v>
      </c>
      <c r="E27" s="2065"/>
    </row>
    <row r="28" spans="1:5" s="2106" customFormat="1" ht="16.5" customHeight="1">
      <c r="A28" s="2050"/>
      <c r="B28" s="2063">
        <v>12</v>
      </c>
      <c r="C28" s="2066" t="s">
        <v>1773</v>
      </c>
      <c r="D28" s="2082" t="s">
        <v>1718</v>
      </c>
      <c r="E28" s="2065"/>
    </row>
    <row r="29" spans="1:5" s="1064" customFormat="1" ht="33">
      <c r="A29" s="2050"/>
      <c r="B29" s="2063">
        <v>13</v>
      </c>
      <c r="C29" s="2066" t="s">
        <v>1758</v>
      </c>
      <c r="D29" s="2081" t="s">
        <v>1718</v>
      </c>
      <c r="E29" s="2067"/>
    </row>
    <row r="30" spans="1:5" s="1064" customFormat="1" ht="33">
      <c r="A30" s="2050"/>
      <c r="B30" s="2063">
        <v>14</v>
      </c>
      <c r="C30" s="2066" t="s">
        <v>1759</v>
      </c>
      <c r="D30" s="2081" t="s">
        <v>1718</v>
      </c>
      <c r="E30" s="2067"/>
    </row>
    <row r="31" spans="1:5" s="1064" customFormat="1" ht="16.5">
      <c r="A31" s="2050"/>
      <c r="B31" s="2063">
        <v>15</v>
      </c>
      <c r="C31" s="2075" t="s">
        <v>1730</v>
      </c>
      <c r="D31" s="2082" t="s">
        <v>1718</v>
      </c>
      <c r="E31" s="2076"/>
    </row>
    <row r="32" spans="1:5" s="1064" customFormat="1" ht="16.5">
      <c r="A32" s="2050"/>
      <c r="B32" s="2063">
        <v>16</v>
      </c>
      <c r="C32" s="2075" t="s">
        <v>1731</v>
      </c>
      <c r="D32" s="2081" t="s">
        <v>1718</v>
      </c>
      <c r="E32" s="2067"/>
    </row>
    <row r="33" spans="1:5" s="1064" customFormat="1" ht="33">
      <c r="A33" s="2050"/>
      <c r="B33" s="2063">
        <v>17</v>
      </c>
      <c r="C33" s="2066" t="s">
        <v>1732</v>
      </c>
      <c r="D33" s="2081" t="s">
        <v>1718</v>
      </c>
      <c r="E33" s="2067"/>
    </row>
    <row r="34" spans="1:5" s="1064" customFormat="1" ht="16.5">
      <c r="A34" s="2050"/>
      <c r="B34" s="2063">
        <v>18</v>
      </c>
      <c r="C34" s="2066" t="s">
        <v>1733</v>
      </c>
      <c r="D34" s="2081" t="s">
        <v>1718</v>
      </c>
      <c r="E34" s="2067"/>
    </row>
    <row r="35" spans="1:5" s="1064" customFormat="1" ht="16.5">
      <c r="A35" s="2050"/>
      <c r="B35" s="2063">
        <v>19</v>
      </c>
      <c r="C35" s="2075" t="s">
        <v>1734</v>
      </c>
      <c r="D35" s="2081" t="s">
        <v>1718</v>
      </c>
      <c r="E35" s="2067"/>
    </row>
    <row r="36" spans="1:5" s="1064" customFormat="1" ht="33">
      <c r="A36" s="2050"/>
      <c r="B36" s="2063">
        <v>20</v>
      </c>
      <c r="C36" s="2066" t="s">
        <v>1735</v>
      </c>
      <c r="D36" s="2081" t="s">
        <v>1718</v>
      </c>
      <c r="E36" s="2067"/>
    </row>
    <row r="37" spans="1:5" s="1064" customFormat="1" ht="33">
      <c r="A37" s="2050"/>
      <c r="B37" s="2063">
        <v>21</v>
      </c>
      <c r="C37" s="2066" t="s">
        <v>1736</v>
      </c>
      <c r="D37" s="2081" t="s">
        <v>1718</v>
      </c>
      <c r="E37" s="2067"/>
    </row>
    <row r="38" spans="1:5" s="1064" customFormat="1" ht="16.5">
      <c r="A38" s="2050"/>
      <c r="B38" s="2063">
        <v>22</v>
      </c>
      <c r="C38" s="2066" t="s">
        <v>1737</v>
      </c>
      <c r="D38" s="2081" t="s">
        <v>1718</v>
      </c>
      <c r="E38" s="2067"/>
    </row>
    <row r="39" spans="1:5" s="1064" customFormat="1" ht="49.5">
      <c r="A39" s="2050"/>
      <c r="B39" s="2063">
        <v>23</v>
      </c>
      <c r="C39" s="2066" t="s">
        <v>1738</v>
      </c>
      <c r="D39" s="2081" t="s">
        <v>1718</v>
      </c>
      <c r="E39" s="2067"/>
    </row>
    <row r="40" spans="1:5" s="1064" customFormat="1" ht="33">
      <c r="A40" s="2050"/>
      <c r="B40" s="2063">
        <v>24</v>
      </c>
      <c r="C40" s="2066" t="s">
        <v>1739</v>
      </c>
      <c r="D40" s="2081" t="s">
        <v>1718</v>
      </c>
      <c r="E40" s="2067"/>
    </row>
    <row r="41" spans="1:5" s="1064" customFormat="1" ht="16.5">
      <c r="A41" s="2050"/>
      <c r="B41" s="2063">
        <v>25</v>
      </c>
      <c r="C41" s="2075" t="s">
        <v>1740</v>
      </c>
      <c r="D41" s="2081" t="s">
        <v>1718</v>
      </c>
      <c r="E41" s="2067"/>
    </row>
    <row r="42" spans="1:5" s="1064" customFormat="1" ht="33">
      <c r="A42" s="2050"/>
      <c r="B42" s="2063">
        <v>26</v>
      </c>
      <c r="C42" s="2077" t="s">
        <v>1741</v>
      </c>
      <c r="D42" s="2081" t="s">
        <v>1718</v>
      </c>
      <c r="E42" s="2067"/>
    </row>
    <row r="43" spans="1:5" s="1064" customFormat="1" ht="33">
      <c r="A43" s="2050"/>
      <c r="B43" s="2063">
        <v>27</v>
      </c>
      <c r="C43" s="2066" t="s">
        <v>1742</v>
      </c>
      <c r="D43" s="2081" t="s">
        <v>1718</v>
      </c>
      <c r="E43" s="2067"/>
    </row>
    <row r="44" spans="1:5" s="1064" customFormat="1" ht="16.5">
      <c r="A44" s="2050"/>
      <c r="B44" s="2063">
        <v>28</v>
      </c>
      <c r="C44" s="2075" t="s">
        <v>1743</v>
      </c>
      <c r="D44" s="2081" t="s">
        <v>1718</v>
      </c>
      <c r="E44" s="2067"/>
    </row>
    <row r="45" spans="1:5" s="1064" customFormat="1" ht="16.5">
      <c r="A45" s="2050"/>
      <c r="B45" s="2063">
        <v>29</v>
      </c>
      <c r="C45" s="2075" t="s">
        <v>1744</v>
      </c>
      <c r="D45" s="2081" t="s">
        <v>1718</v>
      </c>
      <c r="E45" s="2067"/>
    </row>
    <row r="46" spans="1:5" s="1064" customFormat="1" ht="15">
      <c r="A46" s="2050"/>
      <c r="B46" s="2068"/>
      <c r="C46" s="2069"/>
      <c r="D46" s="2069"/>
      <c r="E46" s="2069"/>
    </row>
    <row r="47" spans="1:5" s="1064" customFormat="1" ht="15">
      <c r="A47" s="2050"/>
      <c r="B47" s="2070"/>
      <c r="C47" s="2078" t="s">
        <v>1745</v>
      </c>
      <c r="D47" s="2071"/>
      <c r="E47" s="2071"/>
    </row>
    <row r="48" spans="1:5" s="1064" customFormat="1" ht="16.5">
      <c r="A48" s="2050"/>
      <c r="B48" s="2063">
        <v>30</v>
      </c>
      <c r="C48" s="2073" t="s">
        <v>1746</v>
      </c>
      <c r="D48" s="2083" t="s">
        <v>1718</v>
      </c>
      <c r="E48" s="2065"/>
    </row>
    <row r="49" spans="1:5" s="1064" customFormat="1" ht="15">
      <c r="A49" s="2050"/>
      <c r="B49" s="2068"/>
      <c r="C49" s="2069"/>
      <c r="D49" s="2079"/>
      <c r="E49" s="2069"/>
    </row>
    <row r="50" spans="1:5" s="1064" customFormat="1">
      <c r="A50" s="2050"/>
      <c r="B50" s="2052"/>
      <c r="C50" s="2053"/>
    </row>
    <row r="51" spans="1:5" s="1064" customFormat="1">
      <c r="A51" s="2050"/>
      <c r="B51" s="2145" t="s">
        <v>1752</v>
      </c>
      <c r="C51" s="2146"/>
      <c r="D51" s="2146"/>
      <c r="E51" s="2146"/>
    </row>
    <row r="52" spans="1:5" s="1064" customFormat="1">
      <c r="A52" s="2050"/>
    </row>
    <row r="53" spans="1:5" s="1064" customFormat="1">
      <c r="A53" s="2050"/>
      <c r="B53" s="2147" t="s">
        <v>1753</v>
      </c>
      <c r="C53" s="2146"/>
      <c r="D53" s="2146"/>
      <c r="E53" s="2146"/>
    </row>
    <row r="54" spans="1:5" s="1064" customFormat="1">
      <c r="A54" s="2050"/>
      <c r="D54" s="2060"/>
    </row>
    <row r="55" spans="1:5" s="1064" customFormat="1">
      <c r="A55" s="2050"/>
      <c r="B55" s="2148" t="s">
        <v>1747</v>
      </c>
      <c r="C55" s="2142"/>
      <c r="D55" s="2142"/>
      <c r="E55" s="2142"/>
    </row>
    <row r="56" spans="1:5" s="1064" customFormat="1">
      <c r="A56" s="2050"/>
      <c r="B56" s="2050"/>
      <c r="C56" s="2050"/>
    </row>
    <row r="57" spans="1:5" s="1064" customFormat="1">
      <c r="A57" s="2050"/>
      <c r="B57" s="2050"/>
      <c r="C57" s="2050"/>
    </row>
    <row r="58" spans="1:5" s="1064" customFormat="1">
      <c r="A58" s="2050"/>
      <c r="B58" s="2050"/>
      <c r="C58" s="2050"/>
    </row>
    <row r="59" spans="1:5" s="1064" customFormat="1">
      <c r="A59" s="2050"/>
      <c r="B59" s="2050"/>
      <c r="C59" s="2050"/>
    </row>
    <row r="60" spans="1:5" s="1064" customFormat="1">
      <c r="A60" s="2050"/>
      <c r="B60" s="2050"/>
      <c r="C60" s="2050"/>
    </row>
    <row r="61" spans="1:5" s="1064" customFormat="1">
      <c r="A61" s="2050"/>
      <c r="B61" s="2050"/>
      <c r="C61" s="2050"/>
    </row>
    <row r="62" spans="1:5" s="1064" customFormat="1">
      <c r="A62" s="2050"/>
      <c r="B62" s="2141"/>
      <c r="C62" s="2142"/>
      <c r="D62" s="2142"/>
      <c r="E62" s="2142"/>
    </row>
    <row r="63" spans="1:5" s="1064" customFormat="1">
      <c r="A63" s="2050"/>
      <c r="B63" s="2050"/>
      <c r="C63" s="2050"/>
    </row>
    <row r="64" spans="1:5" s="1064" customFormat="1">
      <c r="A64" s="2050"/>
      <c r="B64" s="2050"/>
      <c r="C64" s="2050"/>
    </row>
    <row r="65" spans="1:3" s="1064" customFormat="1">
      <c r="A65" s="2050"/>
      <c r="B65" s="2050"/>
      <c r="C65" s="2050"/>
    </row>
    <row r="66" spans="1:3" s="1064" customFormat="1">
      <c r="A66" s="2050"/>
      <c r="B66" s="2050"/>
      <c r="C66" s="2050"/>
    </row>
    <row r="67" spans="1:3" s="1064" customFormat="1">
      <c r="A67" s="2050"/>
      <c r="B67" s="2050"/>
      <c r="C67" s="2050"/>
    </row>
    <row r="68" spans="1:3" s="1064" customFormat="1">
      <c r="A68" s="2050"/>
      <c r="B68" s="2050"/>
      <c r="C68" s="2050"/>
    </row>
    <row r="69" spans="1:3" s="1064" customFormat="1">
      <c r="A69" s="2050"/>
      <c r="B69" s="2050"/>
      <c r="C69" s="2050"/>
    </row>
    <row r="70" spans="1:3" s="1064" customFormat="1">
      <c r="A70" s="2050"/>
      <c r="B70" s="2050"/>
      <c r="C70" s="2050"/>
    </row>
    <row r="71" spans="1:3" s="1064" customFormat="1">
      <c r="A71" s="2050"/>
      <c r="B71" s="2050"/>
      <c r="C71" s="2050"/>
    </row>
    <row r="72" spans="1:3" s="1064" customFormat="1">
      <c r="A72" s="2050"/>
      <c r="B72" s="2050"/>
      <c r="C72" s="2050"/>
    </row>
    <row r="73" spans="1:3" s="1064" customFormat="1">
      <c r="A73" s="2050"/>
      <c r="B73" s="2050"/>
      <c r="C73" s="2050"/>
    </row>
    <row r="74" spans="1:3" s="1064" customFormat="1">
      <c r="A74" s="2050"/>
      <c r="B74" s="2050"/>
      <c r="C74" s="2050"/>
    </row>
    <row r="75" spans="1:3" s="1064" customFormat="1">
      <c r="A75" s="2050"/>
      <c r="B75" s="2050"/>
      <c r="C75" s="2050"/>
    </row>
    <row r="76" spans="1:3" s="1064" customFormat="1">
      <c r="A76" s="2050"/>
      <c r="B76" s="2050"/>
      <c r="C76" s="2050"/>
    </row>
    <row r="77" spans="1:3" s="1064" customFormat="1">
      <c r="A77" s="2050"/>
      <c r="B77" s="2050"/>
      <c r="C77" s="2050"/>
    </row>
    <row r="78" spans="1:3" s="1064" customFormat="1">
      <c r="A78" s="2050"/>
      <c r="B78" s="2050"/>
      <c r="C78" s="2050"/>
    </row>
    <row r="79" spans="1:3" s="1064" customFormat="1">
      <c r="A79" s="2050"/>
      <c r="B79" s="2050"/>
      <c r="C79" s="2050"/>
    </row>
    <row r="80" spans="1:3" s="1064" customFormat="1">
      <c r="A80" s="2050"/>
      <c r="B80" s="2050"/>
      <c r="C80" s="2050"/>
    </row>
    <row r="81" spans="1:3" s="1064" customFormat="1">
      <c r="A81" s="2050"/>
      <c r="B81" s="2050"/>
      <c r="C81" s="2050"/>
    </row>
    <row r="82" spans="1:3" s="1064" customFormat="1">
      <c r="A82" s="2050"/>
      <c r="B82" s="2050"/>
      <c r="C82" s="2050"/>
    </row>
    <row r="83" spans="1:3" s="1064" customFormat="1">
      <c r="A83" s="2050"/>
      <c r="B83" s="2050"/>
      <c r="C83" s="2050"/>
    </row>
    <row r="84" spans="1:3" s="1064" customFormat="1">
      <c r="A84" s="2050"/>
      <c r="B84" s="2050"/>
      <c r="C84" s="2050"/>
    </row>
    <row r="85" spans="1:3" s="1064" customFormat="1">
      <c r="A85" s="2050"/>
      <c r="B85" s="2050"/>
      <c r="C85" s="2050"/>
    </row>
    <row r="86" spans="1:3" s="1064" customFormat="1">
      <c r="A86" s="2050"/>
      <c r="B86" s="2050"/>
      <c r="C86" s="2050"/>
    </row>
    <row r="87" spans="1:3" s="1064" customFormat="1">
      <c r="A87" s="2050"/>
      <c r="B87" s="2050"/>
      <c r="C87" s="2050"/>
    </row>
    <row r="88" spans="1:3" s="1064" customFormat="1">
      <c r="A88" s="2050"/>
      <c r="B88" s="2050"/>
      <c r="C88" s="2050"/>
    </row>
    <row r="89" spans="1:3" s="1064" customFormat="1">
      <c r="A89" s="2050"/>
      <c r="B89" s="2050"/>
      <c r="C89" s="2050"/>
    </row>
    <row r="90" spans="1:3" s="1064" customFormat="1">
      <c r="A90" s="2050"/>
      <c r="B90" s="2050"/>
      <c r="C90" s="2050"/>
    </row>
    <row r="91" spans="1:3" s="1064" customFormat="1">
      <c r="A91" s="2050"/>
      <c r="B91" s="2050"/>
      <c r="C91" s="2050"/>
    </row>
    <row r="92" spans="1:3" s="1064" customFormat="1">
      <c r="A92" s="2050"/>
      <c r="B92" s="2050"/>
      <c r="C92" s="2050"/>
    </row>
    <row r="93" spans="1:3" s="1064" customFormat="1">
      <c r="A93" s="2050"/>
      <c r="B93" s="2050"/>
      <c r="C93" s="2050"/>
    </row>
    <row r="94" spans="1:3" s="1064" customFormat="1">
      <c r="A94" s="2050"/>
      <c r="B94" s="2050"/>
      <c r="C94" s="2050"/>
    </row>
    <row r="95" spans="1:3" s="1064" customFormat="1">
      <c r="A95" s="2050"/>
      <c r="B95" s="2050"/>
      <c r="C95" s="2050"/>
    </row>
    <row r="96" spans="1:3" s="1064" customFormat="1">
      <c r="A96" s="2050"/>
      <c r="B96" s="2050"/>
      <c r="C96" s="2050"/>
    </row>
    <row r="97" spans="1:3" s="1064" customFormat="1">
      <c r="A97" s="2050"/>
      <c r="B97" s="2050"/>
      <c r="C97" s="2050"/>
    </row>
    <row r="98" spans="1:3" s="1064" customFormat="1">
      <c r="A98" s="2050"/>
      <c r="B98" s="2050"/>
      <c r="C98" s="2050"/>
    </row>
    <row r="99" spans="1:3" s="1064" customFormat="1">
      <c r="A99" s="2050"/>
      <c r="B99" s="2050"/>
      <c r="C99" s="2050"/>
    </row>
    <row r="100" spans="1:3" s="1064" customFormat="1">
      <c r="A100" s="2050"/>
      <c r="B100" s="2050"/>
      <c r="C100" s="2050"/>
    </row>
    <row r="101" spans="1:3" s="1064" customFormat="1">
      <c r="A101" s="2050"/>
      <c r="B101" s="2050"/>
      <c r="C101" s="2050"/>
    </row>
    <row r="102" spans="1:3" s="1064" customFormat="1">
      <c r="A102" s="2050"/>
      <c r="B102" s="2050"/>
      <c r="C102" s="2050"/>
    </row>
    <row r="103" spans="1:3" s="1064" customFormat="1">
      <c r="A103" s="2050"/>
      <c r="B103" s="2050"/>
      <c r="C103" s="2050"/>
    </row>
    <row r="104" spans="1:3" s="1064" customFormat="1">
      <c r="A104" s="2050"/>
      <c r="B104" s="2050"/>
      <c r="C104" s="2050"/>
    </row>
    <row r="105" spans="1:3" s="1064" customFormat="1">
      <c r="A105" s="2050"/>
      <c r="B105" s="2050"/>
      <c r="C105" s="2050"/>
    </row>
    <row r="106" spans="1:3" s="1064" customFormat="1">
      <c r="A106" s="2050"/>
      <c r="B106" s="2050"/>
      <c r="C106" s="2050"/>
    </row>
    <row r="107" spans="1:3" s="1064" customFormat="1">
      <c r="A107" s="2050"/>
      <c r="B107" s="2050"/>
      <c r="C107" s="2050"/>
    </row>
    <row r="108" spans="1:3" s="1064" customFormat="1">
      <c r="A108" s="2050"/>
      <c r="B108" s="2050"/>
      <c r="C108" s="2050"/>
    </row>
    <row r="109" spans="1:3" s="1064" customFormat="1">
      <c r="A109" s="2050"/>
      <c r="B109" s="2050"/>
      <c r="C109" s="2050"/>
    </row>
    <row r="110" spans="1:3" s="1064" customFormat="1">
      <c r="A110" s="2050"/>
      <c r="B110" s="2050"/>
      <c r="C110" s="2050"/>
    </row>
    <row r="111" spans="1:3" s="1064" customFormat="1">
      <c r="A111" s="2050"/>
      <c r="B111" s="2050"/>
      <c r="C111" s="2050"/>
    </row>
    <row r="112" spans="1:3" s="1064" customFormat="1">
      <c r="A112" s="2050"/>
      <c r="B112" s="2050"/>
      <c r="C112" s="2050"/>
    </row>
    <row r="113" spans="1:3" s="1064" customFormat="1">
      <c r="A113" s="2050"/>
      <c r="B113" s="2050"/>
      <c r="C113" s="2050"/>
    </row>
    <row r="114" spans="1:3" s="1064" customFormat="1">
      <c r="A114" s="2050"/>
      <c r="B114" s="2050"/>
      <c r="C114" s="2050"/>
    </row>
    <row r="115" spans="1:3" s="1064" customFormat="1">
      <c r="A115" s="2050"/>
      <c r="B115" s="2050"/>
      <c r="C115" s="2050"/>
    </row>
    <row r="116" spans="1:3" s="1064" customFormat="1">
      <c r="A116" s="2050"/>
      <c r="B116" s="2050"/>
      <c r="C116" s="2050"/>
    </row>
    <row r="117" spans="1:3" s="1064" customFormat="1">
      <c r="A117" s="2050"/>
      <c r="B117" s="2050"/>
      <c r="C117" s="2050"/>
    </row>
    <row r="118" spans="1:3" s="1064" customFormat="1">
      <c r="A118" s="2050"/>
      <c r="B118" s="2050"/>
      <c r="C118" s="2050"/>
    </row>
    <row r="119" spans="1:3" s="1064" customFormat="1">
      <c r="A119" s="2050"/>
      <c r="B119" s="2050"/>
      <c r="C119" s="2050"/>
    </row>
    <row r="120" spans="1:3" s="1064" customFormat="1">
      <c r="A120" s="2050"/>
      <c r="B120" s="2050"/>
      <c r="C120" s="2050"/>
    </row>
    <row r="121" spans="1:3" s="1064" customFormat="1">
      <c r="A121" s="2050"/>
      <c r="B121" s="2050"/>
      <c r="C121" s="2050"/>
    </row>
    <row r="122" spans="1:3" s="1064" customFormat="1">
      <c r="A122" s="2050"/>
      <c r="B122" s="2050"/>
      <c r="C122" s="2050"/>
    </row>
    <row r="123" spans="1:3" s="1064" customFormat="1">
      <c r="A123" s="2050"/>
      <c r="B123" s="2050"/>
      <c r="C123" s="2050"/>
    </row>
    <row r="124" spans="1:3" s="1064" customFormat="1">
      <c r="A124" s="2050"/>
      <c r="B124" s="2050"/>
      <c r="C124" s="2050"/>
    </row>
    <row r="125" spans="1:3" s="1064" customFormat="1">
      <c r="A125" s="2050"/>
      <c r="B125" s="2050"/>
      <c r="C125" s="2050"/>
    </row>
    <row r="126" spans="1:3" s="1064" customFormat="1">
      <c r="A126" s="2050"/>
      <c r="B126" s="2050"/>
      <c r="C126" s="2050"/>
    </row>
    <row r="127" spans="1:3" s="1064" customFormat="1">
      <c r="A127" s="2050"/>
      <c r="B127" s="2050"/>
      <c r="C127" s="2050"/>
    </row>
    <row r="128" spans="1:3" s="1064" customFormat="1">
      <c r="A128" s="2050"/>
      <c r="B128" s="2050"/>
      <c r="C128" s="2050"/>
    </row>
    <row r="129" spans="1:3" s="1064" customFormat="1">
      <c r="A129" s="2050"/>
      <c r="B129" s="2050"/>
      <c r="C129" s="2050"/>
    </row>
    <row r="130" spans="1:3" s="1064" customFormat="1">
      <c r="A130" s="2050"/>
      <c r="B130" s="2050"/>
      <c r="C130" s="2050"/>
    </row>
    <row r="131" spans="1:3" s="1064" customFormat="1">
      <c r="A131" s="2050"/>
      <c r="B131" s="2050"/>
      <c r="C131" s="2050"/>
    </row>
    <row r="132" spans="1:3" s="1064" customFormat="1">
      <c r="A132" s="2050"/>
      <c r="B132" s="2050"/>
      <c r="C132" s="2050"/>
    </row>
    <row r="133" spans="1:3" s="1064" customFormat="1">
      <c r="A133" s="2050"/>
      <c r="B133" s="2050"/>
      <c r="C133" s="2050"/>
    </row>
    <row r="134" spans="1:3" s="1064" customFormat="1">
      <c r="A134" s="2050"/>
      <c r="B134" s="2050"/>
      <c r="C134" s="2050"/>
    </row>
    <row r="135" spans="1:3" s="1064" customFormat="1">
      <c r="A135" s="2050"/>
      <c r="B135" s="2050"/>
      <c r="C135" s="2050"/>
    </row>
    <row r="136" spans="1:3" s="1064" customFormat="1"/>
    <row r="137" spans="1:3" s="1064" customFormat="1"/>
    <row r="138" spans="1:3" s="1064" customFormat="1"/>
    <row r="139" spans="1:3" s="1064" customFormat="1"/>
    <row r="140" spans="1:3" s="1064" customFormat="1"/>
    <row r="141" spans="1:3" s="1064" customFormat="1"/>
    <row r="142" spans="1:3" s="1064" customFormat="1"/>
    <row r="143" spans="1:3" s="1064" customFormat="1"/>
    <row r="144" spans="1:3" s="1064" customFormat="1"/>
    <row r="145" s="1064" customFormat="1"/>
    <row r="146" s="1064" customFormat="1"/>
    <row r="147" s="1064" customFormat="1"/>
    <row r="148" s="1064" customFormat="1"/>
    <row r="149" s="1064" customFormat="1"/>
    <row r="150" s="1064" customFormat="1"/>
    <row r="151" s="1064" customFormat="1"/>
    <row r="152" s="1064" customFormat="1"/>
    <row r="153" s="1064" customFormat="1"/>
    <row r="154" s="1064" customFormat="1"/>
    <row r="155" s="1064" customFormat="1"/>
    <row r="156" s="1064" customFormat="1"/>
    <row r="157" s="1064" customFormat="1"/>
    <row r="158" s="1064" customFormat="1"/>
    <row r="159" s="1064" customFormat="1"/>
    <row r="160" s="1064" customFormat="1"/>
    <row r="161" s="1064" customFormat="1"/>
    <row r="162" s="1064" customFormat="1"/>
    <row r="163" s="1064" customFormat="1"/>
    <row r="164" s="1064" customFormat="1"/>
    <row r="165" s="1064" customFormat="1"/>
    <row r="166" s="1064" customFormat="1"/>
    <row r="167" s="1064" customFormat="1"/>
    <row r="168" s="1064" customFormat="1"/>
    <row r="169" s="1064" customFormat="1"/>
    <row r="170" s="1064" customFormat="1"/>
    <row r="171" s="1064" customFormat="1"/>
    <row r="172" s="1064" customFormat="1"/>
    <row r="173" s="1064" customFormat="1"/>
    <row r="174" s="1064" customFormat="1"/>
    <row r="175" s="1064" customFormat="1"/>
    <row r="176" s="1064" customFormat="1"/>
    <row r="177" s="1064" customFormat="1"/>
    <row r="178" s="1064" customFormat="1"/>
    <row r="179" s="1064" customFormat="1"/>
    <row r="180" s="1064" customFormat="1"/>
    <row r="181" s="1064" customFormat="1"/>
    <row r="182" s="1064" customFormat="1"/>
    <row r="183" s="1064" customFormat="1"/>
    <row r="184" s="1064" customFormat="1"/>
    <row r="185" s="1064" customFormat="1"/>
    <row r="186" s="1064" customFormat="1"/>
    <row r="187" s="1064" customFormat="1"/>
    <row r="188" s="1064" customFormat="1"/>
    <row r="189" s="1064" customFormat="1"/>
    <row r="190" s="1064" customFormat="1"/>
    <row r="191" s="1064" customFormat="1"/>
    <row r="192" s="1064" customFormat="1"/>
    <row r="193" s="1064" customFormat="1"/>
    <row r="194" s="1064" customFormat="1"/>
    <row r="195" s="1064" customFormat="1"/>
    <row r="196" s="1064" customFormat="1"/>
    <row r="197" s="1064" customFormat="1"/>
    <row r="198" s="1064" customFormat="1"/>
    <row r="199" s="1064" customFormat="1"/>
    <row r="200" s="1064" customFormat="1"/>
    <row r="201" s="1064" customFormat="1"/>
    <row r="202" s="1064" customFormat="1"/>
    <row r="203" s="1064" customFormat="1"/>
    <row r="204" s="1064" customFormat="1"/>
    <row r="205" s="1064" customFormat="1"/>
    <row r="206" s="1064" customFormat="1"/>
    <row r="207" s="1064" customFormat="1"/>
    <row r="208" s="1064" customFormat="1"/>
    <row r="209" s="1064" customFormat="1"/>
    <row r="210" s="1064" customFormat="1"/>
    <row r="211" s="1064" customFormat="1"/>
    <row r="212" s="1064" customFormat="1"/>
    <row r="213" s="1064" customFormat="1"/>
    <row r="214" s="1064" customFormat="1"/>
    <row r="215" s="1064" customFormat="1"/>
    <row r="216" s="1064" customFormat="1"/>
    <row r="217" s="1064" customFormat="1"/>
    <row r="218" s="1064" customFormat="1"/>
    <row r="219" s="1064" customFormat="1"/>
    <row r="220" s="1064" customFormat="1"/>
    <row r="221" s="1064" customFormat="1"/>
    <row r="222" s="1064" customFormat="1"/>
    <row r="223" s="1064" customFormat="1"/>
    <row r="224" s="1064" customFormat="1"/>
    <row r="225" s="1064" customFormat="1"/>
    <row r="226" s="1064" customFormat="1"/>
    <row r="227" s="1064" customFormat="1"/>
    <row r="228" s="1064" customFormat="1"/>
    <row r="229" s="1064" customFormat="1"/>
    <row r="230" s="1064" customFormat="1"/>
    <row r="231" s="1064" customFormat="1"/>
    <row r="232" s="1064" customFormat="1"/>
    <row r="233" s="1064" customFormat="1"/>
    <row r="234" s="1064" customFormat="1"/>
    <row r="235" s="1064" customFormat="1"/>
    <row r="236" s="1064" customFormat="1"/>
    <row r="237" s="1064" customFormat="1"/>
    <row r="238" s="1064" customFormat="1"/>
    <row r="239" s="1064" customFormat="1"/>
    <row r="240" s="1064" customFormat="1"/>
    <row r="241" s="1064" customFormat="1"/>
    <row r="242" s="1064" customFormat="1"/>
    <row r="243" s="1064" customFormat="1"/>
    <row r="244" s="1064" customFormat="1"/>
    <row r="245" s="1064" customFormat="1"/>
    <row r="246" s="1064" customFormat="1"/>
    <row r="247" s="1064" customFormat="1"/>
    <row r="248" s="1064" customFormat="1"/>
    <row r="249" s="1064" customFormat="1"/>
    <row r="250" s="1064" customFormat="1"/>
    <row r="251" s="1064" customFormat="1"/>
    <row r="252" s="1064" customFormat="1"/>
    <row r="253" s="1064" customFormat="1"/>
    <row r="254" s="1064" customFormat="1"/>
    <row r="255" s="1064" customFormat="1"/>
    <row r="256" s="1064" customFormat="1"/>
    <row r="257" s="1064" customFormat="1"/>
    <row r="258" s="1064" customFormat="1"/>
    <row r="259" s="1064" customFormat="1"/>
    <row r="260" s="1064" customFormat="1"/>
    <row r="261" s="1064" customFormat="1"/>
    <row r="262" s="1064" customFormat="1"/>
    <row r="263" s="1064" customFormat="1"/>
    <row r="264" s="1064" customFormat="1"/>
    <row r="265" s="1064" customFormat="1"/>
    <row r="266" s="1064" customFormat="1"/>
    <row r="267" s="1064" customFormat="1"/>
    <row r="268" s="1064" customFormat="1"/>
    <row r="269" s="1064" customFormat="1"/>
    <row r="270" s="1064" customFormat="1"/>
    <row r="271" s="1064" customFormat="1"/>
    <row r="272" s="1064" customFormat="1"/>
    <row r="273" s="1064" customFormat="1"/>
    <row r="274" s="1064" customFormat="1"/>
    <row r="275" s="1064" customFormat="1"/>
    <row r="276" s="1064" customFormat="1"/>
  </sheetData>
  <sheetProtection password="AD9B" sheet="1" objects="1" scenarios="1" sort="0"/>
  <mergeCells count="5">
    <mergeCell ref="B62:E62"/>
    <mergeCell ref="B8:E8"/>
    <mergeCell ref="B51:E51"/>
    <mergeCell ref="B53:E53"/>
    <mergeCell ref="B55:E55"/>
  </mergeCells>
  <pageMargins left="0.59055118110236227" right="0.25" top="0.47244094488188981" bottom="0.47244094488188981" header="0.35433070866141736" footer="0.23622047244094491"/>
  <pageSetup paperSize="9" scale="66" orientation="portrait" blackAndWhite="1" r:id="rId1"/>
  <headerFooter alignWithMargins="0">
    <oddHeader>&amp;LGreen Building Council of South Africa&amp;R&amp;T   &amp;D</oddHeader>
    <oddFooter>&amp;L&amp;F&amp;CPage &amp;P of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Calculation!$A$79:$A$81</xm:f>
          </x14:formula1>
          <xm:sqref>D12:D15 D19:D22 D25:D45 D48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73"/>
  <sheetViews>
    <sheetView topLeftCell="A19" zoomScaleNormal="100" zoomScaleSheetLayoutView="100" workbookViewId="0">
      <selection activeCell="C23" sqref="C23"/>
    </sheetView>
  </sheetViews>
  <sheetFormatPr defaultColWidth="7.875" defaultRowHeight="12.75"/>
  <cols>
    <col min="1" max="1" width="3.375" style="1075" customWidth="1"/>
    <col min="2" max="2" width="9.125" style="1075" customWidth="1"/>
    <col min="3" max="3" width="85.625" style="1075" customWidth="1"/>
    <col min="4" max="4" width="12.625" style="1075" customWidth="1"/>
    <col min="5" max="16384" width="7.875" style="1075"/>
  </cols>
  <sheetData>
    <row r="1" spans="1:7" s="1059" customFormat="1" ht="44.25" customHeight="1"/>
    <row r="2" spans="1:7" s="1059" customFormat="1"/>
    <row r="3" spans="1:7" s="1059" customFormat="1">
      <c r="B3" s="1060" t="s">
        <v>512</v>
      </c>
      <c r="C3" s="1060"/>
      <c r="E3" s="1060"/>
      <c r="G3" s="1060"/>
    </row>
    <row r="4" spans="1:7" s="1059" customFormat="1" ht="6.75" customHeight="1"/>
    <row r="5" spans="1:7" s="1059" customFormat="1" ht="8.25" customHeight="1">
      <c r="A5" s="1061"/>
      <c r="B5" s="1061"/>
      <c r="C5" s="1061"/>
      <c r="D5" s="1061"/>
      <c r="E5" s="1061"/>
    </row>
    <row r="6" spans="1:7" s="1059" customFormat="1" ht="6.75" customHeight="1"/>
    <row r="7" spans="1:7" s="1059" customFormat="1" ht="54.75" customHeight="1">
      <c r="A7" s="1062"/>
      <c r="B7" s="1063" t="s">
        <v>1749</v>
      </c>
      <c r="C7" s="2057"/>
      <c r="D7" s="2057"/>
      <c r="E7" s="2057"/>
    </row>
    <row r="8" spans="1:7" s="1064" customFormat="1" ht="12.75" customHeight="1">
      <c r="B8" s="2143" t="s">
        <v>1748</v>
      </c>
      <c r="C8" s="2144"/>
      <c r="D8" s="2144"/>
      <c r="E8" s="2144"/>
    </row>
    <row r="9" spans="1:7" s="1064" customFormat="1" ht="8.25" customHeight="1">
      <c r="A9" s="1075"/>
      <c r="B9" s="1811"/>
      <c r="C9" s="1811"/>
      <c r="D9" s="1811"/>
      <c r="E9" s="1811"/>
    </row>
    <row r="10" spans="1:7" s="1064" customFormat="1" ht="12.75" customHeight="1">
      <c r="B10" s="1065"/>
    </row>
    <row r="11" spans="1:7" s="1064" customFormat="1" ht="15">
      <c r="B11" s="2084"/>
      <c r="C11" s="2085" t="s">
        <v>1716</v>
      </c>
      <c r="D11" s="2086"/>
      <c r="E11" s="2086"/>
    </row>
    <row r="12" spans="1:7" s="1064" customFormat="1" ht="16.5">
      <c r="B12" s="2087">
        <v>1</v>
      </c>
      <c r="C12" s="2088" t="s">
        <v>1720</v>
      </c>
      <c r="D12" s="2105" t="s">
        <v>1718</v>
      </c>
      <c r="E12" s="2089"/>
    </row>
    <row r="13" spans="1:7" s="1064" customFormat="1" ht="15">
      <c r="B13" s="2090"/>
      <c r="C13" s="2091"/>
      <c r="D13" s="2092"/>
      <c r="E13" s="2092"/>
    </row>
    <row r="14" spans="1:7" s="1064" customFormat="1" ht="15">
      <c r="B14" s="2093"/>
      <c r="C14" s="2085" t="s">
        <v>1722</v>
      </c>
      <c r="D14" s="2084"/>
      <c r="E14" s="2084"/>
    </row>
    <row r="15" spans="1:7" s="1064" customFormat="1" ht="33">
      <c r="B15" s="2087">
        <v>2</v>
      </c>
      <c r="C15" s="2094" t="s">
        <v>1750</v>
      </c>
      <c r="D15" s="2105" t="s">
        <v>1718</v>
      </c>
      <c r="E15" s="2089"/>
    </row>
    <row r="16" spans="1:7" s="1064" customFormat="1" ht="15">
      <c r="B16" s="2090"/>
      <c r="C16" s="2091"/>
      <c r="D16" s="2095"/>
      <c r="E16" s="2092"/>
    </row>
    <row r="17" spans="2:5" s="1064" customFormat="1" ht="15">
      <c r="B17" s="2093"/>
      <c r="C17" s="2085" t="s">
        <v>1726</v>
      </c>
      <c r="D17" s="2084"/>
      <c r="E17" s="2084"/>
    </row>
    <row r="18" spans="2:5" s="1064" customFormat="1" ht="16.5">
      <c r="B18" s="2087">
        <v>3</v>
      </c>
      <c r="C18" s="2096" t="s">
        <v>1727</v>
      </c>
      <c r="D18" s="2105" t="s">
        <v>1718</v>
      </c>
      <c r="E18" s="2089"/>
    </row>
    <row r="19" spans="2:5" s="1064" customFormat="1" ht="16.5">
      <c r="B19" s="2097">
        <v>4</v>
      </c>
      <c r="C19" s="2098" t="s">
        <v>1728</v>
      </c>
      <c r="D19" s="2105" t="s">
        <v>1718</v>
      </c>
      <c r="E19" s="2089"/>
    </row>
    <row r="20" spans="2:5" s="1064" customFormat="1" ht="16.5">
      <c r="B20" s="2087">
        <v>5</v>
      </c>
      <c r="C20" s="2099" t="s">
        <v>1729</v>
      </c>
      <c r="D20" s="2105" t="s">
        <v>1718</v>
      </c>
      <c r="E20" s="2089"/>
    </row>
    <row r="21" spans="2:5" s="2106" customFormat="1" ht="17.25" customHeight="1">
      <c r="B21" s="2087">
        <v>6</v>
      </c>
      <c r="C21" s="2066" t="s">
        <v>1773</v>
      </c>
      <c r="D21" s="2105" t="s">
        <v>1718</v>
      </c>
      <c r="E21" s="2089"/>
    </row>
    <row r="22" spans="2:5" s="1064" customFormat="1" ht="33">
      <c r="B22" s="2097">
        <v>7</v>
      </c>
      <c r="C22" s="2099" t="s">
        <v>1758</v>
      </c>
      <c r="D22" s="2105" t="s">
        <v>1718</v>
      </c>
      <c r="E22" s="2089"/>
    </row>
    <row r="23" spans="2:5" s="1064" customFormat="1" ht="33">
      <c r="B23" s="2087">
        <v>8</v>
      </c>
      <c r="C23" s="2099" t="s">
        <v>1774</v>
      </c>
      <c r="D23" s="2105" t="s">
        <v>1718</v>
      </c>
      <c r="E23" s="2089"/>
    </row>
    <row r="24" spans="2:5" s="1064" customFormat="1" ht="16.5">
      <c r="B24" s="2087">
        <v>9</v>
      </c>
      <c r="C24" s="2100" t="s">
        <v>1730</v>
      </c>
      <c r="D24" s="2105" t="s">
        <v>1718</v>
      </c>
      <c r="E24" s="2089"/>
    </row>
    <row r="25" spans="2:5" s="1064" customFormat="1" ht="16.5">
      <c r="B25" s="2097">
        <v>10</v>
      </c>
      <c r="C25" s="2100" t="s">
        <v>1731</v>
      </c>
      <c r="D25" s="2105" t="s">
        <v>1718</v>
      </c>
      <c r="E25" s="2089"/>
    </row>
    <row r="26" spans="2:5" s="1064" customFormat="1" ht="33">
      <c r="B26" s="2087">
        <v>11</v>
      </c>
      <c r="C26" s="2099" t="s">
        <v>1732</v>
      </c>
      <c r="D26" s="2105" t="s">
        <v>1718</v>
      </c>
      <c r="E26" s="2089"/>
    </row>
    <row r="27" spans="2:5" s="1064" customFormat="1" ht="16.5">
      <c r="B27" s="2087">
        <v>12</v>
      </c>
      <c r="C27" s="2099" t="s">
        <v>1733</v>
      </c>
      <c r="D27" s="2105" t="s">
        <v>1718</v>
      </c>
      <c r="E27" s="2089"/>
    </row>
    <row r="28" spans="2:5" s="1064" customFormat="1" ht="16.5">
      <c r="B28" s="2097">
        <v>13</v>
      </c>
      <c r="C28" s="2100" t="s">
        <v>1734</v>
      </c>
      <c r="D28" s="2105" t="s">
        <v>1718</v>
      </c>
      <c r="E28" s="2089"/>
    </row>
    <row r="29" spans="2:5" s="1064" customFormat="1" ht="33">
      <c r="B29" s="2087">
        <v>14</v>
      </c>
      <c r="C29" s="2099" t="s">
        <v>1735</v>
      </c>
      <c r="D29" s="2105" t="s">
        <v>1718</v>
      </c>
      <c r="E29" s="2089"/>
    </row>
    <row r="30" spans="2:5" s="1064" customFormat="1" ht="33">
      <c r="B30" s="2087">
        <v>15</v>
      </c>
      <c r="C30" s="2101" t="s">
        <v>1736</v>
      </c>
      <c r="D30" s="2105" t="s">
        <v>1718</v>
      </c>
      <c r="E30" s="2089"/>
    </row>
    <row r="31" spans="2:5" s="1064" customFormat="1" ht="16.5">
      <c r="B31" s="2097">
        <v>16</v>
      </c>
      <c r="C31" s="2101" t="s">
        <v>1737</v>
      </c>
      <c r="D31" s="2105" t="s">
        <v>1718</v>
      </c>
      <c r="E31" s="2089"/>
    </row>
    <row r="32" spans="2:5" s="1064" customFormat="1" ht="49.5">
      <c r="B32" s="2087">
        <v>17</v>
      </c>
      <c r="C32" s="2099" t="s">
        <v>1738</v>
      </c>
      <c r="D32" s="2105" t="s">
        <v>1718</v>
      </c>
      <c r="E32" s="2089"/>
    </row>
    <row r="33" spans="2:5" s="1064" customFormat="1" ht="33">
      <c r="B33" s="2087">
        <v>18</v>
      </c>
      <c r="C33" s="2099" t="s">
        <v>1739</v>
      </c>
      <c r="D33" s="2105" t="s">
        <v>1718</v>
      </c>
      <c r="E33" s="2089"/>
    </row>
    <row r="34" spans="2:5" s="1064" customFormat="1" ht="16.5">
      <c r="B34" s="2097">
        <v>19</v>
      </c>
      <c r="C34" s="2100" t="s">
        <v>1740</v>
      </c>
      <c r="D34" s="2105" t="s">
        <v>1718</v>
      </c>
      <c r="E34" s="2089"/>
    </row>
    <row r="35" spans="2:5" s="1064" customFormat="1" ht="33">
      <c r="B35" s="2087">
        <v>20</v>
      </c>
      <c r="C35" s="2102" t="s">
        <v>1741</v>
      </c>
      <c r="D35" s="2105" t="s">
        <v>1718</v>
      </c>
      <c r="E35" s="2089"/>
    </row>
    <row r="36" spans="2:5" s="1064" customFormat="1" ht="33">
      <c r="B36" s="2087">
        <v>21</v>
      </c>
      <c r="C36" s="2101" t="s">
        <v>1742</v>
      </c>
      <c r="D36" s="2105" t="s">
        <v>1718</v>
      </c>
      <c r="E36" s="2089"/>
    </row>
    <row r="37" spans="2:5" s="1064" customFormat="1" ht="16.5">
      <c r="B37" s="2097">
        <v>22</v>
      </c>
      <c r="C37" s="2100" t="s">
        <v>1743</v>
      </c>
      <c r="D37" s="2105" t="s">
        <v>1718</v>
      </c>
      <c r="E37" s="2103"/>
    </row>
    <row r="38" spans="2:5" s="1064" customFormat="1" ht="16.5">
      <c r="B38" s="2087">
        <v>23</v>
      </c>
      <c r="C38" s="2099" t="s">
        <v>1751</v>
      </c>
      <c r="D38" s="2105" t="s">
        <v>1718</v>
      </c>
      <c r="E38" s="2089"/>
    </row>
    <row r="39" spans="2:5" s="1064" customFormat="1" ht="16.5">
      <c r="B39" s="2087">
        <v>24</v>
      </c>
      <c r="C39" s="2100" t="s">
        <v>1744</v>
      </c>
      <c r="D39" s="2105" t="s">
        <v>1718</v>
      </c>
      <c r="E39" s="2089"/>
    </row>
    <row r="40" spans="2:5" s="1064" customFormat="1" ht="15">
      <c r="B40" s="2090"/>
      <c r="C40" s="2091"/>
      <c r="D40" s="2092"/>
      <c r="E40" s="2092"/>
    </row>
    <row r="41" spans="2:5" s="1064" customFormat="1" ht="15">
      <c r="B41" s="2093"/>
      <c r="C41" s="2104" t="s">
        <v>1745</v>
      </c>
      <c r="D41" s="2084"/>
      <c r="E41" s="2084"/>
    </row>
    <row r="42" spans="2:5" s="1064" customFormat="1" ht="16.5">
      <c r="B42" s="2087">
        <v>25</v>
      </c>
      <c r="C42" s="2096" t="s">
        <v>1746</v>
      </c>
      <c r="D42" s="2105" t="s">
        <v>1718</v>
      </c>
      <c r="E42" s="2089"/>
    </row>
    <row r="43" spans="2:5" s="1064" customFormat="1" ht="15">
      <c r="B43" s="2090"/>
      <c r="C43" s="2092"/>
      <c r="D43" s="2092"/>
      <c r="E43" s="2092"/>
    </row>
    <row r="44" spans="2:5" s="1064" customFormat="1"/>
    <row r="45" spans="2:5" s="1064" customFormat="1">
      <c r="B45" s="2145" t="s">
        <v>1752</v>
      </c>
      <c r="C45" s="2146"/>
      <c r="D45" s="2146"/>
      <c r="E45" s="2146"/>
    </row>
    <row r="46" spans="2:5" s="1064" customFormat="1"/>
    <row r="47" spans="2:5" s="1064" customFormat="1">
      <c r="B47" s="2147" t="s">
        <v>1753</v>
      </c>
      <c r="C47" s="2146"/>
      <c r="D47" s="2146"/>
      <c r="E47" s="2146"/>
    </row>
    <row r="48" spans="2:5" s="1064" customFormat="1">
      <c r="D48" s="2060"/>
    </row>
    <row r="49" spans="2:5" s="1064" customFormat="1">
      <c r="B49" s="2148" t="s">
        <v>1747</v>
      </c>
      <c r="C49" s="2142"/>
      <c r="D49" s="2142"/>
      <c r="E49" s="2142"/>
    </row>
    <row r="50" spans="2:5" s="1064" customFormat="1">
      <c r="D50" s="2060"/>
    </row>
    <row r="51" spans="2:5" s="1064" customFormat="1"/>
    <row r="52" spans="2:5" s="1064" customFormat="1"/>
    <row r="53" spans="2:5" s="1064" customFormat="1"/>
    <row r="54" spans="2:5" s="1064" customFormat="1"/>
    <row r="55" spans="2:5" s="1064" customFormat="1"/>
    <row r="56" spans="2:5" s="1064" customFormat="1"/>
    <row r="57" spans="2:5" s="1064" customFormat="1"/>
    <row r="58" spans="2:5" s="1064" customFormat="1"/>
    <row r="59" spans="2:5" s="1064" customFormat="1"/>
    <row r="60" spans="2:5" s="1064" customFormat="1"/>
    <row r="61" spans="2:5" s="1064" customFormat="1"/>
    <row r="62" spans="2:5" s="1064" customFormat="1"/>
    <row r="63" spans="2:5" s="1064" customFormat="1"/>
    <row r="64" spans="2:5" s="1064" customFormat="1"/>
    <row r="65" s="1064" customFormat="1"/>
    <row r="66" s="1064" customFormat="1"/>
    <row r="67" s="1064" customFormat="1"/>
    <row r="68" s="1064" customFormat="1"/>
    <row r="69" s="1064" customFormat="1"/>
    <row r="70" s="1064" customFormat="1"/>
    <row r="71" s="1064" customFormat="1"/>
    <row r="72" s="1064" customFormat="1"/>
    <row r="73" s="1064" customFormat="1"/>
    <row r="74" s="1064" customFormat="1"/>
    <row r="75" s="1064" customFormat="1"/>
    <row r="76" s="1064" customFormat="1"/>
    <row r="77" s="1064" customFormat="1"/>
    <row r="78" s="1064" customFormat="1"/>
    <row r="79" s="1064" customFormat="1"/>
    <row r="80" s="1064" customFormat="1"/>
    <row r="81" s="1064" customFormat="1"/>
    <row r="82" s="1064" customFormat="1"/>
    <row r="83" s="1064" customFormat="1"/>
    <row r="84" s="1064" customFormat="1"/>
    <row r="85" s="1064" customFormat="1"/>
    <row r="86" s="1064" customFormat="1"/>
    <row r="87" s="1064" customFormat="1"/>
    <row r="88" s="1064" customFormat="1"/>
    <row r="89" s="1064" customFormat="1"/>
    <row r="90" s="1064" customFormat="1"/>
    <row r="91" s="1064" customFormat="1"/>
    <row r="92" s="1064" customFormat="1"/>
    <row r="93" s="1064" customFormat="1"/>
    <row r="94" s="1064" customFormat="1"/>
    <row r="95" s="1064" customFormat="1"/>
    <row r="96" s="1064" customFormat="1"/>
    <row r="97" s="1064" customFormat="1"/>
    <row r="98" s="1064" customFormat="1"/>
    <row r="99" s="1064" customFormat="1"/>
    <row r="100" s="1064" customFormat="1"/>
    <row r="101" s="1064" customFormat="1"/>
    <row r="102" s="1064" customFormat="1"/>
    <row r="103" s="1064" customFormat="1"/>
    <row r="104" s="1064" customFormat="1"/>
    <row r="105" s="1064" customFormat="1"/>
    <row r="106" s="1064" customFormat="1"/>
    <row r="107" s="1064" customFormat="1"/>
    <row r="108" s="1064" customFormat="1"/>
    <row r="109" s="1064" customFormat="1"/>
    <row r="110" s="1064" customFormat="1"/>
    <row r="111" s="1064" customFormat="1"/>
    <row r="112" s="1064" customFormat="1"/>
    <row r="113" s="1064" customFormat="1"/>
    <row r="114" s="1064" customFormat="1"/>
    <row r="115" s="1064" customFormat="1"/>
    <row r="116" s="1064" customFormat="1"/>
    <row r="117" s="1064" customFormat="1"/>
    <row r="118" s="1064" customFormat="1"/>
    <row r="119" s="1064" customFormat="1"/>
    <row r="120" s="1064" customFormat="1"/>
    <row r="121" s="1064" customFormat="1"/>
    <row r="122" s="1064" customFormat="1"/>
    <row r="123" s="1064" customFormat="1"/>
    <row r="124" s="1064" customFormat="1"/>
    <row r="125" s="1064" customFormat="1"/>
    <row r="126" s="1064" customFormat="1"/>
    <row r="127" s="1064" customFormat="1"/>
    <row r="128" s="1064" customFormat="1"/>
    <row r="129" s="1064" customFormat="1"/>
    <row r="130" s="1064" customFormat="1"/>
    <row r="131" s="1064" customFormat="1"/>
    <row r="132" s="1064" customFormat="1"/>
    <row r="133" s="1064" customFormat="1"/>
    <row r="134" s="1064" customFormat="1"/>
    <row r="135" s="1064" customFormat="1"/>
    <row r="136" s="1064" customFormat="1"/>
    <row r="137" s="1064" customFormat="1"/>
    <row r="138" s="1064" customFormat="1"/>
    <row r="139" s="1064" customFormat="1"/>
    <row r="140" s="1064" customFormat="1"/>
    <row r="141" s="1064" customFormat="1"/>
    <row r="142" s="1064" customFormat="1"/>
    <row r="143" s="1064" customFormat="1"/>
    <row r="144" s="1064" customFormat="1"/>
    <row r="145" s="1064" customFormat="1"/>
    <row r="146" s="1064" customFormat="1"/>
    <row r="147" s="1064" customFormat="1"/>
    <row r="148" s="1064" customFormat="1"/>
    <row r="149" s="1064" customFormat="1"/>
    <row r="150" s="1064" customFormat="1"/>
    <row r="151" s="1064" customFormat="1"/>
    <row r="152" s="1064" customFormat="1"/>
    <row r="153" s="1064" customFormat="1"/>
    <row r="154" s="1064" customFormat="1"/>
    <row r="155" s="1064" customFormat="1"/>
    <row r="156" s="1064" customFormat="1"/>
    <row r="157" s="1064" customFormat="1"/>
    <row r="158" s="1064" customFormat="1"/>
    <row r="159" s="1064" customFormat="1"/>
    <row r="160" s="1064" customFormat="1"/>
    <row r="161" s="1064" customFormat="1"/>
    <row r="162" s="1064" customFormat="1"/>
    <row r="163" s="1064" customFormat="1"/>
    <row r="164" s="1064" customFormat="1"/>
    <row r="165" s="1064" customFormat="1"/>
    <row r="166" s="1064" customFormat="1"/>
    <row r="167" s="1064" customFormat="1"/>
    <row r="168" s="1064" customFormat="1"/>
    <row r="169" s="1064" customFormat="1"/>
    <row r="170" s="1064" customFormat="1"/>
    <row r="171" s="1064" customFormat="1"/>
    <row r="172" s="1064" customFormat="1"/>
    <row r="173" s="1064" customFormat="1"/>
    <row r="174" s="1064" customFormat="1"/>
    <row r="175" s="1064" customFormat="1"/>
    <row r="176" s="1064" customFormat="1"/>
    <row r="177" s="1064" customFormat="1"/>
    <row r="178" s="1064" customFormat="1"/>
    <row r="179" s="1064" customFormat="1"/>
    <row r="180" s="1064" customFormat="1"/>
    <row r="181" s="1064" customFormat="1"/>
    <row r="182" s="1064" customFormat="1"/>
    <row r="183" s="1064" customFormat="1"/>
    <row r="184" s="1064" customFormat="1"/>
    <row r="185" s="1064" customFormat="1"/>
    <row r="186" s="1064" customFormat="1"/>
    <row r="187" s="1064" customFormat="1"/>
    <row r="188" s="1064" customFormat="1"/>
    <row r="189" s="1064" customFormat="1"/>
    <row r="190" s="1064" customFormat="1"/>
    <row r="191" s="1064" customFormat="1"/>
    <row r="192" s="1064" customFormat="1"/>
    <row r="193" s="1064" customFormat="1"/>
    <row r="194" s="1064" customFormat="1"/>
    <row r="195" s="1064" customFormat="1"/>
    <row r="196" s="1064" customFormat="1"/>
    <row r="197" s="1064" customFormat="1"/>
    <row r="198" s="1064" customFormat="1"/>
    <row r="199" s="1064" customFormat="1"/>
    <row r="200" s="1064" customFormat="1"/>
    <row r="201" s="1064" customFormat="1"/>
    <row r="202" s="1064" customFormat="1"/>
    <row r="203" s="1064" customFormat="1"/>
    <row r="204" s="1064" customFormat="1"/>
    <row r="205" s="1064" customFormat="1"/>
    <row r="206" s="1064" customFormat="1"/>
    <row r="207" s="1064" customFormat="1"/>
    <row r="208" s="1064" customFormat="1"/>
    <row r="209" s="1064" customFormat="1"/>
    <row r="210" s="1064" customFormat="1"/>
    <row r="211" s="1064" customFormat="1"/>
    <row r="212" s="1064" customFormat="1"/>
    <row r="213" s="1064" customFormat="1"/>
    <row r="214" s="1064" customFormat="1"/>
    <row r="215" s="1064" customFormat="1"/>
    <row r="216" s="1064" customFormat="1"/>
    <row r="217" s="1064" customFormat="1"/>
    <row r="218" s="1064" customFormat="1"/>
    <row r="219" s="1064" customFormat="1"/>
    <row r="220" s="1064" customFormat="1"/>
    <row r="221" s="1064" customFormat="1"/>
    <row r="222" s="1064" customFormat="1"/>
    <row r="223" s="1064" customFormat="1"/>
    <row r="224" s="1064" customFormat="1"/>
    <row r="225" s="1064" customFormat="1"/>
    <row r="226" s="1064" customFormat="1"/>
    <row r="227" s="1064" customFormat="1"/>
    <row r="228" s="1064" customFormat="1"/>
    <row r="229" s="1064" customFormat="1"/>
    <row r="230" s="1064" customFormat="1"/>
    <row r="231" s="1064" customFormat="1"/>
    <row r="232" s="1064" customFormat="1"/>
    <row r="233" s="1064" customFormat="1"/>
    <row r="234" s="1064" customFormat="1"/>
    <row r="235" s="1064" customFormat="1"/>
    <row r="236" s="1064" customFormat="1"/>
    <row r="237" s="1064" customFormat="1"/>
    <row r="238" s="1064" customFormat="1"/>
    <row r="239" s="1064" customFormat="1"/>
    <row r="240" s="1064" customFormat="1"/>
    <row r="241" s="1064" customFormat="1"/>
    <row r="242" s="1064" customFormat="1"/>
    <row r="243" s="1064" customFormat="1"/>
    <row r="244" s="1064" customFormat="1"/>
    <row r="245" s="1064" customFormat="1"/>
    <row r="246" s="1064" customFormat="1"/>
    <row r="247" s="1064" customFormat="1"/>
    <row r="248" s="1064" customFormat="1"/>
    <row r="249" s="1064" customFormat="1"/>
    <row r="250" s="1064" customFormat="1"/>
    <row r="251" s="1064" customFormat="1"/>
    <row r="252" s="1064" customFormat="1"/>
    <row r="253" s="1064" customFormat="1"/>
    <row r="254" s="1064" customFormat="1"/>
    <row r="255" s="1064" customFormat="1"/>
    <row r="256" s="1064" customFormat="1"/>
    <row r="257" s="1064" customFormat="1"/>
    <row r="258" s="1064" customFormat="1"/>
    <row r="259" s="1064" customFormat="1"/>
    <row r="260" s="1064" customFormat="1"/>
    <row r="261" s="1064" customFormat="1"/>
    <row r="262" s="1064" customFormat="1"/>
    <row r="263" s="1064" customFormat="1"/>
    <row r="264" s="1064" customFormat="1"/>
    <row r="265" s="1064" customFormat="1"/>
    <row r="266" s="1064" customFormat="1"/>
    <row r="267" s="1064" customFormat="1"/>
    <row r="268" s="1064" customFormat="1"/>
    <row r="269" s="1064" customFormat="1"/>
    <row r="270" s="1064" customFormat="1"/>
    <row r="271" s="1064" customFormat="1"/>
    <row r="272" s="1064" customFormat="1"/>
    <row r="273" s="1064" customFormat="1"/>
  </sheetData>
  <sheetProtection password="AD9B" sheet="1" objects="1" scenarios="1"/>
  <mergeCells count="4">
    <mergeCell ref="B49:E49"/>
    <mergeCell ref="B8:E8"/>
    <mergeCell ref="B45:E45"/>
    <mergeCell ref="B47:E47"/>
  </mergeCells>
  <pageMargins left="0.59055118110236227" right="0.25" top="0.47244094488188981" bottom="0.47244094488188981" header="0.35433070866141736" footer="0.23622047244094491"/>
  <pageSetup paperSize="9" scale="66" orientation="portrait" blackAndWhite="1" r:id="rId1"/>
  <headerFooter alignWithMargins="0">
    <oddHeader>&amp;LGreen Building Council of South Africa&amp;R&amp;T   &amp;D</oddHeader>
    <oddFooter>&amp;L&amp;F&amp;CPage &amp;P of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Calculation!$A$79:$A$81</xm:f>
          </x14:formula1>
          <xm:sqref>D12 D15 D18:D39 D42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30"/>
  <sheetViews>
    <sheetView showGridLines="0" zoomScaleNormal="100" zoomScaleSheetLayoutView="100" workbookViewId="0">
      <selection activeCell="G9" sqref="G9"/>
    </sheetView>
  </sheetViews>
  <sheetFormatPr defaultColWidth="7.875" defaultRowHeight="12.75"/>
  <cols>
    <col min="1" max="1" width="3.375" style="1076" customWidth="1"/>
    <col min="2" max="2" width="103" style="1076" customWidth="1"/>
    <col min="3" max="16384" width="7.875" style="1076"/>
  </cols>
  <sheetData>
    <row r="1" spans="1:7" s="1059" customFormat="1" ht="44.25" customHeight="1"/>
    <row r="2" spans="1:7" s="1059" customFormat="1"/>
    <row r="3" spans="1:7" s="1059" customFormat="1">
      <c r="B3" s="1060" t="s">
        <v>512</v>
      </c>
      <c r="C3" s="1060"/>
      <c r="E3" s="1060"/>
      <c r="G3" s="1060"/>
    </row>
    <row r="4" spans="1:7" s="1059" customFormat="1" ht="6.75" customHeight="1"/>
    <row r="5" spans="1:7" s="1059" customFormat="1" ht="8.25" customHeight="1">
      <c r="A5" s="1061"/>
      <c r="B5" s="1061"/>
    </row>
    <row r="6" spans="1:7" s="1059" customFormat="1" ht="6.75" customHeight="1"/>
    <row r="7" spans="1:7" s="1059" customFormat="1" ht="54.75" customHeight="1">
      <c r="A7" s="1062"/>
      <c r="B7" s="2057" t="s">
        <v>1714</v>
      </c>
    </row>
    <row r="8" spans="1:7" ht="12.75" customHeight="1">
      <c r="B8" s="2058" t="s">
        <v>1715</v>
      </c>
    </row>
    <row r="9" spans="1:7" ht="8.25" customHeight="1">
      <c r="A9" s="1075"/>
      <c r="B9" s="1811"/>
      <c r="C9" s="2059"/>
    </row>
    <row r="10" spans="1:7" ht="8.25" customHeight="1">
      <c r="A10" s="1078"/>
      <c r="B10" s="1079"/>
    </row>
    <row r="11" spans="1:7" ht="54" customHeight="1">
      <c r="A11" s="2054"/>
      <c r="B11" s="2149" t="s">
        <v>1755</v>
      </c>
    </row>
    <row r="12" spans="1:7" ht="54" customHeight="1">
      <c r="A12" s="2054"/>
      <c r="B12" s="2150"/>
    </row>
    <row r="13" spans="1:7" ht="54" customHeight="1">
      <c r="A13" s="2054"/>
      <c r="B13" s="2150"/>
    </row>
    <row r="14" spans="1:7" ht="54" customHeight="1">
      <c r="A14" s="2054"/>
      <c r="B14" s="2150"/>
    </row>
    <row r="15" spans="1:7" ht="54" customHeight="1">
      <c r="A15" s="2054"/>
      <c r="B15" s="2150"/>
    </row>
    <row r="16" spans="1:7" ht="54" customHeight="1">
      <c r="A16" s="2054"/>
      <c r="B16" s="2150"/>
    </row>
    <row r="17" spans="1:3" ht="54" customHeight="1">
      <c r="A17" s="2054"/>
      <c r="B17" s="2150"/>
    </row>
    <row r="18" spans="1:3" ht="54" customHeight="1">
      <c r="A18" s="2055"/>
      <c r="B18" s="2150"/>
    </row>
    <row r="19" spans="1:3" ht="54" customHeight="1">
      <c r="A19" s="2056"/>
      <c r="B19" s="2150"/>
      <c r="C19" s="1082"/>
    </row>
    <row r="20" spans="1:3" ht="54" customHeight="1">
      <c r="A20" s="2056"/>
      <c r="B20" s="2150"/>
      <c r="C20" s="1084"/>
    </row>
    <row r="21" spans="1:3" ht="54" customHeight="1">
      <c r="A21" s="2056"/>
      <c r="B21" s="2150"/>
      <c r="C21" s="1080"/>
    </row>
    <row r="22" spans="1:3" ht="54" customHeight="1">
      <c r="A22" s="2056"/>
      <c r="B22" s="2150"/>
      <c r="C22" s="1080"/>
    </row>
    <row r="23" spans="1:3" ht="54" customHeight="1">
      <c r="A23" s="2056"/>
      <c r="B23" s="2150"/>
    </row>
    <row r="24" spans="1:3">
      <c r="A24" s="1080"/>
      <c r="B24" s="1059"/>
    </row>
    <row r="25" spans="1:3">
      <c r="B25" s="1059"/>
    </row>
    <row r="26" spans="1:3">
      <c r="B26" s="1059"/>
    </row>
    <row r="27" spans="1:3">
      <c r="B27" s="1059"/>
    </row>
    <row r="28" spans="1:3">
      <c r="B28" s="1059"/>
    </row>
    <row r="29" spans="1:3">
      <c r="B29" s="1059"/>
    </row>
    <row r="30" spans="1:3">
      <c r="B30" s="1059"/>
    </row>
  </sheetData>
  <sheetProtection password="AD9B" sheet="1" objects="1" scenarios="1"/>
  <mergeCells count="1">
    <mergeCell ref="B11:B23"/>
  </mergeCells>
  <pageMargins left="0.59055118110236227" right="0.59055118110236227" top="0.47244094488188981" bottom="0.47244094488188981" header="0.23622047244094491" footer="0.35433070866141736"/>
  <pageSetup paperSize="9" scale="68" orientation="portrait" blackAndWhite="1" r:id="rId1"/>
  <headerFooter alignWithMargins="0">
    <oddHeader>&amp;LGreen Building Council of South Africa&amp;R&amp;T   &amp;D</oddHeader>
    <oddFooter>&amp;L&amp;F&amp;CPage &amp;P of &amp;N&amp;R&amp;A</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E50"/>
  <sheetViews>
    <sheetView defaultGridColor="0" colorId="7" zoomScale="80" zoomScaleNormal="100" zoomScaleSheetLayoutView="85" workbookViewId="0">
      <selection activeCell="F34" sqref="F34"/>
    </sheetView>
  </sheetViews>
  <sheetFormatPr defaultColWidth="7.875" defaultRowHeight="12.75"/>
  <cols>
    <col min="1" max="1" width="2.375" style="1033" customWidth="1"/>
    <col min="2" max="2" width="49.5" style="1033" customWidth="1"/>
    <col min="3" max="3" width="52.5" style="1051" customWidth="1"/>
    <col min="4" max="4" width="2.375" style="1033" customWidth="1"/>
    <col min="5" max="16384" width="7.875" style="1033"/>
  </cols>
  <sheetData>
    <row r="1" spans="2:3" ht="42" customHeight="1" thickBot="1">
      <c r="B1" s="1031" t="str">
        <f>Calculation!N31</f>
        <v>Green Star SA - Office Design v1</v>
      </c>
      <c r="C1" s="1032" t="s">
        <v>477</v>
      </c>
    </row>
    <row r="2" spans="2:3" s="1036" customFormat="1" ht="15" customHeight="1">
      <c r="B2" s="1034" t="s">
        <v>867</v>
      </c>
      <c r="C2" s="1035"/>
    </row>
    <row r="3" spans="2:3" s="1036" customFormat="1" ht="15" customHeight="1" thickBot="1">
      <c r="B3" s="1037" t="s">
        <v>106</v>
      </c>
      <c r="C3" s="1035"/>
    </row>
    <row r="4" spans="2:3" s="1036" customFormat="1" ht="13.5" thickBot="1">
      <c r="C4" s="1038"/>
    </row>
    <row r="5" spans="2:3" s="1036" customFormat="1" ht="15" customHeight="1" thickBot="1">
      <c r="B5" s="1039" t="s">
        <v>868</v>
      </c>
      <c r="C5" s="1052"/>
    </row>
    <row r="6" spans="2:3" s="1036" customFormat="1" ht="15" customHeight="1">
      <c r="B6" s="2151" t="s">
        <v>1240</v>
      </c>
      <c r="C6" s="1053"/>
    </row>
    <row r="7" spans="2:3" s="1036" customFormat="1" ht="15" customHeight="1">
      <c r="B7" s="2152"/>
      <c r="C7" s="1053"/>
    </row>
    <row r="8" spans="2:3" s="1036" customFormat="1" ht="15" customHeight="1" thickBot="1">
      <c r="B8" s="2153"/>
      <c r="C8" s="1053"/>
    </row>
    <row r="9" spans="2:3" s="1036" customFormat="1" ht="15" customHeight="1" thickBot="1">
      <c r="B9" s="1039" t="s">
        <v>1393</v>
      </c>
      <c r="C9" s="1054"/>
    </row>
    <row r="10" spans="2:3" s="1036" customFormat="1" ht="15" customHeight="1" thickBot="1">
      <c r="B10" s="1039" t="s">
        <v>1571</v>
      </c>
      <c r="C10" s="1035"/>
    </row>
    <row r="11" spans="2:3" s="1036" customFormat="1" ht="13.5" thickBot="1">
      <c r="B11" s="1040"/>
      <c r="C11" s="1041"/>
    </row>
    <row r="12" spans="2:3" s="1036" customFormat="1" ht="15" customHeight="1">
      <c r="B12" s="1042" t="s">
        <v>73</v>
      </c>
      <c r="C12" s="1055"/>
    </row>
    <row r="13" spans="2:3" s="1036" customFormat="1" ht="15" customHeight="1" thickBot="1">
      <c r="B13" s="1037" t="s">
        <v>1394</v>
      </c>
      <c r="C13" s="1054"/>
    </row>
    <row r="14" spans="2:3" s="1036" customFormat="1" ht="13.5" thickBot="1">
      <c r="B14" s="1043"/>
      <c r="C14" s="1035"/>
    </row>
    <row r="15" spans="2:3" s="1036" customFormat="1" ht="15" customHeight="1">
      <c r="B15" s="1034" t="s">
        <v>903</v>
      </c>
      <c r="C15" s="1052"/>
    </row>
    <row r="16" spans="2:3" s="1036" customFormat="1" ht="15" customHeight="1">
      <c r="B16" s="1044" t="s">
        <v>1395</v>
      </c>
      <c r="C16" s="1053"/>
    </row>
    <row r="17" spans="2:3" s="1036" customFormat="1" ht="15" customHeight="1">
      <c r="B17" s="1044" t="s">
        <v>1396</v>
      </c>
      <c r="C17" s="1053"/>
    </row>
    <row r="18" spans="2:3" s="1036" customFormat="1" ht="15" customHeight="1">
      <c r="B18" s="1044" t="s">
        <v>1397</v>
      </c>
      <c r="C18" s="1053"/>
    </row>
    <row r="19" spans="2:3" s="1036" customFormat="1" ht="15" customHeight="1">
      <c r="B19" s="1044" t="s">
        <v>1697</v>
      </c>
      <c r="C19" s="1053"/>
    </row>
    <row r="20" spans="2:3" s="1036" customFormat="1" ht="15" customHeight="1">
      <c r="B20" s="1044" t="s">
        <v>478</v>
      </c>
      <c r="C20" s="1053"/>
    </row>
    <row r="21" spans="2:3" s="1036" customFormat="1" ht="15" customHeight="1">
      <c r="B21" s="1044" t="s">
        <v>1698</v>
      </c>
      <c r="C21" s="1053"/>
    </row>
    <row r="22" spans="2:3" s="1036" customFormat="1" ht="15" customHeight="1">
      <c r="B22" s="1044" t="s">
        <v>1699</v>
      </c>
      <c r="C22" s="1053"/>
    </row>
    <row r="23" spans="2:3" s="1036" customFormat="1" ht="15" customHeight="1">
      <c r="B23" s="1044" t="s">
        <v>1398</v>
      </c>
      <c r="C23" s="1053"/>
    </row>
    <row r="24" spans="2:3" s="1036" customFormat="1" ht="15" customHeight="1">
      <c r="B24" s="1044" t="s">
        <v>1399</v>
      </c>
      <c r="C24" s="1053"/>
    </row>
    <row r="25" spans="2:3" s="1036" customFormat="1" ht="15" customHeight="1">
      <c r="B25" s="1044" t="s">
        <v>1400</v>
      </c>
      <c r="C25" s="1053"/>
    </row>
    <row r="26" spans="2:3" s="1036" customFormat="1" ht="15" customHeight="1">
      <c r="B26" s="1044" t="s">
        <v>1401</v>
      </c>
      <c r="C26" s="1053"/>
    </row>
    <row r="27" spans="2:3" s="1036" customFormat="1" ht="15" customHeight="1">
      <c r="B27" s="1044" t="s">
        <v>1402</v>
      </c>
      <c r="C27" s="1053"/>
    </row>
    <row r="28" spans="2:3" s="1036" customFormat="1" ht="15" customHeight="1" thickBot="1">
      <c r="B28" s="1037" t="s">
        <v>1403</v>
      </c>
      <c r="C28" s="1054"/>
    </row>
    <row r="29" spans="2:3" s="1036" customFormat="1" ht="13.5" thickBot="1">
      <c r="C29" s="1035"/>
    </row>
    <row r="30" spans="2:3" s="1036" customFormat="1">
      <c r="B30" s="1045" t="s">
        <v>1522</v>
      </c>
      <c r="C30" s="1056"/>
    </row>
    <row r="31" spans="2:3" s="1036" customFormat="1" ht="15" customHeight="1">
      <c r="B31" s="1046" t="s">
        <v>1521</v>
      </c>
      <c r="C31" s="1057"/>
    </row>
    <row r="32" spans="2:3" s="1036" customFormat="1" ht="15" customHeight="1">
      <c r="B32" s="1046" t="s">
        <v>1523</v>
      </c>
      <c r="C32" s="1057"/>
    </row>
    <row r="33" spans="2:4" s="1036" customFormat="1" ht="15" customHeight="1">
      <c r="B33" s="1046" t="s">
        <v>1374</v>
      </c>
      <c r="C33" s="1057"/>
    </row>
    <row r="34" spans="2:4" s="1036" customFormat="1" ht="15" customHeight="1">
      <c r="B34" s="1046" t="s">
        <v>1373</v>
      </c>
      <c r="C34" s="1057"/>
    </row>
    <row r="35" spans="2:4" s="1036" customFormat="1" ht="15" customHeight="1">
      <c r="B35" s="1046" t="s">
        <v>1570</v>
      </c>
      <c r="C35" s="1057"/>
    </row>
    <row r="36" spans="2:4" s="1036" customFormat="1" ht="15" customHeight="1">
      <c r="B36" s="1046" t="s">
        <v>149</v>
      </c>
      <c r="C36" s="993">
        <f>IF(C31&gt;0,C31/C30,)</f>
        <v>0</v>
      </c>
    </row>
    <row r="37" spans="2:4" s="1036" customFormat="1" ht="45.75" customHeight="1" thickBot="1">
      <c r="B37" s="1047" t="s">
        <v>60</v>
      </c>
      <c r="C37" s="994" t="str">
        <f>IF(C36&gt;=80%,"The project meets area compliance for Green Star SA assessment.","Area compliance not met. To be eligible for Green Star SA assessment, Commercial Office GFA must account for at least 80% of the total GFA.")</f>
        <v>Area compliance not met. To be eligible for Green Star SA assessment, Commercial Office GFA must account for at least 80% of the total GFA.</v>
      </c>
      <c r="D37" s="1048"/>
    </row>
    <row r="38" spans="2:4" s="1036" customFormat="1" ht="13.5" thickBot="1">
      <c r="C38" s="1035"/>
    </row>
    <row r="39" spans="2:4" s="1036" customFormat="1" ht="110.25" customHeight="1" thickBot="1">
      <c r="B39" s="1049" t="s">
        <v>1336</v>
      </c>
      <c r="C39" s="1058"/>
    </row>
    <row r="40" spans="2:4" s="1036" customFormat="1" ht="13.5" thickBot="1">
      <c r="C40" s="1035"/>
    </row>
    <row r="41" spans="2:4" s="1036" customFormat="1" ht="113.25" customHeight="1" thickBot="1">
      <c r="B41" s="1049" t="s">
        <v>389</v>
      </c>
      <c r="C41" s="1058"/>
    </row>
    <row r="42" spans="2:4" s="1036" customFormat="1" ht="13.5" thickBot="1">
      <c r="B42" s="1038"/>
      <c r="C42" s="1038"/>
    </row>
    <row r="43" spans="2:4" s="1036" customFormat="1" ht="15" customHeight="1">
      <c r="B43" s="2109" t="s">
        <v>1768</v>
      </c>
      <c r="C43" s="2110"/>
    </row>
    <row r="44" spans="2:4" s="1036" customFormat="1" ht="15" customHeight="1">
      <c r="B44" s="2111" t="s">
        <v>1392</v>
      </c>
      <c r="C44" s="2112"/>
    </row>
    <row r="45" spans="2:4" s="1036" customFormat="1" ht="15" customHeight="1">
      <c r="B45" s="2111" t="s">
        <v>1770</v>
      </c>
      <c r="C45" s="2112"/>
    </row>
    <row r="46" spans="2:4" s="1036" customFormat="1" ht="15" customHeight="1">
      <c r="B46" s="2111" t="s">
        <v>1772</v>
      </c>
      <c r="C46" s="2112"/>
    </row>
    <row r="47" spans="2:4" s="1036" customFormat="1" ht="15" customHeight="1">
      <c r="B47" s="2111" t="s">
        <v>1769</v>
      </c>
      <c r="C47" s="2112"/>
    </row>
    <row r="48" spans="2:4" s="1036" customFormat="1" ht="15" customHeight="1" thickBot="1">
      <c r="B48" s="2113" t="s">
        <v>1771</v>
      </c>
      <c r="C48" s="2114"/>
    </row>
    <row r="49" spans="2:5" s="1036" customFormat="1" ht="13.5" thickBot="1">
      <c r="B49" s="1050"/>
      <c r="C49" s="1038"/>
    </row>
    <row r="50" spans="2:5" s="1036" customFormat="1" ht="50.25" customHeight="1" thickBot="1">
      <c r="B50" s="2154" t="s">
        <v>1388</v>
      </c>
      <c r="C50" s="2155"/>
      <c r="E50" s="1038"/>
    </row>
  </sheetData>
  <sheetProtection password="AD9B" sheet="1" objects="1" scenarios="1"/>
  <mergeCells count="2">
    <mergeCell ref="B6:B8"/>
    <mergeCell ref="B50:C50"/>
  </mergeCells>
  <phoneticPr fontId="7" type="noConversion"/>
  <printOptions horizontalCentered="1"/>
  <pageMargins left="0.59055118110236227" right="0.59055118110236227" top="0.47244094488188981" bottom="0.47244094488188981" header="0.23622047244094491" footer="0.35433070866141736"/>
  <pageSetup paperSize="9" scale="74" orientation="portrait" blackAndWhite="1" horizontalDpi="300" verticalDpi="300" r:id="rId1"/>
  <headerFooter alignWithMargins="0">
    <oddHeader>&amp;LGreen Building Council of South Africa&amp;R&amp;T   &amp;D</oddHeader>
    <oddFooter>&amp;L&amp;F&amp;CPage &amp;P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locked="0" defaultSize="0" autoLine="0" autoPict="0">
                <anchor moveWithCells="1">
                  <from>
                    <xdr:col>2</xdr:col>
                    <xdr:colOff>9525</xdr:colOff>
                    <xdr:row>8</xdr:row>
                    <xdr:rowOff>180975</xdr:rowOff>
                  </from>
                  <to>
                    <xdr:col>2</xdr:col>
                    <xdr:colOff>1743075</xdr:colOff>
                    <xdr:row>10</xdr:row>
                    <xdr:rowOff>9525</xdr:rowOff>
                  </to>
                </anchor>
              </controlPr>
            </control>
          </mc:Choice>
        </mc:AlternateContent>
        <mc:AlternateContent xmlns:mc="http://schemas.openxmlformats.org/markup-compatibility/2006">
          <mc:Choice Requires="x14">
            <control shapeId="10242" r:id="rId5" name="Drop Down 2">
              <controlPr locked="0" defaultSize="0" autoLine="0" autoPict="0">
                <anchor moveWithCells="1">
                  <from>
                    <xdr:col>2</xdr:col>
                    <xdr:colOff>0</xdr:colOff>
                    <xdr:row>0</xdr:row>
                    <xdr:rowOff>523875</xdr:rowOff>
                  </from>
                  <to>
                    <xdr:col>2</xdr:col>
                    <xdr:colOff>1790700</xdr:colOff>
                    <xdr:row>2</xdr:row>
                    <xdr:rowOff>0</xdr:rowOff>
                  </to>
                </anchor>
              </controlPr>
            </control>
          </mc:Choice>
        </mc:AlternateContent>
        <mc:AlternateContent xmlns:mc="http://schemas.openxmlformats.org/markup-compatibility/2006">
          <mc:Choice Requires="x14">
            <control shapeId="10248" r:id="rId6" name="Drop Down 8">
              <controlPr locked="0" defaultSize="0" autoLine="0" autoPict="0">
                <anchor moveWithCells="1">
                  <from>
                    <xdr:col>2</xdr:col>
                    <xdr:colOff>0</xdr:colOff>
                    <xdr:row>1</xdr:row>
                    <xdr:rowOff>180975</xdr:rowOff>
                  </from>
                  <to>
                    <xdr:col>2</xdr:col>
                    <xdr:colOff>1790700</xdr:colOff>
                    <xdr:row>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103</vt:i4>
      </vt:variant>
    </vt:vector>
  </HeadingPairs>
  <TitlesOfParts>
    <vt:vector size="130" baseType="lpstr">
      <vt:lpstr>Green Star SA</vt:lpstr>
      <vt:lpstr>Introduction</vt:lpstr>
      <vt:lpstr>How to Use</vt:lpstr>
      <vt:lpstr>Disclaimer</vt:lpstr>
      <vt:lpstr>Change Log</vt:lpstr>
      <vt:lpstr>R1 Pre-Submission Checklist</vt:lpstr>
      <vt:lpstr>R2 Pre-Submission Checklist</vt:lpstr>
      <vt:lpstr>Applicant Declaration</vt:lpstr>
      <vt:lpstr>Building Input</vt:lpstr>
      <vt:lpstr>Management</vt:lpstr>
      <vt:lpstr>IEQ</vt:lpstr>
      <vt:lpstr>Energy</vt:lpstr>
      <vt:lpstr>Energy Calculator</vt:lpstr>
      <vt:lpstr>Transport</vt:lpstr>
      <vt:lpstr>Transport Calculator</vt:lpstr>
      <vt:lpstr>Water</vt:lpstr>
      <vt:lpstr>Potable Water Calculator</vt:lpstr>
      <vt:lpstr>Materials</vt:lpstr>
      <vt:lpstr>Land Use &amp; Ecology</vt:lpstr>
      <vt:lpstr>Ecology Calculator</vt:lpstr>
      <vt:lpstr>Emissions</vt:lpstr>
      <vt:lpstr>Sewage Calculator</vt:lpstr>
      <vt:lpstr>Innovation</vt:lpstr>
      <vt:lpstr>Credit Summary</vt:lpstr>
      <vt:lpstr>Graphical Summary</vt:lpstr>
      <vt:lpstr>Calculation</vt:lpstr>
      <vt:lpstr>Rainfall data</vt:lpstr>
      <vt:lpstr>'Ecology Calculator'!Albany_Alluvial_Vegetation</vt:lpstr>
      <vt:lpstr>'Ecology Calculator'!Albany_Thicket_Strandveld</vt:lpstr>
      <vt:lpstr>'Ecology Calculator'!Albany_Thickets</vt:lpstr>
      <vt:lpstr>'Ecology Calculator'!Albany_Thickets_Alluvial_Vegetation</vt:lpstr>
      <vt:lpstr>'Ecology Calculator'!Albany_Thickets_Strandveld</vt:lpstr>
      <vt:lpstr>'Ecology Calculator'!AlbanyThickets</vt:lpstr>
      <vt:lpstr>'Ecology Calculator'!Bioregion</vt:lpstr>
      <vt:lpstr>'Ecology Calculator'!Bushmanland_and_West_Griqualand</vt:lpstr>
      <vt:lpstr>'Ecology Calculator'!Bushmanland_West_Griqualand</vt:lpstr>
      <vt:lpstr>'Ecology Calculator'!Central_Bushveld</vt:lpstr>
      <vt:lpstr>'Ecology Calculator'!Central_Succulent_Karoo</vt:lpstr>
      <vt:lpstr>'Rainfall data'!cities</vt:lpstr>
      <vt:lpstr>cities</vt:lpstr>
      <vt:lpstr>cities_rainfall</vt:lpstr>
      <vt:lpstr>'Ecology Calculator'!Coastal_Grassland</vt:lpstr>
      <vt:lpstr>'Ecology Calculator'!Desert_Alluvial_Vegetation</vt:lpstr>
      <vt:lpstr>'Ecology Calculator'!Drakensburg_Grassland</vt:lpstr>
      <vt:lpstr>'Ecology Calculator'!Eastern_Gariep</vt:lpstr>
      <vt:lpstr>'Ecology Calculator'!Estuarine_Salt_Marshes</vt:lpstr>
      <vt:lpstr>Fields</vt:lpstr>
      <vt:lpstr>'Ecology Calculator'!Freshwater_Wetlands</vt:lpstr>
      <vt:lpstr>'Energy Calculator'!fuel</vt:lpstr>
      <vt:lpstr>'Energy Calculator'!fuels</vt:lpstr>
      <vt:lpstr>fueltype</vt:lpstr>
      <vt:lpstr>'Ecology Calculator'!Fynbos_Alluvial_Vegetation</vt:lpstr>
      <vt:lpstr>'Ecology Calculator'!Fynbos_Kamiesberg_Centre</vt:lpstr>
      <vt:lpstr>'Ecology Calculator'!Fynbos_Karoo_Mountain_Centre</vt:lpstr>
      <vt:lpstr>'Ecology Calculator'!Fynbos_Northwest_Centre</vt:lpstr>
      <vt:lpstr>'Ecology Calculator'!Fynbos_South_Coast_Centre</vt:lpstr>
      <vt:lpstr>'Ecology Calculator'!Fynbos_Southeast_Centre</vt:lpstr>
      <vt:lpstr>'Ecology Calculator'!Fynbos_Southwest_Centre</vt:lpstr>
      <vt:lpstr>'Ecology Calculator'!Fynbos_Strandveld</vt:lpstr>
      <vt:lpstr>'Ecology Calculator'!Grassland_Alluvial_Vegetation</vt:lpstr>
      <vt:lpstr>'Ecology Calculator'!Grassland_Biome_Shrublands</vt:lpstr>
      <vt:lpstr>Headings</vt:lpstr>
      <vt:lpstr>'Ecology Calculator'!HeadingsEC</vt:lpstr>
      <vt:lpstr>'Ecology Calculator'!Highveld_Grassland</vt:lpstr>
      <vt:lpstr>'Ecology Calculator'!Inland_Saline_Vegetation</vt:lpstr>
      <vt:lpstr>'Ecology Calculator'!Kalahari_Dry_Savanna</vt:lpstr>
      <vt:lpstr>'Building Input'!Labels</vt:lpstr>
      <vt:lpstr>'Ecology Calculator'!Lower_Karoo</vt:lpstr>
      <vt:lpstr>'Ecology Calculator'!Lowland_Forest</vt:lpstr>
      <vt:lpstr>'Ecology Calculator'!Lowveld</vt:lpstr>
      <vt:lpstr>'Ecology Calculator'!Macroalgal_Sea_Beds</vt:lpstr>
      <vt:lpstr>'Ecology Calculator'!Mountain_Bushveld</vt:lpstr>
      <vt:lpstr>'Ecology Calculator'!Nama_Karoo_Alluvial_Vegetation</vt:lpstr>
      <vt:lpstr>'Applicant Declaration'!Print_Area</vt:lpstr>
      <vt:lpstr>'Building Input'!Print_Area</vt:lpstr>
      <vt:lpstr>Calculation!Print_Area</vt:lpstr>
      <vt:lpstr>'Change Log'!Print_Area</vt:lpstr>
      <vt:lpstr>'Credit Summary'!Print_Area</vt:lpstr>
      <vt:lpstr>Disclaimer!Print_Area</vt:lpstr>
      <vt:lpstr>'Ecology Calculator'!Print_Area</vt:lpstr>
      <vt:lpstr>Emissions!Print_Area</vt:lpstr>
      <vt:lpstr>Energy!Print_Area</vt:lpstr>
      <vt:lpstr>'Energy Calculator'!Print_Area</vt:lpstr>
      <vt:lpstr>'Graphical Summary'!Print_Area</vt:lpstr>
      <vt:lpstr>'Green Star SA'!Print_Area</vt:lpstr>
      <vt:lpstr>'How to Use'!Print_Area</vt:lpstr>
      <vt:lpstr>IEQ!Print_Area</vt:lpstr>
      <vt:lpstr>Innovation!Print_Area</vt:lpstr>
      <vt:lpstr>Introduction!Print_Area</vt:lpstr>
      <vt:lpstr>'Land Use &amp; Ecology'!Print_Area</vt:lpstr>
      <vt:lpstr>Management!Print_Area</vt:lpstr>
      <vt:lpstr>Materials!Print_Area</vt:lpstr>
      <vt:lpstr>'Potable Water Calculator'!Print_Area</vt:lpstr>
      <vt:lpstr>'R1 Pre-Submission Checklist'!Print_Area</vt:lpstr>
      <vt:lpstr>'R2 Pre-Submission Checklist'!Print_Area</vt:lpstr>
      <vt:lpstr>'Sewage Calculator'!Print_Area</vt:lpstr>
      <vt:lpstr>Transport!Print_Area</vt:lpstr>
      <vt:lpstr>'Transport Calculator'!Print_Area</vt:lpstr>
      <vt:lpstr>Water!Print_Area</vt:lpstr>
      <vt:lpstr>'Credit Summary'!Print_Titles</vt:lpstr>
      <vt:lpstr>Emissions!Print_Titles</vt:lpstr>
      <vt:lpstr>Energy!Print_Titles</vt:lpstr>
      <vt:lpstr>IEQ!Print_Titles</vt:lpstr>
      <vt:lpstr>Innovation!Print_Titles</vt:lpstr>
      <vt:lpstr>'Land Use &amp; Ecology'!Print_Titles</vt:lpstr>
      <vt:lpstr>Management!Print_Titles</vt:lpstr>
      <vt:lpstr>Materials!Print_Titles</vt:lpstr>
      <vt:lpstr>Transport!Print_Titles</vt:lpstr>
      <vt:lpstr>Water!Print_Titles</vt:lpstr>
      <vt:lpstr>'Ecology Calculator'!Renosterveld_Eastern_Centre</vt:lpstr>
      <vt:lpstr>'Ecology Calculator'!Renosterveld_Karoo_Centre</vt:lpstr>
      <vt:lpstr>'Ecology Calculator'!Renosterveld_Mountain_Centre</vt:lpstr>
      <vt:lpstr>'Ecology Calculator'!Renosterveld_South_Coast_Centre</vt:lpstr>
      <vt:lpstr>'Ecology Calculator'!Renosterveld_West_Coast_Centre</vt:lpstr>
      <vt:lpstr>'Ecology Calculator'!Savanna_Alluvial_Vegetation</vt:lpstr>
      <vt:lpstr>'Ecology Calculator'!South_Strandveld</vt:lpstr>
      <vt:lpstr>'Ecology Calculator'!Southern_Karoo</vt:lpstr>
      <vt:lpstr>'Ecology Calculator'!Sub_Escarpment_Grassland</vt:lpstr>
      <vt:lpstr>'Ecology Calculator'!Sub_Escarpment_Savanna</vt:lpstr>
      <vt:lpstr>'Ecology Calculator'!Trans_Escarpment_Succulent_Karoo</vt:lpstr>
      <vt:lpstr>'Ecology Calculator'!Upland_Forest</vt:lpstr>
      <vt:lpstr>'Ecology Calculator'!Upper_Karoo</vt:lpstr>
      <vt:lpstr>Urban_Area_and_Unallocated</vt:lpstr>
      <vt:lpstr>'Ecology Calculator'!West_Coast_Sandveld</vt:lpstr>
      <vt:lpstr>'Ecology Calculator'!West_Strandveld</vt:lpstr>
      <vt:lpstr>'Ecology Calculator'!Western_Gariep</vt:lpstr>
      <vt:lpstr>'Ecology Calculator'!Western_Lowland_Karoo</vt:lpstr>
      <vt:lpstr>'Ecology Calculator'!Western_Mountain_Shrubland</vt:lpstr>
      <vt:lpstr>'Ecology Calculator'!Western_Upland_Karoo</vt:lpstr>
      <vt:lpstr>'Ecology Calculator'!Wetland_Forest</vt:lpstr>
    </vt:vector>
  </TitlesOfParts>
  <Manager>Jason Buch</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 Star SA - Office PILOT</dc:title>
  <dc:creator>Green Building Council of South Africa</dc:creator>
  <cp:lastModifiedBy>Lesley Sibanda</cp:lastModifiedBy>
  <cp:lastPrinted>2010-06-02T13:54:36Z</cp:lastPrinted>
  <dcterms:created xsi:type="dcterms:W3CDTF">2007-01-12T06:17:17Z</dcterms:created>
  <dcterms:modified xsi:type="dcterms:W3CDTF">2014-04-09T09:34:38Z</dcterms:modified>
</cp:coreProperties>
</file>